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ey.Rombaut\Desktop\"/>
    </mc:Choice>
  </mc:AlternateContent>
  <bookViews>
    <workbookView xWindow="0" yWindow="0" windowWidth="11745" windowHeight="5310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VAN" sheetId="6" r:id="rId6"/>
    <sheet name="REE" sheetId="4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0" i="1" l="1"/>
  <c r="B179" i="1"/>
  <c r="D178" i="1"/>
  <c r="B178" i="1"/>
  <c r="B177" i="1"/>
  <c r="D176" i="1"/>
  <c r="B176" i="1"/>
  <c r="B175" i="1"/>
  <c r="D174" i="1"/>
  <c r="B174" i="1"/>
  <c r="B173" i="1"/>
  <c r="D172" i="1"/>
  <c r="B172" i="1"/>
  <c r="B171" i="1"/>
  <c r="D170" i="1"/>
  <c r="B170" i="1"/>
  <c r="B169" i="1"/>
  <c r="D168" i="1"/>
  <c r="B168" i="1"/>
  <c r="B167" i="1"/>
  <c r="B166" i="1"/>
  <c r="D148" i="1" l="1"/>
  <c r="B148" i="1"/>
  <c r="D147" i="1"/>
  <c r="B147" i="1"/>
  <c r="B146" i="1"/>
  <c r="D145" i="1"/>
  <c r="B145" i="1"/>
  <c r="B144" i="1"/>
  <c r="D143" i="1"/>
  <c r="B143" i="1"/>
  <c r="B142" i="1"/>
  <c r="D141" i="1"/>
  <c r="B141" i="1"/>
  <c r="D94" i="1" l="1"/>
  <c r="B94" i="1"/>
  <c r="B93" i="1"/>
  <c r="D92" i="1"/>
  <c r="B92" i="1"/>
  <c r="B91" i="1"/>
  <c r="D90" i="1"/>
  <c r="B90" i="1"/>
  <c r="B89" i="1"/>
  <c r="B88" i="1"/>
  <c r="D127" i="1" l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D115" i="1"/>
  <c r="B115" i="1"/>
  <c r="B114" i="1"/>
  <c r="B37" i="1"/>
  <c r="B36" i="1"/>
  <c r="D49" i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D154" i="2" l="1"/>
  <c r="AC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B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C162" i="2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A164" i="2" l="1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C167" i="2"/>
  <c r="EA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I167" i="2"/>
  <c r="DG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A178" i="2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B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EC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EB193" i="2"/>
  <c r="EA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 l="1"/>
  <c r="DI200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114" i="2" l="1" a="1"/>
  <c r="CS114" i="2" s="1"/>
  <c r="CS105" i="2" a="1"/>
  <c r="CS105" i="2" s="1"/>
  <c r="CS56" i="2" a="1"/>
  <c r="CS56" i="2" s="1"/>
  <c r="CS134" i="2" a="1"/>
  <c r="CS134" i="2" s="1"/>
  <c r="CS185" i="2" a="1"/>
  <c r="CS185" i="2" s="1"/>
  <c r="CS72" i="2" a="1"/>
  <c r="CS72" i="2" s="1"/>
  <c r="CS137" i="2" a="1"/>
  <c r="CS137" i="2" s="1"/>
  <c r="CS120" i="2" a="1"/>
  <c r="CS120" i="2" s="1"/>
  <c r="CS24" i="2" a="1"/>
  <c r="CS24" i="2" s="1"/>
  <c r="CS129" i="2" a="1"/>
  <c r="CS129" i="2" s="1"/>
  <c r="CS52" i="2" a="1"/>
  <c r="CS52" i="2" s="1"/>
  <c r="CS38" i="2" a="1"/>
  <c r="CS38" i="2" s="1"/>
  <c r="CS66" i="2" a="1"/>
  <c r="CS66" i="2" s="1"/>
  <c r="CS161" i="2" a="1"/>
  <c r="CS161" i="2" s="1"/>
  <c r="CS77" i="2" a="1"/>
  <c r="CS77" i="2" s="1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72" i="2" l="1"/>
  <c r="CD188" i="2"/>
  <c r="CD117" i="2"/>
  <c r="CD75" i="2"/>
  <c r="CD31" i="2"/>
  <c r="CD143" i="2"/>
  <c r="CD82" i="2"/>
  <c r="CD41" i="2"/>
  <c r="CD22" i="2"/>
  <c r="CD84" i="2"/>
  <c r="CD171" i="2"/>
  <c r="CD27" i="2"/>
  <c r="CD195" i="2"/>
  <c r="CD135" i="2"/>
  <c r="CD105" i="2"/>
  <c r="CD190" i="2"/>
  <c r="CD25" i="2"/>
  <c r="CD114" i="2"/>
  <c r="CD73" i="2"/>
  <c r="CD120" i="2"/>
  <c r="CD59" i="2"/>
  <c r="CD33" i="2"/>
  <c r="CD14" i="2"/>
  <c r="CD126" i="2"/>
  <c r="CD45" i="2"/>
  <c r="CD95" i="2"/>
  <c r="CD118" i="2"/>
  <c r="CD90" i="2"/>
  <c r="CD199" i="2"/>
  <c r="CD85" i="2"/>
  <c r="CD185" i="2"/>
  <c r="CD148" i="2"/>
  <c r="CD150" i="2"/>
  <c r="CD98" i="2"/>
  <c r="CD69" i="2"/>
  <c r="CD132" i="2"/>
  <c r="CD103" i="2"/>
  <c r="CD11" i="2"/>
  <c r="CD70" i="2"/>
  <c r="CD198" i="2"/>
  <c r="CD89" i="2"/>
  <c r="CD202" i="2"/>
  <c r="CD191" i="2"/>
  <c r="CD87" i="2"/>
  <c r="CD96" i="2"/>
  <c r="CD91" i="2"/>
  <c r="CD156" i="2"/>
  <c r="CD177" i="2"/>
  <c r="CD86" i="2"/>
  <c r="CD9" i="2"/>
  <c r="CD50" i="2"/>
  <c r="CD40" i="2"/>
  <c r="CD6" i="2"/>
  <c r="CD161" i="2"/>
  <c r="CD55" i="2"/>
  <c r="CD125" i="2"/>
  <c r="CD200" i="2"/>
  <c r="CD180" i="2"/>
  <c r="CD138" i="2"/>
  <c r="CD23" i="2"/>
  <c r="CD197" i="2"/>
  <c r="CD29" i="2"/>
  <c r="CD107" i="2"/>
  <c r="CD168" i="2"/>
  <c r="CD187" i="2"/>
  <c r="CD183" i="2"/>
  <c r="CD147" i="2"/>
  <c r="CD47" i="2"/>
  <c r="CD60" i="2"/>
  <c r="CD159" i="2"/>
  <c r="CD101" i="2"/>
  <c r="CD17" i="2"/>
  <c r="CD21" i="2"/>
  <c r="CD170" i="2"/>
  <c r="CD51" i="2"/>
  <c r="CD139" i="2"/>
  <c r="CD46" i="2"/>
  <c r="CD65" i="2"/>
  <c r="CD134" i="2"/>
  <c r="CD34" i="2"/>
  <c r="CD113" i="2"/>
  <c r="CD104" i="2"/>
  <c r="CD194" i="2"/>
  <c r="CD32" i="2"/>
  <c r="CD3" i="2"/>
  <c r="C9" i="4" s="1"/>
  <c r="E9" i="4" s="1"/>
  <c r="F9" i="4" s="1"/>
  <c r="G9" i="4" s="1"/>
  <c r="L9" i="4" s="1"/>
  <c r="CD155" i="2"/>
  <c r="CD142" i="2"/>
  <c r="CD165" i="2"/>
  <c r="CD28" i="2"/>
  <c r="CD157" i="2"/>
  <c r="CD64" i="2"/>
  <c r="CD154" i="2"/>
  <c r="CD173" i="2"/>
  <c r="CD152" i="2"/>
  <c r="CD158" i="2"/>
  <c r="CD7" i="2"/>
  <c r="CD178" i="2"/>
  <c r="CD38" i="2"/>
  <c r="CD30" i="2"/>
  <c r="CD182" i="2"/>
  <c r="CD92" i="2"/>
  <c r="CD108" i="2"/>
  <c r="CD136" i="2"/>
  <c r="CD77" i="2"/>
  <c r="CD44" i="2"/>
  <c r="CD112" i="2"/>
  <c r="CD49" i="2"/>
  <c r="CD174" i="2"/>
  <c r="CD63" i="2"/>
  <c r="CD123" i="2"/>
  <c r="CD5" i="2"/>
  <c r="CD35" i="2"/>
  <c r="CD146" i="2"/>
  <c r="CD68" i="2"/>
  <c r="CD192" i="2"/>
  <c r="CD106" i="2"/>
  <c r="CD121" i="2"/>
  <c r="CD175" i="2"/>
  <c r="CD172" i="2"/>
  <c r="CD19" i="2"/>
  <c r="CD201" i="2"/>
  <c r="CD169" i="2"/>
  <c r="CD151" i="2"/>
  <c r="CD179" i="2"/>
  <c r="CD58" i="2"/>
  <c r="CD196" i="2"/>
  <c r="CD129" i="2"/>
  <c r="CD130" i="2"/>
  <c r="CD52" i="2"/>
  <c r="CD67" i="2"/>
  <c r="CD133" i="2"/>
  <c r="CD4" i="2"/>
  <c r="CD83" i="2"/>
  <c r="CD79" i="2"/>
  <c r="CD71" i="2"/>
  <c r="CD193" i="2"/>
  <c r="CD140" i="2"/>
  <c r="CD20" i="2"/>
  <c r="CD100" i="2"/>
  <c r="CD186" i="2"/>
  <c r="CD54" i="2"/>
  <c r="CD164" i="2"/>
  <c r="CD163" i="2"/>
  <c r="CD10" i="2"/>
  <c r="CD176" i="2"/>
  <c r="CD26" i="2"/>
  <c r="CD16" i="2"/>
  <c r="CD141" i="2"/>
  <c r="CD145" i="2"/>
  <c r="CD36" i="2"/>
  <c r="CD12" i="2"/>
  <c r="CD160" i="2"/>
  <c r="CD115" i="2"/>
  <c r="CD131" i="2"/>
  <c r="CD110" i="2"/>
  <c r="CD97" i="2"/>
  <c r="CD80" i="2"/>
  <c r="CD167" i="2"/>
  <c r="CD181" i="2"/>
  <c r="CD116" i="2"/>
  <c r="CD81" i="2"/>
  <c r="CD119" i="2"/>
  <c r="CD18" i="2"/>
  <c r="CD124" i="2"/>
  <c r="CD61" i="2"/>
  <c r="CD62" i="2"/>
  <c r="CD74" i="2"/>
  <c r="CD137" i="2"/>
  <c r="CD102" i="2"/>
  <c r="CD56" i="2"/>
  <c r="CD93" i="2"/>
  <c r="CD122" i="2"/>
  <c r="CD128" i="2"/>
  <c r="CD144" i="2"/>
  <c r="CD39" i="2"/>
  <c r="CD99" i="2"/>
  <c r="CD184" i="2"/>
  <c r="CD42" i="2"/>
  <c r="CD109" i="2"/>
  <c r="CD149" i="2"/>
  <c r="CD57" i="2"/>
  <c r="CD24" i="2"/>
  <c r="CD66" i="2"/>
  <c r="CD127" i="2"/>
  <c r="CD15" i="2"/>
  <c r="CD88" i="2"/>
  <c r="CD43" i="2"/>
  <c r="CD78" i="2"/>
  <c r="CD203" i="2"/>
  <c r="CD94" i="2"/>
  <c r="CD111" i="2"/>
  <c r="CD166" i="2"/>
  <c r="CD48" i="2"/>
  <c r="CD37" i="2"/>
  <c r="CD8" i="2"/>
  <c r="CD53" i="2"/>
  <c r="CD153" i="2"/>
  <c r="CD189" i="2"/>
  <c r="CD162" i="2"/>
  <c r="CD76" i="2"/>
  <c r="CD13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<sst xmlns="http://schemas.openxmlformats.org/spreadsheetml/2006/main" count="1175" uniqueCount="324">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</sst>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631.66036748923955</c:v>
                </c:pt>
                <c:pt idx="82">
                  <c:v>638.90661802503621</c:v>
                </c:pt>
                <c:pt idx="83">
                  <c:v>646.15117115988835</c:v>
                </c:pt>
                <c:pt idx="84">
                  <c:v>653.39404860903915</c:v>
                </c:pt>
                <c:pt idx="85">
                  <c:v>660.63527156703708</c:v>
                </c:pt>
                <c:pt idx="86">
                  <c:v>667.87486072591469</c:v>
                </c:pt>
                <c:pt idx="87">
                  <c:v>675.11283629253967</c:v>
                </c:pt>
                <c:pt idx="88">
                  <c:v>682.34921800518089</c:v>
                </c:pt>
                <c:pt idx="89">
                  <c:v>689.58402514933766</c:v>
                </c:pt>
                <c:pt idx="90">
                  <c:v>696.81727657286899</c:v>
                </c:pt>
                <c:pt idx="91">
                  <c:v>601.32161215624581</c:v>
                </c:pt>
                <c:pt idx="92">
                  <c:v>612.58301041135371</c:v>
                </c:pt>
                <c:pt idx="93">
                  <c:v>623.84011521480932</c:v>
                </c:pt>
                <c:pt idx="94">
                  <c:v>635.09301493951591</c:v>
                </c:pt>
                <c:pt idx="95">
                  <c:v>646.34179457229243</c:v>
                </c:pt>
                <c:pt idx="96">
                  <c:v>657.5865359015296</c:v>
                </c:pt>
                <c:pt idx="97">
                  <c:v>668.82731769134716</c:v>
                </c:pt>
                <c:pt idx="98">
                  <c:v>680.06421584344059</c:v>
                </c:pt>
                <c:pt idx="99">
                  <c:v>691.29730354767992</c:v>
                </c:pt>
                <c:pt idx="100">
                  <c:v>702.52665142241437</c:v>
                </c:pt>
                <c:pt idx="101">
                  <c:v>608.0026257927675</c:v>
                </c:pt>
                <c:pt idx="102">
                  <c:v>618.3074928990726</c:v>
                </c:pt>
                <c:pt idx="103">
                  <c:v>628.60880146856755</c:v>
                </c:pt>
                <c:pt idx="104">
                  <c:v>638.90661802503575</c:v>
                </c:pt>
                <c:pt idx="105">
                  <c:v>649.20100677344124</c:v>
                </c:pt>
                <c:pt idx="106">
                  <c:v>659.49202971702437</c:v>
                </c:pt>
                <c:pt idx="107">
                  <c:v>669.77974676670851</c:v>
                </c:pt>
                <c:pt idx="108">
                  <c:v>680.06421584344037</c:v>
                </c:pt>
                <c:pt idx="109">
                  <c:v>690.34549297401929</c:v>
                </c:pt>
                <c:pt idx="110">
                  <c:v>700.62363238092303</c:v>
                </c:pt>
                <c:pt idx="111">
                  <c:v>608.19348941446708</c:v>
                </c:pt>
                <c:pt idx="112">
                  <c:v>616.7810721021084</c:v>
                </c:pt>
                <c:pt idx="113">
                  <c:v>625.36617664098787</c:v>
                </c:pt>
                <c:pt idx="114">
                  <c:v>633.94884184663977</c:v>
                </c:pt>
                <c:pt idx="115">
                  <c:v>642.52910539795425</c:v>
                </c:pt>
                <c:pt idx="116">
                  <c:v>651.1070038855247</c:v>
                </c:pt>
                <c:pt idx="117">
                  <c:v>659.68257285730897</c:v>
                </c:pt>
                <c:pt idx="118">
                  <c:v>668.25584686179923</c:v>
                </c:pt>
                <c:pt idx="119">
                  <c:v>676.82685948885705</c:v>
                </c:pt>
                <c:pt idx="120">
                  <c:v>685.39564340837785</c:v>
                </c:pt>
                <c:pt idx="121">
                  <c:v>603.8033106091608</c:v>
                </c:pt>
                <c:pt idx="122">
                  <c:v>611.81966247181992</c:v>
                </c:pt>
                <c:pt idx="123">
                  <c:v>619.83383559808942</c:v>
                </c:pt>
                <c:pt idx="124">
                  <c:v>627.84586213083344</c:v>
                </c:pt>
                <c:pt idx="125">
                  <c:v>635.85577332565276</c:v>
                </c:pt>
                <c:pt idx="126">
                  <c:v>643.86359958648518</c:v>
                </c:pt>
                <c:pt idx="127">
                  <c:v>651.86937049934511</c:v>
                </c:pt>
                <c:pt idx="128">
                  <c:v>659.87311486431611</c:v>
                </c:pt>
                <c:pt idx="129">
                  <c:v>667.87486072591389</c:v>
                </c:pt>
                <c:pt idx="130">
                  <c:v>675.87463540191834</c:v>
                </c:pt>
                <c:pt idx="131">
                  <c:v>599.60338857466627</c:v>
                </c:pt>
                <c:pt idx="132">
                  <c:v>607.23915886223779</c:v>
                </c:pt>
                <c:pt idx="133">
                  <c:v>614.87293594423409</c:v>
                </c:pt>
                <c:pt idx="134">
                  <c:v>622.50474805800286</c:v>
                </c:pt>
                <c:pt idx="135">
                  <c:v>630.13462269202034</c:v>
                </c:pt>
                <c:pt idx="136">
                  <c:v>637.76258661477277</c:v>
                </c:pt>
                <c:pt idx="137">
                  <c:v>645.38866590218811</c:v>
                </c:pt>
                <c:pt idx="138">
                  <c:v>653.0128859637</c:v>
                </c:pt>
                <c:pt idx="139">
                  <c:v>660.63527156703606</c:v>
                </c:pt>
                <c:pt idx="140">
                  <c:v>668.25584686179889</c:v>
                </c:pt>
                <c:pt idx="141">
                  <c:v>592.92043173039758</c:v>
                </c:pt>
                <c:pt idx="142">
                  <c:v>599.60338857466627</c:v>
                </c:pt>
                <c:pt idx="143">
                  <c:v>606.28479716716993</c:v>
                </c:pt>
                <c:pt idx="144">
                  <c:v>612.96467697950118</c:v>
                </c:pt>
                <c:pt idx="145">
                  <c:v>619.64304702417701</c:v>
                </c:pt>
                <c:pt idx="146">
                  <c:v>626.31992587040372</c:v>
                </c:pt>
                <c:pt idx="147">
                  <c:v>632.99533165913078</c:v>
                </c:pt>
                <c:pt idx="148">
                  <c:v>639.66928211743823</c:v>
                </c:pt>
                <c:pt idx="149">
                  <c:v>646.34179457229163</c:v>
                </c:pt>
                <c:pt idx="150">
                  <c:v>653.0128859637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048272"/>
        <c:axId val="-1221051536"/>
      </c:scatterChart>
      <c:valAx>
        <c:axId val="-122104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51536"/>
        <c:crosses val="autoZero"/>
        <c:crossBetween val="midCat"/>
      </c:valAx>
      <c:valAx>
        <c:axId val="-122105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4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7386912"/>
        <c:axId val="-1407385824"/>
      </c:scatterChart>
      <c:valAx>
        <c:axId val="-14073869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7385824"/>
        <c:crosses val="autoZero"/>
        <c:crossBetween val="midCat"/>
      </c:valAx>
      <c:valAx>
        <c:axId val="-140738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73869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2.528006200299735</c:v>
                </c:pt>
                <c:pt idx="2">
                  <c:v>2.9111909143601342</c:v>
                </c:pt>
                <c:pt idx="3">
                  <c:v>3.3526663794145946</c:v>
                </c:pt>
                <c:pt idx="4">
                  <c:v>3.8613299751906465</c:v>
                </c:pt>
                <c:pt idx="5">
                  <c:v>4.4474414701931062</c:v>
                </c:pt>
                <c:pt idx="6">
                  <c:v>5.1228322497222045</c:v>
                </c:pt>
                <c:pt idx="7">
                  <c:v>5.9011467636042321</c:v>
                </c:pt>
                <c:pt idx="8">
                  <c:v>6.7981211676953643</c:v>
                </c:pt>
                <c:pt idx="9">
                  <c:v>7.831904902873112</c:v>
                </c:pt>
                <c:pt idx="10">
                  <c:v>9.023431844223289</c:v>
                </c:pt>
                <c:pt idx="11">
                  <c:v>10.39684868000341</c:v>
                </c:pt>
                <c:pt idx="12">
                  <c:v>11.980009366139958</c:v>
                </c:pt>
                <c:pt idx="13">
                  <c:v>13.805045872256832</c:v>
                </c:pt>
                <c:pt idx="14">
                  <c:v>15.909027018148384</c:v>
                </c:pt>
                <c:pt idx="15">
                  <c:v>18.334719028272804</c:v>
                </c:pt>
                <c:pt idx="16">
                  <c:v>46.846075055613028</c:v>
                </c:pt>
                <c:pt idx="17">
                  <c:v>74.862440038289407</c:v>
                </c:pt>
                <c:pt idx="18">
                  <c:v>102.60598035272905</c:v>
                </c:pt>
                <c:pt idx="19">
                  <c:v>136.40413338132439</c:v>
                </c:pt>
                <c:pt idx="20">
                  <c:v>173.72181380960993</c:v>
                </c:pt>
                <c:pt idx="21">
                  <c:v>210.85019924163907</c:v>
                </c:pt>
                <c:pt idx="22">
                  <c:v>239.21142924303732</c:v>
                </c:pt>
                <c:pt idx="23">
                  <c:v>282.22597131769891</c:v>
                </c:pt>
                <c:pt idx="24">
                  <c:v>325.0933857428227</c:v>
                </c:pt>
                <c:pt idx="25">
                  <c:v>282.83933776674922</c:v>
                </c:pt>
                <c:pt idx="26">
                  <c:v>326.92763310831191</c:v>
                </c:pt>
                <c:pt idx="27">
                  <c:v>370.88450720110433</c:v>
                </c:pt>
                <c:pt idx="28">
                  <c:v>336.70648180894301</c:v>
                </c:pt>
                <c:pt idx="29">
                  <c:v>381.24606170046428</c:v>
                </c:pt>
                <c:pt idx="30">
                  <c:v>425.67242592235584</c:v>
                </c:pt>
                <c:pt idx="31">
                  <c:v>382.4646618583256</c:v>
                </c:pt>
                <c:pt idx="32">
                  <c:v>426.88812840091873</c:v>
                </c:pt>
                <c:pt idx="33">
                  <c:v>471.21216521688075</c:v>
                </c:pt>
                <c:pt idx="34">
                  <c:v>515.44742348183297</c:v>
                </c:pt>
                <c:pt idx="35">
                  <c:v>559.60257836959147</c:v>
                </c:pt>
                <c:pt idx="36">
                  <c:v>603.68482585273216</c:v>
                </c:pt>
                <c:pt idx="37">
                  <c:v>476.97363117477761</c:v>
                </c:pt>
                <c:pt idx="38">
                  <c:v>517.26354360138077</c:v>
                </c:pt>
                <c:pt idx="39">
                  <c:v>557.48726687418275</c:v>
                </c:pt>
                <c:pt idx="40">
                  <c:v>597.65023871728874</c:v>
                </c:pt>
                <c:pt idx="41">
                  <c:v>637.75710743518198</c:v>
                </c:pt>
                <c:pt idx="42">
                  <c:v>677.81188993616718</c:v>
                </c:pt>
                <c:pt idx="43">
                  <c:v>550.73728857330809</c:v>
                </c:pt>
                <c:pt idx="44">
                  <c:v>586.58352633089646</c:v>
                </c:pt>
                <c:pt idx="45">
                  <c:v>622.38414547781622</c:v>
                </c:pt>
                <c:pt idx="46">
                  <c:v>658.14213414272695</c:v>
                </c:pt>
                <c:pt idx="47">
                  <c:v>693.86012979762791</c:v>
                </c:pt>
                <c:pt idx="48">
                  <c:v>729.54047669218573</c:v>
                </c:pt>
                <c:pt idx="49">
                  <c:v>765.18527147808618</c:v>
                </c:pt>
                <c:pt idx="50">
                  <c:v>800.79639989919531</c:v>
                </c:pt>
                <c:pt idx="51">
                  <c:v>836.37556662396753</c:v>
                </c:pt>
                <c:pt idx="52">
                  <c:v>650.26082111330118</c:v>
                </c:pt>
                <c:pt idx="53">
                  <c:v>678.71480868864035</c:v>
                </c:pt>
                <c:pt idx="54">
                  <c:v>707.14431577244295</c:v>
                </c:pt>
                <c:pt idx="55">
                  <c:v>735.55046347762789</c:v>
                </c:pt>
                <c:pt idx="56">
                  <c:v>763.93427939748926</c:v>
                </c:pt>
                <c:pt idx="57">
                  <c:v>792.29670865973264</c:v>
                </c:pt>
                <c:pt idx="58">
                  <c:v>820.63862331737619</c:v>
                </c:pt>
                <c:pt idx="59">
                  <c:v>848.96083037662663</c:v>
                </c:pt>
                <c:pt idx="60">
                  <c:v>877.26407869929096</c:v>
                </c:pt>
                <c:pt idx="61">
                  <c:v>905.54906496941055</c:v>
                </c:pt>
                <c:pt idx="62">
                  <c:v>933.81643887680104</c:v>
                </c:pt>
                <c:pt idx="63">
                  <c:v>962.06680764131522</c:v>
                </c:pt>
                <c:pt idx="64">
                  <c:v>761.58230169786736</c:v>
                </c:pt>
                <c:pt idx="65">
                  <c:v>783.99523118691889</c:v>
                </c:pt>
                <c:pt idx="66">
                  <c:v>806.39519984591391</c:v>
                </c:pt>
                <c:pt idx="67">
                  <c:v>828.78261790209388</c:v>
                </c:pt>
                <c:pt idx="68">
                  <c:v>851.15787164378537</c:v>
                </c:pt>
                <c:pt idx="69">
                  <c:v>873.52132542245738</c:v>
                </c:pt>
                <c:pt idx="70">
                  <c:v>895.87332343937157</c:v>
                </c:pt>
                <c:pt idx="71">
                  <c:v>918.21419134490054</c:v>
                </c:pt>
                <c:pt idx="72">
                  <c:v>940.54423767432718</c:v>
                </c:pt>
                <c:pt idx="73">
                  <c:v>960.67211802247084</c:v>
                </c:pt>
                <c:pt idx="74">
                  <c:v>980.79164070369097</c:v>
                </c:pt>
                <c:pt idx="75">
                  <c:v>1000.9030010637066</c:v>
                </c:pt>
                <c:pt idx="76">
                  <c:v>1021.0063859695071</c:v>
                </c:pt>
                <c:pt idx="77">
                  <c:v>1041.1019743403906</c:v>
                </c:pt>
                <c:pt idx="78">
                  <c:v>1061.1899376359304</c:v>
                </c:pt>
                <c:pt idx="79">
                  <c:v>1081.2704403051293</c:v>
                </c:pt>
                <c:pt idx="80">
                  <c:v>1101.3436402005304</c:v>
                </c:pt>
                <c:pt idx="81">
                  <c:v>1121.4096889606135</c:v>
                </c:pt>
                <c:pt idx="82">
                  <c:v>1139.8801493986607</c:v>
                </c:pt>
                <c:pt idx="83">
                  <c:v>1158.3447799990813</c:v>
                </c:pt>
                <c:pt idx="84">
                  <c:v>1176.8036866380487</c:v>
                </c:pt>
                <c:pt idx="85">
                  <c:v>1194.6617910739387</c:v>
                </c:pt>
                <c:pt idx="86">
                  <c:v>1212.5147203554982</c:v>
                </c:pt>
                <c:pt idx="87">
                  <c:v>1230.362561293658</c:v>
                </c:pt>
                <c:pt idx="88">
                  <c:v>1248.205397979521</c:v>
                </c:pt>
                <c:pt idx="89">
                  <c:v>1266.0433119080142</c:v>
                </c:pt>
                <c:pt idx="90">
                  <c:v>1283.8763820942174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060784"/>
        <c:axId val="-1221059696"/>
      </c:scatterChart>
      <c:valAx>
        <c:axId val="-1221060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59696"/>
        <c:crosses val="autoZero"/>
        <c:crossBetween val="midCat"/>
      </c:valAx>
      <c:valAx>
        <c:axId val="-122105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60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3.1079825342915606</c:v>
                </c:pt>
                <c:pt idx="2">
                  <c:v>3.9831352858359232</c:v>
                </c:pt>
                <c:pt idx="3">
                  <c:v>5.1056841629476652</c:v>
                </c:pt>
                <c:pt idx="4">
                  <c:v>6.5458229996824224</c:v>
                </c:pt>
                <c:pt idx="5">
                  <c:v>8.3937300292591015</c:v>
                </c:pt>
                <c:pt idx="6">
                  <c:v>10.765275524303604</c:v>
                </c:pt>
                <c:pt idx="7">
                  <c:v>13.809364307377871</c:v>
                </c:pt>
                <c:pt idx="8">
                  <c:v>17.717382659817904</c:v>
                </c:pt>
                <c:pt idx="9">
                  <c:v>22.735354328524441</c:v>
                </c:pt>
                <c:pt idx="10">
                  <c:v>29.179584501081067</c:v>
                </c:pt>
                <c:pt idx="11">
                  <c:v>37.456795063324897</c:v>
                </c:pt>
                <c:pt idx="12">
                  <c:v>48.090043708972111</c:v>
                </c:pt>
                <c:pt idx="13">
                  <c:v>61.752092288547864</c:v>
                </c:pt>
                <c:pt idx="14">
                  <c:v>79.308370348833833</c:v>
                </c:pt>
                <c:pt idx="15">
                  <c:v>101.87229931916873</c:v>
                </c:pt>
                <c:pt idx="16">
                  <c:v>117.38937647857762</c:v>
                </c:pt>
                <c:pt idx="17">
                  <c:v>132.85632044015878</c:v>
                </c:pt>
                <c:pt idx="18">
                  <c:v>148.27979814657829</c:v>
                </c:pt>
                <c:pt idx="19">
                  <c:v>163.66497200540442</c:v>
                </c:pt>
                <c:pt idx="20">
                  <c:v>179.01595233014768</c:v>
                </c:pt>
                <c:pt idx="21">
                  <c:v>194.59997246881539</c:v>
                </c:pt>
                <c:pt idx="22">
                  <c:v>210.1549883131822</c:v>
                </c:pt>
                <c:pt idx="23">
                  <c:v>225.68344951574352</c:v>
                </c:pt>
                <c:pt idx="24">
                  <c:v>241.18744081547302</c:v>
                </c:pt>
                <c:pt idx="25">
                  <c:v>256.66875686937959</c:v>
                </c:pt>
                <c:pt idx="26">
                  <c:v>198.29351956846904</c:v>
                </c:pt>
                <c:pt idx="27">
                  <c:v>213.57871664581691</c:v>
                </c:pt>
                <c:pt idx="28">
                  <c:v>228.83872386815744</c:v>
                </c:pt>
                <c:pt idx="29">
                  <c:v>244.0754578704227</c:v>
                </c:pt>
                <c:pt idx="30">
                  <c:v>259.29057630253919</c:v>
                </c:pt>
                <c:pt idx="31">
                  <c:v>273.96188391382958</c:v>
                </c:pt>
                <c:pt idx="32">
                  <c:v>288.61553966190291</c:v>
                </c:pt>
                <c:pt idx="33">
                  <c:v>303.25256606374194</c:v>
                </c:pt>
                <c:pt idx="34">
                  <c:v>317.87387884766321</c:v>
                </c:pt>
                <c:pt idx="35">
                  <c:v>332.48030260881734</c:v>
                </c:pt>
                <c:pt idx="36">
                  <c:v>278.41213183083715</c:v>
                </c:pt>
                <c:pt idx="37">
                  <c:v>292.27631779996528</c:v>
                </c:pt>
                <c:pt idx="38">
                  <c:v>306.12582263909644</c:v>
                </c:pt>
                <c:pt idx="39">
                  <c:v>319.96140418627698</c:v>
                </c:pt>
                <c:pt idx="40">
                  <c:v>333.78374937501832</c:v>
                </c:pt>
                <c:pt idx="41">
                  <c:v>346.55166637710568</c:v>
                </c:pt>
                <c:pt idx="42">
                  <c:v>359.30925781067913</c:v>
                </c:pt>
                <c:pt idx="43">
                  <c:v>372.05694200295653</c:v>
                </c:pt>
                <c:pt idx="44">
                  <c:v>384.79510627137751</c:v>
                </c:pt>
                <c:pt idx="45">
                  <c:v>397.52411019447646</c:v>
                </c:pt>
                <c:pt idx="46">
                  <c:v>339.51758892007979</c:v>
                </c:pt>
                <c:pt idx="47">
                  <c:v>351.76006924925809</c:v>
                </c:pt>
                <c:pt idx="48">
                  <c:v>363.99321066425381</c:v>
                </c:pt>
                <c:pt idx="49">
                  <c:v>376.21737131771482</c:v>
                </c:pt>
                <c:pt idx="50">
                  <c:v>388.4328841840873</c:v>
                </c:pt>
                <c:pt idx="51">
                  <c:v>399.86112159092801</c:v>
                </c:pt>
                <c:pt idx="52">
                  <c:v>411.28229041391364</c:v>
                </c:pt>
                <c:pt idx="53">
                  <c:v>422.69661464593588</c:v>
                </c:pt>
                <c:pt idx="54">
                  <c:v>434.10430519378178</c:v>
                </c:pt>
                <c:pt idx="55">
                  <c:v>445.50556097376767</c:v>
                </c:pt>
                <c:pt idx="56">
                  <c:v>386.35424502436632</c:v>
                </c:pt>
                <c:pt idx="57">
                  <c:v>397.26442392273333</c:v>
                </c:pt>
                <c:pt idx="58">
                  <c:v>408.16811416868921</c:v>
                </c:pt>
                <c:pt idx="59">
                  <c:v>419.06551357352504</c:v>
                </c:pt>
                <c:pt idx="60">
                  <c:v>429.95680881908919</c:v>
                </c:pt>
                <c:pt idx="61">
                  <c:v>440.06484307342475</c:v>
                </c:pt>
                <c:pt idx="62">
                  <c:v>450.16790026276612</c:v>
                </c:pt>
                <c:pt idx="63">
                  <c:v>460.26610785970826</c:v>
                </c:pt>
                <c:pt idx="64">
                  <c:v>470.35958728592249</c:v>
                </c:pt>
                <c:pt idx="65">
                  <c:v>480.44845432585157</c:v>
                </c:pt>
                <c:pt idx="66">
                  <c:v>423.993273379458</c:v>
                </c:pt>
                <c:pt idx="67">
                  <c:v>433.58591486422876</c:v>
                </c:pt>
                <c:pt idx="68">
                  <c:v>443.17400011470886</c:v>
                </c:pt>
                <c:pt idx="69">
                  <c:v>452.75764163369041</c:v>
                </c:pt>
                <c:pt idx="70">
                  <c:v>462.33694677132871</c:v>
                </c:pt>
                <c:pt idx="71">
                  <c:v>471.39455324221279</c:v>
                </c:pt>
                <c:pt idx="72">
                  <c:v>480.44845432585163</c:v>
                </c:pt>
                <c:pt idx="73">
                  <c:v>489.49872971371423</c:v>
                </c:pt>
                <c:pt idx="74">
                  <c:v>498.54545590936368</c:v>
                </c:pt>
                <c:pt idx="75">
                  <c:v>507.58870641276627</c:v>
                </c:pt>
                <c:pt idx="76">
                  <c:v>454.31133429442997</c:v>
                </c:pt>
                <c:pt idx="77">
                  <c:v>463.11346028434019</c:v>
                </c:pt>
                <c:pt idx="78">
                  <c:v>471.91201806530245</c:v>
                </c:pt>
                <c:pt idx="79">
                  <c:v>480.70708356712709</c:v>
                </c:pt>
                <c:pt idx="80">
                  <c:v>489.49872971371423</c:v>
                </c:pt>
                <c:pt idx="81">
                  <c:v>498.02859444198822</c:v>
                </c:pt>
                <c:pt idx="82">
                  <c:v>506.55536570967496</c:v>
                </c:pt>
                <c:pt idx="83">
                  <c:v>515.07910294474061</c:v>
                </c:pt>
                <c:pt idx="84">
                  <c:v>523.59986344738036</c:v>
                </c:pt>
                <c:pt idx="85">
                  <c:v>532.1177025003368</c:v>
                </c:pt>
                <c:pt idx="86">
                  <c:v>481.74157097323285</c:v>
                </c:pt>
                <c:pt idx="87">
                  <c:v>489.49872971371445</c:v>
                </c:pt>
                <c:pt idx="88">
                  <c:v>497.25328093317034</c:v>
                </c:pt>
                <c:pt idx="89">
                  <c:v>505.00527104516345</c:v>
                </c:pt>
                <c:pt idx="90">
                  <c:v>512.7547449216022</c:v>
                </c:pt>
                <c:pt idx="91">
                  <c:v>520.50174596698128</c:v>
                </c:pt>
                <c:pt idx="92">
                  <c:v>528.24631618797048</c:v>
                </c:pt>
                <c:pt idx="93">
                  <c:v>535.98849625870969</c:v>
                </c:pt>
                <c:pt idx="94">
                  <c:v>543.72832558213634</c:v>
                </c:pt>
                <c:pt idx="95">
                  <c:v>551.46584234763566</c:v>
                </c:pt>
                <c:pt idx="96">
                  <c:v>503.19670004131399</c:v>
                </c:pt>
                <c:pt idx="97">
                  <c:v>510.4301643532047</c:v>
                </c:pt>
                <c:pt idx="98">
                  <c:v>517.66146335524525</c:v>
                </c:pt>
                <c:pt idx="99">
                  <c:v>524.89063157230294</c:v>
                </c:pt>
                <c:pt idx="100">
                  <c:v>532.11770250033692</c:v>
                </c:pt>
                <c:pt idx="101">
                  <c:v>538.95570657046494</c:v>
                </c:pt>
                <c:pt idx="102">
                  <c:v>545.7918879539825</c:v>
                </c:pt>
                <c:pt idx="103">
                  <c:v>552.62627270805831</c:v>
                </c:pt>
                <c:pt idx="104">
                  <c:v>559.4588861925846</c:v>
                </c:pt>
                <c:pt idx="105">
                  <c:v>566.28975309730868</c:v>
                </c:pt>
                <c:pt idx="106">
                  <c:v>573.11889746758982</c:v>
                </c:pt>
                <c:pt idx="107">
                  <c:v>579.94634272886162</c:v>
                </c:pt>
                <c:pt idx="108">
                  <c:v>586.77211170988437</c:v>
                </c:pt>
                <c:pt idx="109">
                  <c:v>593.59622666485791</c:v>
                </c:pt>
                <c:pt idx="110">
                  <c:v>600.41870929446566</c:v>
                </c:pt>
                <c:pt idx="111">
                  <c:v>530.69826324876692</c:v>
                </c:pt>
                <c:pt idx="112">
                  <c:v>537.02060847710493</c:v>
                </c:pt>
                <c:pt idx="113">
                  <c:v>543.34138935187991</c:v>
                </c:pt>
                <c:pt idx="114">
                  <c:v>549.66062664564004</c:v>
                </c:pt>
                <c:pt idx="115">
                  <c:v>555.97834061416404</c:v>
                </c:pt>
                <c:pt idx="116">
                  <c:v>562.29455101517226</c:v>
                </c:pt>
                <c:pt idx="117">
                  <c:v>568.60927712615228</c:v>
                </c:pt>
                <c:pt idx="118">
                  <c:v>574.92253776135237</c:v>
                </c:pt>
                <c:pt idx="119">
                  <c:v>581.2343512879894</c:v>
                </c:pt>
                <c:pt idx="120">
                  <c:v>587.54473564171474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057520"/>
        <c:axId val="-1221060240"/>
      </c:scatterChart>
      <c:valAx>
        <c:axId val="-1221057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60240"/>
        <c:crosses val="autoZero"/>
        <c:crossBetween val="midCat"/>
      </c:valAx>
      <c:valAx>
        <c:axId val="-122106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57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180.75557672577415</c:v>
                </c:pt>
                <c:pt idx="22">
                  <c:v>196.55853182882308</c:v>
                </c:pt>
                <c:pt idx="23">
                  <c:v>212.33198814382544</c:v>
                </c:pt>
                <c:pt idx="24">
                  <c:v>228.07844610125684</c:v>
                </c:pt>
                <c:pt idx="25">
                  <c:v>243.80003239943395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293.44034996889724</c:v>
                </c:pt>
                <c:pt idx="32">
                  <c:v>316.88647637416977</c:v>
                </c:pt>
                <c:pt idx="33">
                  <c:v>340.2941842426967</c:v>
                </c:pt>
                <c:pt idx="34">
                  <c:v>363.66648605477627</c:v>
                </c:pt>
                <c:pt idx="35">
                  <c:v>387.00597559413177</c:v>
                </c:pt>
                <c:pt idx="36">
                  <c:v>289.96337472940422</c:v>
                </c:pt>
                <c:pt idx="37">
                  <c:v>314.28330815365308</c:v>
                </c:pt>
                <c:pt idx="38">
                  <c:v>338.56152844098671</c:v>
                </c:pt>
                <c:pt idx="39">
                  <c:v>362.80144525672239</c:v>
                </c:pt>
                <c:pt idx="40">
                  <c:v>387.00597559413171</c:v>
                </c:pt>
                <c:pt idx="41">
                  <c:v>411.60899407848501</c:v>
                </c:pt>
                <c:pt idx="42">
                  <c:v>436.18028292908167</c:v>
                </c:pt>
                <c:pt idx="43">
                  <c:v>460.72187919832771</c:v>
                </c:pt>
                <c:pt idx="44">
                  <c:v>485.23558538841758</c:v>
                </c:pt>
                <c:pt idx="45">
                  <c:v>509.72300718239194</c:v>
                </c:pt>
                <c:pt idx="46">
                  <c:v>412.90299192267616</c:v>
                </c:pt>
                <c:pt idx="47">
                  <c:v>436.61108755732999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529.46660755485038</c:v>
                </c:pt>
                <c:pt idx="52">
                  <c:v>551.33817074688682</c:v>
                </c:pt>
                <c:pt idx="53">
                  <c:v>573.19155224586348</c:v>
                </c:pt>
                <c:pt idx="54">
                  <c:v>595.02754210367516</c:v>
                </c:pt>
                <c:pt idx="55">
                  <c:v>616.84686771553982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616.41919362679607</c:v>
                </c:pt>
                <c:pt idx="62">
                  <c:v>635.23110191241869</c:v>
                </c:pt>
                <c:pt idx="63">
                  <c:v>654.03150003454277</c:v>
                </c:pt>
                <c:pt idx="64">
                  <c:v>672.82076514505184</c:v>
                </c:pt>
                <c:pt idx="65">
                  <c:v>691.59925163326659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675.80896375991858</c:v>
                </c:pt>
                <c:pt idx="72">
                  <c:v>692.0259128007566</c:v>
                </c:pt>
                <c:pt idx="73">
                  <c:v>708.23507701664573</c:v>
                </c:pt>
                <c:pt idx="74">
                  <c:v>724.43665952870151</c:v>
                </c:pt>
                <c:pt idx="75">
                  <c:v>740.63085363962227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706.10272969198661</c:v>
                </c:pt>
                <c:pt idx="82">
                  <c:v>714.20495271831248</c:v>
                </c:pt>
                <c:pt idx="83">
                  <c:v>722.3052985482658</c:v>
                </c:pt>
                <c:pt idx="84">
                  <c:v>730.40379119725401</c:v>
                </c:pt>
                <c:pt idx="85">
                  <c:v>738.50045410483654</c:v>
                </c:pt>
                <c:pt idx="86">
                  <c:v>746.59531015482787</c:v>
                </c:pt>
                <c:pt idx="87">
                  <c:v>754.68838169448679</c:v>
                </c:pt>
                <c:pt idx="88">
                  <c:v>762.77969055283802</c:v>
                </c:pt>
                <c:pt idx="89">
                  <c:v>770.86925805817725</c:v>
                </c:pt>
                <c:pt idx="90">
                  <c:v>778.95710505480304</c:v>
                </c:pt>
                <c:pt idx="91">
                  <c:v>672.18040143052724</c:v>
                </c:pt>
                <c:pt idx="92">
                  <c:v>684.77193672549231</c:v>
                </c:pt>
                <c:pt idx="93">
                  <c:v>697.3587237894086</c:v>
                </c:pt>
                <c:pt idx="94">
                  <c:v>709.94086035598684</c:v>
                </c:pt>
                <c:pt idx="95">
                  <c:v>722.51844041418644</c:v>
                </c:pt>
                <c:pt idx="96">
                  <c:v>735.09155441574819</c:v>
                </c:pt>
                <c:pt idx="97">
                  <c:v>747.66028946779909</c:v>
                </c:pt>
                <c:pt idx="98">
                  <c:v>760.22472951184307</c:v>
                </c:pt>
                <c:pt idx="99">
                  <c:v>772.78495549031061</c:v>
                </c:pt>
                <c:pt idx="100">
                  <c:v>785.34104550172617</c:v>
                </c:pt>
                <c:pt idx="101">
                  <c:v>679.65053482644407</c:v>
                </c:pt>
                <c:pt idx="102">
                  <c:v>691.17258507143526</c:v>
                </c:pt>
                <c:pt idx="103">
                  <c:v>702.69069984530927</c:v>
                </c:pt>
                <c:pt idx="104">
                  <c:v>714.20495271831214</c:v>
                </c:pt>
                <c:pt idx="105">
                  <c:v>725.71541469625129</c:v>
                </c:pt>
                <c:pt idx="106">
                  <c:v>737.22215434999634</c:v>
                </c:pt>
                <c:pt idx="107">
                  <c:v>748.72523793647258</c:v>
                </c:pt>
                <c:pt idx="108">
                  <c:v>760.22472951184272</c:v>
                </c:pt>
                <c:pt idx="109">
                  <c:v>771.72069103748652</c:v>
                </c:pt>
                <c:pt idx="110">
                  <c:v>783.21318247934141</c:v>
                </c:pt>
                <c:pt idx="111">
                  <c:v>679.86394234557974</c:v>
                </c:pt>
                <c:pt idx="112">
                  <c:v>689.4658648045837</c:v>
                </c:pt>
                <c:pt idx="113">
                  <c:v>699.06504661949828</c:v>
                </c:pt>
                <c:pt idx="114">
                  <c:v>708.66153071735198</c:v>
                </c:pt>
                <c:pt idx="115">
                  <c:v>718.25535876813331</c:v>
                </c:pt>
                <c:pt idx="116">
                  <c:v>727.84657123825548</c:v>
                </c:pt>
                <c:pt idx="117">
                  <c:v>737.43520744105683</c:v>
                </c:pt>
                <c:pt idx="118">
                  <c:v>747.02130558454246</c:v>
                </c:pt>
                <c:pt idx="119">
                  <c:v>756.60490281654575</c:v>
                </c:pt>
                <c:pt idx="120">
                  <c:v>766.18603526748541</c:v>
                </c:pt>
                <c:pt idx="121">
                  <c:v>674.95522047957547</c:v>
                </c:pt>
                <c:pt idx="122">
                  <c:v>683.9184244821223</c:v>
                </c:pt>
                <c:pt idx="123">
                  <c:v>692.87921896789578</c:v>
                </c:pt>
                <c:pt idx="124">
                  <c:v>701.83763948445903</c:v>
                </c:pt>
                <c:pt idx="125">
                  <c:v>710.79372059813011</c:v>
                </c:pt>
                <c:pt idx="126">
                  <c:v>719.74749593335264</c:v>
                </c:pt>
                <c:pt idx="127">
                  <c:v>728.69899821000763</c:v>
                </c:pt>
                <c:pt idx="128">
                  <c:v>737.64825927879849</c:v>
                </c:pt>
                <c:pt idx="129">
                  <c:v>746.59531015482673</c:v>
                </c:pt>
                <c:pt idx="130">
                  <c:v>755.54018104947966</c:v>
                </c:pt>
                <c:pt idx="131">
                  <c:v>670.25923500176987</c:v>
                </c:pt>
                <c:pt idx="132">
                  <c:v>678.79689098808058</c:v>
                </c:pt>
                <c:pt idx="133">
                  <c:v>687.3323426405899</c:v>
                </c:pt>
                <c:pt idx="134">
                  <c:v>695.86562118765835</c:v>
                </c:pt>
                <c:pt idx="135">
                  <c:v>704.39675702944942</c:v>
                </c:pt>
                <c:pt idx="136">
                  <c:v>712.92577976987411</c:v>
                </c:pt>
                <c:pt idx="137">
                  <c:v>721.45271824692497</c:v>
                </c:pt>
                <c:pt idx="138">
                  <c:v>729.97760056150446</c:v>
                </c:pt>
                <c:pt idx="139">
                  <c:v>738.50045410483551</c:v>
                </c:pt>
                <c:pt idx="140">
                  <c:v>747.02130558454235</c:v>
                </c:pt>
                <c:pt idx="141">
                  <c:v>662.78695256584854</c:v>
                </c:pt>
                <c:pt idx="142">
                  <c:v>670.25923500176987</c:v>
                </c:pt>
                <c:pt idx="143">
                  <c:v>677.7298051889702</c:v>
                </c:pt>
                <c:pt idx="144">
                  <c:v>685.19868466154912</c:v>
                </c:pt>
                <c:pt idx="145">
                  <c:v>692.66589444590579</c:v>
                </c:pt>
                <c:pt idx="146">
                  <c:v>700.13145507817001</c:v>
                </c:pt>
                <c:pt idx="147">
                  <c:v>707.59538662085242</c:v>
                </c:pt>
                <c:pt idx="148">
                  <c:v>715.05770867875538</c:v>
                </c:pt>
                <c:pt idx="149">
                  <c:v>722.51844041418553</c:v>
                </c:pt>
                <c:pt idx="150">
                  <c:v>729.97760056150446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055344"/>
        <c:axId val="-1221058608"/>
      </c:scatterChart>
      <c:valAx>
        <c:axId val="-122105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58608"/>
        <c:crosses val="autoZero"/>
        <c:crossBetween val="midCat"/>
      </c:valAx>
      <c:valAx>
        <c:axId val="-122105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5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237.56128239156058</c:v>
                </c:pt>
                <c:pt idx="17">
                  <c:v>267.98955571724866</c:v>
                </c:pt>
                <c:pt idx="18">
                  <c:v>298.33998870460437</c:v>
                </c:pt>
                <c:pt idx="19">
                  <c:v>328.62160871118198</c:v>
                </c:pt>
                <c:pt idx="20">
                  <c:v>358.84164266475454</c:v>
                </c:pt>
                <c:pt idx="21">
                  <c:v>231.16419524801108</c:v>
                </c:pt>
                <c:pt idx="22">
                  <c:v>260.85942671475169</c:v>
                </c:pt>
                <c:pt idx="23">
                  <c:v>290.47829302179071</c:v>
                </c:pt>
                <c:pt idx="24">
                  <c:v>320.02967142825008</c:v>
                </c:pt>
                <c:pt idx="25">
                  <c:v>349.52066488969604</c:v>
                </c:pt>
                <c:pt idx="26">
                  <c:v>377.09553671098348</c:v>
                </c:pt>
                <c:pt idx="27">
                  <c:v>404.6265185255254</c:v>
                </c:pt>
                <c:pt idx="28">
                  <c:v>432.11701325632833</c:v>
                </c:pt>
                <c:pt idx="29">
                  <c:v>459.56995582844689</c:v>
                </c:pt>
                <c:pt idx="30">
                  <c:v>486.9879022125296</c:v>
                </c:pt>
                <c:pt idx="31">
                  <c:v>320.77699701276771</c:v>
                </c:pt>
                <c:pt idx="32">
                  <c:v>346.16378539221347</c:v>
                </c:pt>
                <c:pt idx="33">
                  <c:v>371.50970211515966</c:v>
                </c:pt>
                <c:pt idx="34">
                  <c:v>396.81792522211208</c:v>
                </c:pt>
                <c:pt idx="35">
                  <c:v>422.09119450330428</c:v>
                </c:pt>
                <c:pt idx="36">
                  <c:v>445.10602903288731</c:v>
                </c:pt>
                <c:pt idx="37">
                  <c:v>468.09538752671097</c:v>
                </c:pt>
                <c:pt idx="38">
                  <c:v>491.0606960301289</c:v>
                </c:pt>
                <c:pt idx="39">
                  <c:v>514.00323643635204</c:v>
                </c:pt>
                <c:pt idx="40">
                  <c:v>536.92416697177498</c:v>
                </c:pt>
                <c:pt idx="41">
                  <c:v>383.05177541071225</c:v>
                </c:pt>
                <c:pt idx="42">
                  <c:v>403.51120632532314</c:v>
                </c:pt>
                <c:pt idx="43">
                  <c:v>423.94821060760881</c:v>
                </c:pt>
                <c:pt idx="44">
                  <c:v>444.36402075569339</c:v>
                </c:pt>
                <c:pt idx="45">
                  <c:v>464.75974684356009</c:v>
                </c:pt>
                <c:pt idx="46">
                  <c:v>482.54402933920232</c:v>
                </c:pt>
                <c:pt idx="47">
                  <c:v>500.3143920215611</c:v>
                </c:pt>
                <c:pt idx="48">
                  <c:v>518.07139861654389</c:v>
                </c:pt>
                <c:pt idx="49">
                  <c:v>535.81557107772062</c:v>
                </c:pt>
                <c:pt idx="50">
                  <c:v>553.54739399083348</c:v>
                </c:pt>
                <c:pt idx="51">
                  <c:v>425.06233617824211</c:v>
                </c:pt>
                <c:pt idx="52">
                  <c:v>441.02465426855338</c:v>
                </c:pt>
                <c:pt idx="53">
                  <c:v>456.97459194094745</c:v>
                </c:pt>
                <c:pt idx="54">
                  <c:v>472.91264200880101</c:v>
                </c:pt>
                <c:pt idx="55">
                  <c:v>488.83926137072331</c:v>
                </c:pt>
                <c:pt idx="56">
                  <c:v>1.4960899118586383E-12</c:v>
                </c:pt>
                <c:pt idx="57">
                  <c:v>1.4960899118586383E-12</c:v>
                </c:pt>
                <c:pt idx="58">
                  <c:v>1.4960899118586383E-12</c:v>
                </c:pt>
                <c:pt idx="59">
                  <c:v>1.4960899118586383E-12</c:v>
                </c:pt>
                <c:pt idx="60">
                  <c:v>1.4960899118586383E-12</c:v>
                </c:pt>
                <c:pt idx="61">
                  <c:v>1.4960899118586383E-12</c:v>
                </c:pt>
                <c:pt idx="62">
                  <c:v>1.4960899118586383E-12</c:v>
                </c:pt>
                <c:pt idx="63">
                  <c:v>1.4960899118586383E-12</c:v>
                </c:pt>
                <c:pt idx="64">
                  <c:v>1.4960899118586383E-12</c:v>
                </c:pt>
                <c:pt idx="65">
                  <c:v>1.4960899118586383E-12</c:v>
                </c:pt>
                <c:pt idx="66">
                  <c:v>1.4960899118586383E-12</c:v>
                </c:pt>
                <c:pt idx="67">
                  <c:v>1.4960899118586383E-12</c:v>
                </c:pt>
                <c:pt idx="68">
                  <c:v>1.4960899118586383E-12</c:v>
                </c:pt>
                <c:pt idx="69">
                  <c:v>1.4960899118586383E-12</c:v>
                </c:pt>
                <c:pt idx="70">
                  <c:v>1.4960899118586383E-12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050992"/>
        <c:axId val="-1221056976"/>
      </c:scatterChart>
      <c:valAx>
        <c:axId val="-1221050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56976"/>
        <c:crosses val="autoZero"/>
        <c:crossBetween val="midCat"/>
      </c:valAx>
      <c:valAx>
        <c:axId val="-122105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50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2.5030932986439507</c:v>
                </c:pt>
                <c:pt idx="2">
                  <c:v>3.3209497054752402</c:v>
                </c:pt>
                <c:pt idx="3">
                  <c:v>4.4071275000356946</c:v>
                </c:pt>
                <c:pt idx="4">
                  <c:v>5.8499958412336142</c:v>
                </c:pt>
                <c:pt idx="5">
                  <c:v>7.767131585627518</c:v>
                </c:pt>
                <c:pt idx="6">
                  <c:v>10.315004895231578</c:v>
                </c:pt>
                <c:pt idx="7">
                  <c:v>13.70188644422773</c:v>
                </c:pt>
                <c:pt idx="8">
                  <c:v>18.205050747272541</c:v>
                </c:pt>
                <c:pt idx="9">
                  <c:v>24.193709424337229</c:v>
                </c:pt>
                <c:pt idx="10">
                  <c:v>32.159587919187722</c:v>
                </c:pt>
                <c:pt idx="11">
                  <c:v>56.033892770395447</c:v>
                </c:pt>
                <c:pt idx="12">
                  <c:v>79.634007692017406</c:v>
                </c:pt>
                <c:pt idx="13">
                  <c:v>103.0548235996301</c:v>
                </c:pt>
                <c:pt idx="14">
                  <c:v>126.3432898000454</c:v>
                </c:pt>
                <c:pt idx="15">
                  <c:v>149.52737062503533</c:v>
                </c:pt>
                <c:pt idx="16">
                  <c:v>175.20147939702693</c:v>
                </c:pt>
                <c:pt idx="17">
                  <c:v>200.78711673344313</c:v>
                </c:pt>
                <c:pt idx="18">
                  <c:v>226.29715149744834</c:v>
                </c:pt>
                <c:pt idx="19">
                  <c:v>251.74130646414019</c:v>
                </c:pt>
                <c:pt idx="20">
                  <c:v>277.12717529569051</c:v>
                </c:pt>
                <c:pt idx="21">
                  <c:v>160.14638940697645</c:v>
                </c:pt>
                <c:pt idx="22">
                  <c:v>186.79812680665449</c:v>
                </c:pt>
                <c:pt idx="23">
                  <c:v>213.36101750076148</c:v>
                </c:pt>
                <c:pt idx="24">
                  <c:v>239.84768513416745</c:v>
                </c:pt>
                <c:pt idx="25">
                  <c:v>266.26773098057942</c:v>
                </c:pt>
                <c:pt idx="26">
                  <c:v>292.12589466868832</c:v>
                </c:pt>
                <c:pt idx="27">
                  <c:v>317.93294971289237</c:v>
                </c:pt>
                <c:pt idx="28">
                  <c:v>343.69362499967519</c:v>
                </c:pt>
                <c:pt idx="29">
                  <c:v>369.41188272367282</c:v>
                </c:pt>
                <c:pt idx="30">
                  <c:v>395.09108853533945</c:v>
                </c:pt>
                <c:pt idx="31">
                  <c:v>287.28546914138263</c:v>
                </c:pt>
                <c:pt idx="32">
                  <c:v>311.09344098776637</c:v>
                </c:pt>
                <c:pt idx="33">
                  <c:v>334.86098692051308</c:v>
                </c:pt>
                <c:pt idx="34">
                  <c:v>358.59137775289076</c:v>
                </c:pt>
                <c:pt idx="35">
                  <c:v>382.28741618096228</c:v>
                </c:pt>
                <c:pt idx="36">
                  <c:v>403.01858888454734</c:v>
                </c:pt>
                <c:pt idx="37">
                  <c:v>423.72670432873673</c:v>
                </c:pt>
                <c:pt idx="38">
                  <c:v>444.41304712104426</c:v>
                </c:pt>
                <c:pt idx="39">
                  <c:v>465.07877259377534</c:v>
                </c:pt>
                <c:pt idx="40">
                  <c:v>485.72492509687157</c:v>
                </c:pt>
                <c:pt idx="41">
                  <c:v>375.53833525159183</c:v>
                </c:pt>
                <c:pt idx="42">
                  <c:v>393.31161141324122</c:v>
                </c:pt>
                <c:pt idx="43">
                  <c:v>411.06747970157568</c:v>
                </c:pt>
                <c:pt idx="44">
                  <c:v>428.80679755687964</c:v>
                </c:pt>
                <c:pt idx="45">
                  <c:v>446.53034571664426</c:v>
                </c:pt>
                <c:pt idx="46">
                  <c:v>461.74995197970708</c:v>
                </c:pt>
                <c:pt idx="47">
                  <c:v>476.95885725959806</c:v>
                </c:pt>
                <c:pt idx="48">
                  <c:v>492.15745072757801</c:v>
                </c:pt>
                <c:pt idx="49">
                  <c:v>507.34609556638355</c:v>
                </c:pt>
                <c:pt idx="50">
                  <c:v>522.52513144793522</c:v>
                </c:pt>
                <c:pt idx="51">
                  <c:v>461.93662833533045</c:v>
                </c:pt>
                <c:pt idx="52">
                  <c:v>475.15548436508561</c:v>
                </c:pt>
                <c:pt idx="53">
                  <c:v>488.36651775636801</c:v>
                </c:pt>
                <c:pt idx="54">
                  <c:v>501.56996990243033</c:v>
                </c:pt>
                <c:pt idx="55">
                  <c:v>514.76606845348385</c:v>
                </c:pt>
                <c:pt idx="56">
                  <c:v>526.09348261800335</c:v>
                </c:pt>
                <c:pt idx="57">
                  <c:v>537.4157610542461</c:v>
                </c:pt>
                <c:pt idx="58">
                  <c:v>548.73302720132335</c:v>
                </c:pt>
                <c:pt idx="59">
                  <c:v>560.04539899203371</c:v>
                </c:pt>
                <c:pt idx="60">
                  <c:v>571.35298920710056</c:v>
                </c:pt>
                <c:pt idx="61">
                  <c:v>526.40374987607595</c:v>
                </c:pt>
                <c:pt idx="62">
                  <c:v>535.86506299349423</c:v>
                </c:pt>
                <c:pt idx="63">
                  <c:v>545.32286477925015</c:v>
                </c:pt>
                <c:pt idx="64">
                  <c:v>554.77722472188509</c:v>
                </c:pt>
                <c:pt idx="65">
                  <c:v>564.22820974827664</c:v>
                </c:pt>
                <c:pt idx="66">
                  <c:v>572.18925414496107</c:v>
                </c:pt>
                <c:pt idx="67">
                  <c:v>580.14798546042277</c:v>
                </c:pt>
                <c:pt idx="68">
                  <c:v>588.10443990517388</c:v>
                </c:pt>
                <c:pt idx="69">
                  <c:v>596.0586526299312</c:v>
                </c:pt>
                <c:pt idx="70">
                  <c:v>604.01065777066913</c:v>
                </c:pt>
                <c:pt idx="71">
                  <c:v>563.70152123568755</c:v>
                </c:pt>
                <c:pt idx="72">
                  <c:v>571.22909593140093</c:v>
                </c:pt>
                <c:pt idx="73">
                  <c:v>578.75459872853094</c:v>
                </c:pt>
                <c:pt idx="74">
                  <c:v>586.2780603717182</c:v>
                </c:pt>
                <c:pt idx="75">
                  <c:v>593.79951075206111</c:v>
                </c:pt>
                <c:pt idx="76">
                  <c:v>600.14322462115285</c:v>
                </c:pt>
                <c:pt idx="77">
                  <c:v>606.48554480255768</c:v>
                </c:pt>
                <c:pt idx="78">
                  <c:v>612.82648792950715</c:v>
                </c:pt>
                <c:pt idx="79">
                  <c:v>619.16607026287943</c:v>
                </c:pt>
                <c:pt idx="80">
                  <c:v>625.50430770334538</c:v>
                </c:pt>
                <c:pt idx="81">
                  <c:v>8.1635740804601579E-12</c:v>
                </c:pt>
                <c:pt idx="82">
                  <c:v>8.1635740804601579E-12</c:v>
                </c:pt>
                <c:pt idx="83">
                  <c:v>8.1635740804601579E-12</c:v>
                </c:pt>
                <c:pt idx="84">
                  <c:v>8.1635740804601579E-12</c:v>
                </c:pt>
                <c:pt idx="85">
                  <c:v>8.1635740804601579E-12</c:v>
                </c:pt>
                <c:pt idx="86">
                  <c:v>8.1635740804601579E-12</c:v>
                </c:pt>
                <c:pt idx="87">
                  <c:v>8.1635740804601579E-12</c:v>
                </c:pt>
                <c:pt idx="88">
                  <c:v>8.1635740804601579E-12</c:v>
                </c:pt>
                <c:pt idx="89">
                  <c:v>8.1635740804601579E-12</c:v>
                </c:pt>
                <c:pt idx="90">
                  <c:v>8.1635740804601579E-12</c:v>
                </c:pt>
                <c:pt idx="91">
                  <c:v>8.1635740804601579E-12</c:v>
                </c:pt>
                <c:pt idx="92">
                  <c:v>8.1635740804601579E-12</c:v>
                </c:pt>
                <c:pt idx="93">
                  <c:v>8.1635740804601579E-12</c:v>
                </c:pt>
                <c:pt idx="94">
                  <c:v>8.1635740804601579E-12</c:v>
                </c:pt>
                <c:pt idx="95">
                  <c:v>8.1635740804601579E-12</c:v>
                </c:pt>
                <c:pt idx="96">
                  <c:v>8.1635740804601579E-12</c:v>
                </c:pt>
                <c:pt idx="97">
                  <c:v>8.1635740804601579E-12</c:v>
                </c:pt>
                <c:pt idx="98">
                  <c:v>8.1635740804601579E-12</c:v>
                </c:pt>
                <c:pt idx="99">
                  <c:v>8.1635740804601579E-12</c:v>
                </c:pt>
                <c:pt idx="100">
                  <c:v>8.1635740804601579E-12</c:v>
                </c:pt>
                <c:pt idx="101">
                  <c:v>8.1635740804601579E-12</c:v>
                </c:pt>
                <c:pt idx="102">
                  <c:v>8.1635740804601579E-12</c:v>
                </c:pt>
                <c:pt idx="103">
                  <c:v>8.1635740804601579E-12</c:v>
                </c:pt>
                <c:pt idx="104">
                  <c:v>8.1635740804601579E-12</c:v>
                </c:pt>
                <c:pt idx="105">
                  <c:v>8.1635740804601579E-12</c:v>
                </c:pt>
                <c:pt idx="106">
                  <c:v>8.1635740804601579E-12</c:v>
                </c:pt>
                <c:pt idx="107">
                  <c:v>8.1635740804601579E-12</c:v>
                </c:pt>
                <c:pt idx="108">
                  <c:v>8.1635740804601579E-12</c:v>
                </c:pt>
                <c:pt idx="109">
                  <c:v>8.1635740804601579E-12</c:v>
                </c:pt>
                <c:pt idx="110">
                  <c:v>8.1635740804601579E-12</c:v>
                </c:pt>
                <c:pt idx="111">
                  <c:v>8.1635740804601579E-12</c:v>
                </c:pt>
                <c:pt idx="112">
                  <c:v>8.1635740804601579E-12</c:v>
                </c:pt>
                <c:pt idx="113">
                  <c:v>8.1635740804601579E-12</c:v>
                </c:pt>
                <c:pt idx="114">
                  <c:v>8.1635740804601579E-12</c:v>
                </c:pt>
                <c:pt idx="115">
                  <c:v>8.1635740804601579E-12</c:v>
                </c:pt>
                <c:pt idx="116">
                  <c:v>8.1635740804601579E-12</c:v>
                </c:pt>
                <c:pt idx="117">
                  <c:v>8.1635740804601579E-12</c:v>
                </c:pt>
                <c:pt idx="118">
                  <c:v>8.1635740804601579E-12</c:v>
                </c:pt>
                <c:pt idx="119">
                  <c:v>8.1635740804601579E-12</c:v>
                </c:pt>
                <c:pt idx="120">
                  <c:v>8.1635740804601579E-12</c:v>
                </c:pt>
                <c:pt idx="121">
                  <c:v>8.1635740804601579E-12</c:v>
                </c:pt>
                <c:pt idx="122">
                  <c:v>8.1635740804601579E-12</c:v>
                </c:pt>
                <c:pt idx="123">
                  <c:v>8.1635740804601579E-12</c:v>
                </c:pt>
                <c:pt idx="124">
                  <c:v>8.1635740804601579E-12</c:v>
                </c:pt>
                <c:pt idx="125">
                  <c:v>8.1635740804601579E-12</c:v>
                </c:pt>
                <c:pt idx="126">
                  <c:v>8.1635740804601579E-12</c:v>
                </c:pt>
                <c:pt idx="127">
                  <c:v>8.1635740804601579E-12</c:v>
                </c:pt>
                <c:pt idx="128">
                  <c:v>8.1635740804601579E-12</c:v>
                </c:pt>
                <c:pt idx="129">
                  <c:v>8.1635740804601579E-12</c:v>
                </c:pt>
                <c:pt idx="130">
                  <c:v>8.1635740804601579E-12</c:v>
                </c:pt>
                <c:pt idx="131">
                  <c:v>8.1635740804601579E-12</c:v>
                </c:pt>
                <c:pt idx="132">
                  <c:v>8.1635740804601579E-12</c:v>
                </c:pt>
                <c:pt idx="133">
                  <c:v>8.1635740804601579E-12</c:v>
                </c:pt>
                <c:pt idx="134">
                  <c:v>8.1635740804601579E-12</c:v>
                </c:pt>
                <c:pt idx="135">
                  <c:v>8.1635740804601579E-12</c:v>
                </c:pt>
                <c:pt idx="136">
                  <c:v>8.1635740804601579E-12</c:v>
                </c:pt>
                <c:pt idx="137">
                  <c:v>8.1635740804601579E-12</c:v>
                </c:pt>
                <c:pt idx="138">
                  <c:v>8.1635740804601579E-12</c:v>
                </c:pt>
                <c:pt idx="139">
                  <c:v>8.1635740804601579E-12</c:v>
                </c:pt>
                <c:pt idx="140">
                  <c:v>8.1635740804601579E-12</c:v>
                </c:pt>
                <c:pt idx="141">
                  <c:v>8.1635740804601579E-12</c:v>
                </c:pt>
                <c:pt idx="142">
                  <c:v>8.1635740804601579E-12</c:v>
                </c:pt>
                <c:pt idx="143">
                  <c:v>8.1635740804601579E-12</c:v>
                </c:pt>
                <c:pt idx="144">
                  <c:v>8.1635740804601579E-12</c:v>
                </c:pt>
                <c:pt idx="145">
                  <c:v>8.1635740804601579E-12</c:v>
                </c:pt>
                <c:pt idx="146">
                  <c:v>8.1635740804601579E-12</c:v>
                </c:pt>
                <c:pt idx="147">
                  <c:v>8.1635740804601579E-12</c:v>
                </c:pt>
                <c:pt idx="148">
                  <c:v>8.1635740804601579E-12</c:v>
                </c:pt>
                <c:pt idx="149">
                  <c:v>8.1635740804601579E-12</c:v>
                </c:pt>
                <c:pt idx="150">
                  <c:v>8.1635740804601579E-12</c:v>
                </c:pt>
                <c:pt idx="151">
                  <c:v>8.1635740804601579E-12</c:v>
                </c:pt>
                <c:pt idx="152">
                  <c:v>8.1635740804601579E-12</c:v>
                </c:pt>
                <c:pt idx="153">
                  <c:v>8.1635740804601579E-12</c:v>
                </c:pt>
                <c:pt idx="154">
                  <c:v>8.1635740804601579E-12</c:v>
                </c:pt>
                <c:pt idx="155">
                  <c:v>8.1635740804601579E-12</c:v>
                </c:pt>
                <c:pt idx="156">
                  <c:v>8.1635740804601579E-12</c:v>
                </c:pt>
                <c:pt idx="157">
                  <c:v>8.1635740804601579E-12</c:v>
                </c:pt>
                <c:pt idx="158">
                  <c:v>8.1635740804601579E-12</c:v>
                </c:pt>
                <c:pt idx="159">
                  <c:v>8.1635740804601579E-12</c:v>
                </c:pt>
                <c:pt idx="160">
                  <c:v>8.1635740804601579E-12</c:v>
                </c:pt>
                <c:pt idx="161">
                  <c:v>8.1635740804601579E-12</c:v>
                </c:pt>
                <c:pt idx="162">
                  <c:v>8.1635740804601579E-12</c:v>
                </c:pt>
                <c:pt idx="163">
                  <c:v>8.1635740804601579E-12</c:v>
                </c:pt>
                <c:pt idx="164">
                  <c:v>8.1635740804601579E-12</c:v>
                </c:pt>
                <c:pt idx="165">
                  <c:v>8.1635740804601579E-12</c:v>
                </c:pt>
                <c:pt idx="166">
                  <c:v>8.1635740804601579E-12</c:v>
                </c:pt>
                <c:pt idx="167">
                  <c:v>8.1635740804601579E-12</c:v>
                </c:pt>
                <c:pt idx="168">
                  <c:v>8.1635740804601579E-12</c:v>
                </c:pt>
                <c:pt idx="169">
                  <c:v>8.1635740804601579E-12</c:v>
                </c:pt>
                <c:pt idx="170">
                  <c:v>8.1635740804601579E-12</c:v>
                </c:pt>
                <c:pt idx="171">
                  <c:v>8.1635740804601579E-12</c:v>
                </c:pt>
                <c:pt idx="172">
                  <c:v>8.1635740804601579E-12</c:v>
                </c:pt>
                <c:pt idx="173">
                  <c:v>8.1635740804601579E-12</c:v>
                </c:pt>
                <c:pt idx="174">
                  <c:v>8.1635740804601579E-12</c:v>
                </c:pt>
                <c:pt idx="175">
                  <c:v>8.1635740804601579E-12</c:v>
                </c:pt>
                <c:pt idx="176">
                  <c:v>8.1635740804601579E-12</c:v>
                </c:pt>
                <c:pt idx="177">
                  <c:v>8.1635740804601579E-12</c:v>
                </c:pt>
                <c:pt idx="178">
                  <c:v>8.1635740804601579E-12</c:v>
                </c:pt>
                <c:pt idx="179">
                  <c:v>8.1635740804601579E-12</c:v>
                </c:pt>
                <c:pt idx="180">
                  <c:v>8.1635740804601579E-12</c:v>
                </c:pt>
                <c:pt idx="181">
                  <c:v>8.1635740804601579E-12</c:v>
                </c:pt>
                <c:pt idx="182">
                  <c:v>8.1635740804601579E-12</c:v>
                </c:pt>
                <c:pt idx="183">
                  <c:v>8.1635740804601579E-12</c:v>
                </c:pt>
                <c:pt idx="184">
                  <c:v>8.1635740804601579E-12</c:v>
                </c:pt>
                <c:pt idx="185">
                  <c:v>8.1635740804601579E-12</c:v>
                </c:pt>
                <c:pt idx="186">
                  <c:v>8.1635740804601579E-12</c:v>
                </c:pt>
                <c:pt idx="187">
                  <c:v>8.1635740804601579E-12</c:v>
                </c:pt>
                <c:pt idx="188">
                  <c:v>8.1635740804601579E-12</c:v>
                </c:pt>
                <c:pt idx="189">
                  <c:v>8.1635740804601579E-12</c:v>
                </c:pt>
                <c:pt idx="190">
                  <c:v>8.1635740804601579E-12</c:v>
                </c:pt>
                <c:pt idx="191">
                  <c:v>8.1635740804601579E-12</c:v>
                </c:pt>
                <c:pt idx="192">
                  <c:v>8.1635740804601579E-12</c:v>
                </c:pt>
                <c:pt idx="193">
                  <c:v>8.1635740804601579E-12</c:v>
                </c:pt>
                <c:pt idx="194">
                  <c:v>8.1635740804601579E-12</c:v>
                </c:pt>
                <c:pt idx="195">
                  <c:v>8.1635740804601579E-12</c:v>
                </c:pt>
                <c:pt idx="196">
                  <c:v>8.1635740804601579E-12</c:v>
                </c:pt>
                <c:pt idx="197">
                  <c:v>8.1635740804601579E-12</c:v>
                </c:pt>
                <c:pt idx="198">
                  <c:v>8.1635740804601579E-12</c:v>
                </c:pt>
                <c:pt idx="199">
                  <c:v>8.1635740804601579E-12</c:v>
                </c:pt>
                <c:pt idx="200">
                  <c:v>8.1635740804601579E-12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054800"/>
        <c:axId val="-1221056432"/>
      </c:scatterChart>
      <c:valAx>
        <c:axId val="-12210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56432"/>
        <c:crosses val="autoZero"/>
        <c:crossBetween val="midCat"/>
      </c:valAx>
      <c:valAx>
        <c:axId val="-122105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054256"/>
        <c:axId val="-1221048816"/>
      </c:scatterChart>
      <c:valAx>
        <c:axId val="-12210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48816"/>
        <c:crosses val="autoZero"/>
        <c:crossBetween val="midCat"/>
      </c:valAx>
      <c:valAx>
        <c:axId val="-122104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053712"/>
        <c:axId val="-1221050448"/>
      </c:scatterChart>
      <c:valAx>
        <c:axId val="-12210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50448"/>
        <c:crosses val="autoZero"/>
        <c:crossBetween val="midCat"/>
      </c:valAx>
      <c:valAx>
        <c:axId val="-12210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047728"/>
        <c:axId val="-1221049904"/>
      </c:scatterChart>
      <c:valAx>
        <c:axId val="-1221047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49904"/>
        <c:crosses val="autoZero"/>
        <c:crossBetween val="midCat"/>
      </c:valAx>
      <c:valAx>
        <c:axId val="-122104990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04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25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25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25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25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25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25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25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25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25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25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25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25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25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25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25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25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25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25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117" zoomScale="85" zoomScaleNormal="85" workbookViewId="0">
      <selection activeCell="B140" sqref="B14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0" t="s">
        <v>190</v>
      </c>
      <c r="D1" s="290"/>
      <c r="E1" s="29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5" t="s">
        <v>192</v>
      </c>
      <c r="C3" s="296"/>
      <c r="D3" s="296"/>
      <c r="E3" s="296"/>
      <c r="F3" s="297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1" t="s">
        <v>231</v>
      </c>
      <c r="B5" s="301"/>
      <c r="C5" s="26">
        <v>3.5030000000000001</v>
      </c>
      <c r="D5" s="302" t="s">
        <v>229</v>
      </c>
      <c r="E5" s="303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299" t="s">
        <v>226</v>
      </c>
      <c r="B7" s="299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0.45240000000000002</v>
      </c>
      <c r="D9" s="36">
        <f t="shared" ref="D9:D18" si="0">C9*$C$5</f>
        <v>1.5847572000000001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25</v>
      </c>
      <c r="C10" s="35">
        <v>0.1187</v>
      </c>
      <c r="D10" s="36">
        <f t="shared" si="0"/>
        <v>0.41580610000000001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6</v>
      </c>
      <c r="C11" s="35">
        <v>0.11849999999999999</v>
      </c>
      <c r="D11" s="36">
        <f t="shared" si="0"/>
        <v>0.41510550000000002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</v>
      </c>
      <c r="C12" s="35">
        <v>0.1138</v>
      </c>
      <c r="D12" s="36">
        <f t="shared" si="0"/>
        <v>0.39864140000000003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13</v>
      </c>
      <c r="C13" s="35">
        <v>4.9000000000000002E-2</v>
      </c>
      <c r="D13" s="36">
        <f t="shared" si="0"/>
        <v>0.17164700000000002</v>
      </c>
      <c r="E13" s="37">
        <v>55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8</v>
      </c>
      <c r="C14" s="35">
        <v>1.8599999999999998E-2</v>
      </c>
      <c r="D14" s="36">
        <f t="shared" si="0"/>
        <v>6.51558E-2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0.871</v>
      </c>
      <c r="D19" s="41">
        <f>SUM(D9:D18)</f>
        <v>3.0511130000000004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8" t="s">
        <v>232</v>
      </c>
      <c r="B22" s="298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0" t="s">
        <v>227</v>
      </c>
      <c r="B30" s="300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0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f>67+6</f>
        <v>73</v>
      </c>
      <c r="C36" s="63"/>
      <c r="D36" s="63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f>75+28+6</f>
        <v>109</v>
      </c>
      <c r="C37" s="63">
        <v>1</v>
      </c>
      <c r="D37" s="63">
        <f>6+28</f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f>93+28</f>
        <v>121</v>
      </c>
      <c r="C38" s="63"/>
      <c r="D38" s="63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f>119+28+28</f>
        <v>175</v>
      </c>
      <c r="C39" s="63">
        <v>2</v>
      </c>
      <c r="D39" s="63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f>147+28</f>
        <v>175</v>
      </c>
      <c r="C40" s="63"/>
      <c r="D40" s="63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f>176+28+28</f>
        <v>232</v>
      </c>
      <c r="C41" s="63">
        <v>3</v>
      </c>
      <c r="D41" s="63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f>203+28</f>
        <v>231</v>
      </c>
      <c r="C42" s="53"/>
      <c r="D42" s="63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3">
        <f>226+28+28</f>
        <v>282</v>
      </c>
      <c r="C43" s="53">
        <v>4</v>
      </c>
      <c r="D43" s="63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63">
        <f>245+28</f>
        <v>273</v>
      </c>
      <c r="C44" s="53"/>
      <c r="D44" s="63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63">
        <f>261+28+28</f>
        <v>317</v>
      </c>
      <c r="C45" s="53">
        <v>5</v>
      </c>
      <c r="D45" s="63">
        <f>D43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63">
        <f>274+28</f>
        <v>302</v>
      </c>
      <c r="C46" s="53"/>
      <c r="D46" s="63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63">
        <f>284+28+28</f>
        <v>340</v>
      </c>
      <c r="C47" s="53">
        <v>6</v>
      </c>
      <c r="D47" s="63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63">
        <f>292+28</f>
        <v>320</v>
      </c>
      <c r="C48" s="53"/>
      <c r="D48" s="63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90</v>
      </c>
      <c r="B49" s="63">
        <f>302+28+28</f>
        <v>358</v>
      </c>
      <c r="C49" s="53">
        <v>7</v>
      </c>
      <c r="D49" s="63">
        <f>28+28</f>
        <v>56</v>
      </c>
      <c r="E49" s="54"/>
      <c r="F49" s="54"/>
      <c r="G49" s="54"/>
      <c r="H49" s="54"/>
      <c r="I49" s="52">
        <f t="shared" si="1"/>
        <v>3.8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100</v>
      </c>
      <c r="B50" s="53">
        <v>361</v>
      </c>
      <c r="C50" s="53">
        <v>8</v>
      </c>
      <c r="D50" s="53">
        <v>55</v>
      </c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110</v>
      </c>
      <c r="B51" s="53">
        <v>360</v>
      </c>
      <c r="C51" s="53">
        <v>9</v>
      </c>
      <c r="D51" s="53">
        <v>53</v>
      </c>
      <c r="E51" s="54"/>
      <c r="F51" s="54"/>
      <c r="G51" s="54"/>
      <c r="H51" s="54"/>
      <c r="I51" s="52">
        <f t="shared" si="1"/>
        <v>5.4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120</v>
      </c>
      <c r="B52" s="53">
        <v>352</v>
      </c>
      <c r="C52" s="53">
        <v>10</v>
      </c>
      <c r="D52" s="53">
        <v>47</v>
      </c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130</v>
      </c>
      <c r="B53" s="53">
        <v>347</v>
      </c>
      <c r="C53" s="53">
        <v>11</v>
      </c>
      <c r="D53" s="53">
        <v>44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140</v>
      </c>
      <c r="B54" s="53">
        <v>343</v>
      </c>
      <c r="C54" s="53">
        <v>12</v>
      </c>
      <c r="D54" s="53">
        <v>43</v>
      </c>
      <c r="E54" s="54"/>
      <c r="F54" s="54"/>
      <c r="G54" s="54"/>
      <c r="H54" s="54"/>
      <c r="I54" s="52">
        <f t="shared" si="1"/>
        <v>4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335</v>
      </c>
      <c r="C55" s="53">
        <v>13</v>
      </c>
      <c r="D55" s="53">
        <v>335</v>
      </c>
      <c r="E55" s="54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Hêtre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0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9</v>
      </c>
      <c r="C62" s="63"/>
      <c r="D62" s="63"/>
      <c r="E62" s="54"/>
      <c r="F62" s="54"/>
      <c r="G62" s="54"/>
      <c r="H62" s="54"/>
      <c r="I62" s="56">
        <f>IFERROR(B62/A62,"")</f>
        <v>0.6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18</v>
      </c>
      <c r="B63" s="63">
        <v>53</v>
      </c>
      <c r="C63" s="63">
        <v>1</v>
      </c>
      <c r="D63" s="63">
        <v>2</v>
      </c>
      <c r="E63" s="54"/>
      <c r="F63" s="54"/>
      <c r="G63" s="54"/>
      <c r="H63" s="54">
        <v>1</v>
      </c>
      <c r="I63" s="52">
        <f>IF(A63&lt;&gt;0,(B63-(B62-D62))/(A63-A62),"")</f>
        <v>14.666666666666666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21</v>
      </c>
      <c r="B64" s="63">
        <v>111</v>
      </c>
      <c r="C64" s="63">
        <v>2</v>
      </c>
      <c r="D64" s="63">
        <v>8</v>
      </c>
      <c r="E64" s="54"/>
      <c r="F64" s="54"/>
      <c r="G64" s="54"/>
      <c r="H64" s="54">
        <v>1</v>
      </c>
      <c r="I64" s="52">
        <f>IF(A64&lt;&gt;0,(B64-(B63-D63))/(A64-A63),"")</f>
        <v>20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24</v>
      </c>
      <c r="B65" s="63">
        <v>173</v>
      </c>
      <c r="C65" s="63">
        <v>3</v>
      </c>
      <c r="D65" s="63">
        <v>47</v>
      </c>
      <c r="E65" s="54"/>
      <c r="F65" s="54"/>
      <c r="G65" s="54"/>
      <c r="H65" s="54">
        <v>1</v>
      </c>
      <c r="I65" s="52">
        <f>IF(A65&lt;&gt;0,(B65-(B64-D64))/(A65-A64),"")</f>
        <v>23.333333333333332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27</v>
      </c>
      <c r="B66" s="63">
        <v>198</v>
      </c>
      <c r="C66" s="63">
        <v>4</v>
      </c>
      <c r="D66" s="63">
        <v>43</v>
      </c>
      <c r="E66" s="54"/>
      <c r="F66" s="54"/>
      <c r="G66" s="54"/>
      <c r="H66" s="54">
        <v>1</v>
      </c>
      <c r="I66" s="52">
        <f t="shared" ref="I66:I81" si="2">IF(A66&lt;&gt;0,(B66-(B65-D65))/(A66-A65),"")</f>
        <v>24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v>228</v>
      </c>
      <c r="C67" s="63">
        <v>5</v>
      </c>
      <c r="D67" s="63">
        <v>48</v>
      </c>
      <c r="E67" s="54"/>
      <c r="F67" s="54"/>
      <c r="G67" s="54"/>
      <c r="H67" s="54">
        <v>1</v>
      </c>
      <c r="I67" s="52">
        <f t="shared" si="2"/>
        <v>24.333333333333332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36</v>
      </c>
      <c r="B68" s="63">
        <v>326</v>
      </c>
      <c r="C68" s="63">
        <v>6</v>
      </c>
      <c r="D68" s="63">
        <v>92</v>
      </c>
      <c r="E68" s="54"/>
      <c r="F68" s="54"/>
      <c r="G68" s="54"/>
      <c r="H68" s="54"/>
      <c r="I68" s="52">
        <f t="shared" si="2"/>
        <v>24.333333333333332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42</v>
      </c>
      <c r="B69" s="53">
        <v>367</v>
      </c>
      <c r="C69" s="53">
        <v>7</v>
      </c>
      <c r="D69" s="53">
        <v>90</v>
      </c>
      <c r="E69" s="54"/>
      <c r="F69" s="54"/>
      <c r="G69" s="54"/>
      <c r="H69" s="54"/>
      <c r="I69" s="52">
        <f t="shared" si="2"/>
        <v>22.166666666666668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51</v>
      </c>
      <c r="B70" s="53">
        <v>455</v>
      </c>
      <c r="C70" s="53">
        <v>8</v>
      </c>
      <c r="D70" s="53">
        <v>119</v>
      </c>
      <c r="E70" s="54"/>
      <c r="F70" s="54"/>
      <c r="G70" s="54"/>
      <c r="H70" s="54"/>
      <c r="I70" s="52">
        <f t="shared" si="2"/>
        <v>19.777777777777779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63</v>
      </c>
      <c r="B71" s="53">
        <v>525</v>
      </c>
      <c r="C71" s="53">
        <v>9</v>
      </c>
      <c r="D71" s="53">
        <v>124</v>
      </c>
      <c r="E71" s="54"/>
      <c r="F71" s="54"/>
      <c r="G71" s="54"/>
      <c r="H71" s="54"/>
      <c r="I71" s="52">
        <f t="shared" si="2"/>
        <v>15.75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72</v>
      </c>
      <c r="B72" s="53">
        <v>513</v>
      </c>
      <c r="C72" s="53"/>
      <c r="D72" s="53"/>
      <c r="E72" s="54"/>
      <c r="F72" s="54"/>
      <c r="G72" s="54"/>
      <c r="H72" s="54"/>
      <c r="I72" s="52">
        <f t="shared" si="2"/>
        <v>12.444444444444445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81</v>
      </c>
      <c r="B73" s="53">
        <v>614</v>
      </c>
      <c r="C73" s="53"/>
      <c r="D73" s="53"/>
      <c r="E73" s="54"/>
      <c r="F73" s="54"/>
      <c r="G73" s="54"/>
      <c r="H73" s="54"/>
      <c r="I73" s="52">
        <f t="shared" si="2"/>
        <v>11.222222222222221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84</v>
      </c>
      <c r="B74" s="53">
        <v>645</v>
      </c>
      <c r="C74" s="53"/>
      <c r="D74" s="53"/>
      <c r="E74" s="54"/>
      <c r="F74" s="54"/>
      <c r="G74" s="54"/>
      <c r="H74" s="54"/>
      <c r="I74" s="52">
        <f t="shared" si="2"/>
        <v>10.333333333333334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705</v>
      </c>
      <c r="C75" s="53">
        <v>10</v>
      </c>
      <c r="D75" s="53">
        <v>705</v>
      </c>
      <c r="E75" s="54"/>
      <c r="F75" s="54"/>
      <c r="G75" s="54"/>
      <c r="H75" s="54"/>
      <c r="I75" s="52">
        <f t="shared" si="2"/>
        <v>10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Charme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0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f>74/1.56</f>
        <v>47.435897435897431</v>
      </c>
      <c r="C88" s="63"/>
      <c r="D88" s="63"/>
      <c r="E88" s="54"/>
      <c r="F88" s="54"/>
      <c r="G88" s="54"/>
      <c r="H88" s="66"/>
      <c r="I88" s="56">
        <f>IFERROR(B88/A88,"")</f>
        <v>3.1623931623931623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f>(118+14)/1.56</f>
        <v>84.615384615384613</v>
      </c>
      <c r="C89" s="63"/>
      <c r="D89" s="63"/>
      <c r="E89" s="66"/>
      <c r="F89" s="66"/>
      <c r="G89" s="66"/>
      <c r="H89" s="66"/>
      <c r="I89" s="56">
        <f t="shared" ref="I89:I107" si="3">IF(A89&lt;&gt;0,(B89-(B88-D88))/(A89-A88),"")</f>
        <v>7.4358974358974361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f>(158+14+19)/1.56</f>
        <v>122.43589743589743</v>
      </c>
      <c r="C90" s="63">
        <v>1</v>
      </c>
      <c r="D90" s="63">
        <f>(14+19+23)/1.56</f>
        <v>35.897435897435898</v>
      </c>
      <c r="E90" s="66"/>
      <c r="F90" s="66"/>
      <c r="G90" s="66"/>
      <c r="H90" s="66">
        <v>1</v>
      </c>
      <c r="I90" s="56">
        <f t="shared" si="3"/>
        <v>7.5641025641025639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f>193/1.56</f>
        <v>123.71794871794872</v>
      </c>
      <c r="C91" s="63"/>
      <c r="D91" s="63"/>
      <c r="E91" s="66"/>
      <c r="F91" s="66"/>
      <c r="G91" s="66"/>
      <c r="H91" s="66"/>
      <c r="I91" s="56">
        <f t="shared" si="3"/>
        <v>7.4358974358974361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f>(224+25)/1.56</f>
        <v>159.61538461538461</v>
      </c>
      <c r="C92" s="63">
        <v>2</v>
      </c>
      <c r="D92" s="63">
        <f>(25+27)/1.56</f>
        <v>33.333333333333336</v>
      </c>
      <c r="E92" s="66"/>
      <c r="F92" s="66"/>
      <c r="G92" s="66"/>
      <c r="H92" s="66"/>
      <c r="I92" s="56">
        <f t="shared" si="3"/>
        <v>7.1794871794871797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f>250/1.56</f>
        <v>160.25641025641025</v>
      </c>
      <c r="C93" s="63"/>
      <c r="D93" s="63"/>
      <c r="E93" s="66"/>
      <c r="F93" s="66"/>
      <c r="G93" s="66"/>
      <c r="H93" s="66"/>
      <c r="I93" s="56">
        <f t="shared" si="3"/>
        <v>6.7948717948717956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f>(272+27)/1.56</f>
        <v>191.66666666666666</v>
      </c>
      <c r="C94" s="63">
        <v>3</v>
      </c>
      <c r="D94" s="63">
        <f>(27+27)/1.56</f>
        <v>34.615384615384613</v>
      </c>
      <c r="E94" s="66"/>
      <c r="F94" s="66"/>
      <c r="G94" s="66"/>
      <c r="H94" s="66"/>
      <c r="I94" s="56">
        <f t="shared" si="3"/>
        <v>6.2820512820512819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50</v>
      </c>
      <c r="B95" s="53">
        <v>187.17948717948718</v>
      </c>
      <c r="C95" s="53"/>
      <c r="D95" s="53"/>
      <c r="E95" s="66"/>
      <c r="F95" s="66"/>
      <c r="G95" s="66"/>
      <c r="H95" s="66"/>
      <c r="I95" s="56">
        <f t="shared" si="3"/>
        <v>6.0256410256410273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55</v>
      </c>
      <c r="B96" s="53">
        <v>215.38461538461539</v>
      </c>
      <c r="C96" s="53">
        <v>4</v>
      </c>
      <c r="D96" s="53">
        <v>34.615384615384613</v>
      </c>
      <c r="E96" s="66"/>
      <c r="F96" s="66"/>
      <c r="G96" s="66"/>
      <c r="H96" s="66"/>
      <c r="I96" s="56">
        <f t="shared" si="3"/>
        <v>5.6410256410256405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60</v>
      </c>
      <c r="B97" s="53">
        <v>207.69230769230768</v>
      </c>
      <c r="C97" s="53"/>
      <c r="D97" s="53"/>
      <c r="E97" s="66"/>
      <c r="F97" s="66"/>
      <c r="G97" s="66"/>
      <c r="H97" s="66"/>
      <c r="I97" s="56">
        <f t="shared" si="3"/>
        <v>5.3846153846153815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65</v>
      </c>
      <c r="B98" s="53">
        <v>232.69230769230768</v>
      </c>
      <c r="C98" s="53">
        <v>5</v>
      </c>
      <c r="D98" s="53">
        <v>32.692307692307693</v>
      </c>
      <c r="E98" s="66"/>
      <c r="F98" s="66"/>
      <c r="G98" s="66"/>
      <c r="H98" s="66"/>
      <c r="I98" s="56">
        <f t="shared" si="3"/>
        <v>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70</v>
      </c>
      <c r="B99" s="53">
        <v>223.7179487179487</v>
      </c>
      <c r="C99" s="53"/>
      <c r="D99" s="53"/>
      <c r="E99" s="66"/>
      <c r="F99" s="66"/>
      <c r="G99" s="66"/>
      <c r="H99" s="66"/>
      <c r="I99" s="56">
        <f t="shared" si="3"/>
        <v>4.7435897435897401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75</v>
      </c>
      <c r="B100" s="53">
        <v>246.15384615384613</v>
      </c>
      <c r="C100" s="53">
        <v>6</v>
      </c>
      <c r="D100" s="53">
        <v>30.769230769230766</v>
      </c>
      <c r="E100" s="67"/>
      <c r="F100" s="67"/>
      <c r="G100" s="67"/>
      <c r="H100" s="67"/>
      <c r="I100" s="56">
        <f t="shared" si="3"/>
        <v>4.4871794871794863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80</v>
      </c>
      <c r="B101" s="53">
        <v>237.17948717948718</v>
      </c>
      <c r="C101" s="53"/>
      <c r="D101" s="53"/>
      <c r="E101" s="57"/>
      <c r="F101" s="57"/>
      <c r="G101" s="57"/>
      <c r="H101" s="57"/>
      <c r="I101" s="56">
        <f t="shared" si="3"/>
        <v>4.3589743589743648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85</v>
      </c>
      <c r="B102" s="53">
        <v>258.33333333333331</v>
      </c>
      <c r="C102" s="53">
        <v>7</v>
      </c>
      <c r="D102" s="53">
        <v>28.846153846153847</v>
      </c>
      <c r="E102" s="57"/>
      <c r="F102" s="57"/>
      <c r="G102" s="57"/>
      <c r="H102" s="57"/>
      <c r="I102" s="56">
        <f t="shared" si="3"/>
        <v>4.2307692307692264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90</v>
      </c>
      <c r="B103" s="53">
        <v>248.7179487179487</v>
      </c>
      <c r="C103" s="53"/>
      <c r="D103" s="53"/>
      <c r="E103" s="57"/>
      <c r="F103" s="57"/>
      <c r="G103" s="57"/>
      <c r="H103" s="57"/>
      <c r="I103" s="56">
        <f t="shared" si="3"/>
        <v>3.8461538461538454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95</v>
      </c>
      <c r="B104" s="53">
        <v>267.94871794871796</v>
      </c>
      <c r="C104" s="53">
        <v>8</v>
      </c>
      <c r="D104" s="53">
        <v>27.564102564102562</v>
      </c>
      <c r="E104" s="57"/>
      <c r="F104" s="57"/>
      <c r="G104" s="57"/>
      <c r="H104" s="57"/>
      <c r="I104" s="56">
        <f t="shared" si="3"/>
        <v>3.8461538461538511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100</v>
      </c>
      <c r="B105" s="53">
        <v>258.33333333333331</v>
      </c>
      <c r="C105" s="53"/>
      <c r="D105" s="53"/>
      <c r="E105" s="57"/>
      <c r="F105" s="57"/>
      <c r="G105" s="57"/>
      <c r="H105" s="57"/>
      <c r="I105" s="56">
        <f t="shared" si="3"/>
        <v>3.5897435897435854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292.30769230769232</v>
      </c>
      <c r="C106" s="53">
        <v>9</v>
      </c>
      <c r="D106" s="53">
        <v>37.820512820512818</v>
      </c>
      <c r="E106" s="57"/>
      <c r="F106" s="57"/>
      <c r="G106" s="57"/>
      <c r="H106" s="57"/>
      <c r="I106" s="56">
        <f t="shared" si="3"/>
        <v>3.3974358974359005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285.89743589743591</v>
      </c>
      <c r="C107" s="53">
        <v>10</v>
      </c>
      <c r="D107" s="53">
        <v>285.89743589743591</v>
      </c>
      <c r="E107" s="57"/>
      <c r="F107" s="57"/>
      <c r="G107" s="57"/>
      <c r="H107" s="57"/>
      <c r="I107" s="56">
        <f t="shared" si="3"/>
        <v>3.141025641025641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pubescent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0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f>67+6</f>
        <v>73</v>
      </c>
      <c r="C114" s="63"/>
      <c r="D114" s="63"/>
      <c r="E114" s="54"/>
      <c r="F114" s="54"/>
      <c r="G114" s="54"/>
      <c r="H114" s="54"/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f>75+28+6</f>
        <v>109</v>
      </c>
      <c r="C115" s="63">
        <v>1</v>
      </c>
      <c r="D115" s="63">
        <f>6+28</f>
        <v>34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f>93+28</f>
        <v>121</v>
      </c>
      <c r="C116" s="63"/>
      <c r="D116" s="63"/>
      <c r="E116" s="54"/>
      <c r="F116" s="54"/>
      <c r="G116" s="54"/>
      <c r="H116" s="54"/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f>119+28+28</f>
        <v>175</v>
      </c>
      <c r="C117" s="63">
        <v>2</v>
      </c>
      <c r="D117" s="63">
        <f>28+28</f>
        <v>56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f>147+28</f>
        <v>175</v>
      </c>
      <c r="C118" s="63"/>
      <c r="D118" s="63"/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f>176+28+28</f>
        <v>232</v>
      </c>
      <c r="C119" s="63">
        <v>3</v>
      </c>
      <c r="D119" s="63">
        <f>28+28</f>
        <v>56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3">
        <f>203+28</f>
        <v>231</v>
      </c>
      <c r="C120" s="53"/>
      <c r="D120" s="63"/>
      <c r="E120" s="54"/>
      <c r="F120" s="54"/>
      <c r="G120" s="54"/>
      <c r="H120" s="54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63">
        <f>226+28+28</f>
        <v>282</v>
      </c>
      <c r="C121" s="53">
        <v>4</v>
      </c>
      <c r="D121" s="63">
        <f>28+28</f>
        <v>56</v>
      </c>
      <c r="E121" s="54"/>
      <c r="F121" s="54"/>
      <c r="G121" s="54"/>
      <c r="H121" s="54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63">
        <f>245+28</f>
        <v>273</v>
      </c>
      <c r="C122" s="53"/>
      <c r="D122" s="63"/>
      <c r="E122" s="54"/>
      <c r="F122" s="54"/>
      <c r="G122" s="54"/>
      <c r="H122" s="54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63">
        <f>261+28+28</f>
        <v>317</v>
      </c>
      <c r="C123" s="53">
        <v>5</v>
      </c>
      <c r="D123" s="63">
        <f>D121</f>
        <v>56</v>
      </c>
      <c r="E123" s="54"/>
      <c r="F123" s="54"/>
      <c r="G123" s="54"/>
      <c r="H123" s="54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63">
        <f>274+28</f>
        <v>302</v>
      </c>
      <c r="C124" s="53"/>
      <c r="D124" s="63"/>
      <c r="E124" s="54"/>
      <c r="F124" s="54"/>
      <c r="G124" s="54"/>
      <c r="H124" s="54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75</v>
      </c>
      <c r="B125" s="63">
        <f>284+28+28</f>
        <v>340</v>
      </c>
      <c r="C125" s="53">
        <v>6</v>
      </c>
      <c r="D125" s="63">
        <f>28+28</f>
        <v>56</v>
      </c>
      <c r="E125" s="54"/>
      <c r="F125" s="54"/>
      <c r="G125" s="54"/>
      <c r="H125" s="54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80</v>
      </c>
      <c r="B126" s="63">
        <f>292+28</f>
        <v>320</v>
      </c>
      <c r="C126" s="53"/>
      <c r="D126" s="63"/>
      <c r="E126" s="54"/>
      <c r="F126" s="54"/>
      <c r="G126" s="54"/>
      <c r="H126" s="54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90</v>
      </c>
      <c r="B127" s="63">
        <f>302+28+28</f>
        <v>358</v>
      </c>
      <c r="C127" s="53">
        <v>7</v>
      </c>
      <c r="D127" s="63">
        <f>28+28</f>
        <v>56</v>
      </c>
      <c r="E127" s="54"/>
      <c r="F127" s="54"/>
      <c r="G127" s="54"/>
      <c r="H127" s="54"/>
      <c r="I127" s="56">
        <f t="shared" si="4"/>
        <v>3.8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100</v>
      </c>
      <c r="B128" s="53">
        <v>361</v>
      </c>
      <c r="C128" s="53">
        <v>8</v>
      </c>
      <c r="D128" s="53">
        <v>55</v>
      </c>
      <c r="E128" s="54"/>
      <c r="F128" s="54"/>
      <c r="G128" s="54"/>
      <c r="H128" s="54"/>
      <c r="I128" s="56">
        <f t="shared" si="4"/>
        <v>5.9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110</v>
      </c>
      <c r="B129" s="53">
        <v>360</v>
      </c>
      <c r="C129" s="53">
        <v>9</v>
      </c>
      <c r="D129" s="53">
        <v>53</v>
      </c>
      <c r="E129" s="54"/>
      <c r="F129" s="54"/>
      <c r="G129" s="54"/>
      <c r="H129" s="54"/>
      <c r="I129" s="56">
        <f t="shared" si="4"/>
        <v>5.4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120</v>
      </c>
      <c r="B130" s="53">
        <v>352</v>
      </c>
      <c r="C130" s="53">
        <v>10</v>
      </c>
      <c r="D130" s="53">
        <v>47</v>
      </c>
      <c r="E130" s="54"/>
      <c r="F130" s="54"/>
      <c r="G130" s="54"/>
      <c r="H130" s="54"/>
      <c r="I130" s="56">
        <f t="shared" si="4"/>
        <v>4.5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130</v>
      </c>
      <c r="B131" s="53">
        <v>347</v>
      </c>
      <c r="C131" s="53">
        <v>11</v>
      </c>
      <c r="D131" s="53">
        <v>44</v>
      </c>
      <c r="E131" s="54"/>
      <c r="F131" s="54"/>
      <c r="G131" s="54"/>
      <c r="H131" s="54"/>
      <c r="I131" s="56">
        <f t="shared" si="4"/>
        <v>4.2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140</v>
      </c>
      <c r="B132" s="53">
        <v>343</v>
      </c>
      <c r="C132" s="53">
        <v>12</v>
      </c>
      <c r="D132" s="53">
        <v>43</v>
      </c>
      <c r="E132" s="54"/>
      <c r="F132" s="54"/>
      <c r="G132" s="54"/>
      <c r="H132" s="54"/>
      <c r="I132" s="56">
        <f t="shared" si="4"/>
        <v>4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150</v>
      </c>
      <c r="B133" s="53">
        <v>335</v>
      </c>
      <c r="C133" s="53">
        <v>13</v>
      </c>
      <c r="D133" s="53">
        <v>335</v>
      </c>
      <c r="E133" s="54"/>
      <c r="F133" s="54"/>
      <c r="G133" s="54"/>
      <c r="H133" s="54"/>
      <c r="I133" s="56">
        <f t="shared" si="4"/>
        <v>3.5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rouge d'Amérique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0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107</v>
      </c>
      <c r="C140" s="53"/>
      <c r="D140" s="63"/>
      <c r="E140" s="54"/>
      <c r="F140" s="54"/>
      <c r="G140" s="54"/>
      <c r="H140" s="54"/>
      <c r="I140" s="60">
        <f>IFERROR(B140/A140,"")</f>
        <v>7.1333333333333337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f>154+34</f>
        <v>188</v>
      </c>
      <c r="C141" s="53">
        <v>1</v>
      </c>
      <c r="D141" s="63">
        <f>50+34</f>
        <v>84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16.2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f>183</f>
        <v>183</v>
      </c>
      <c r="C142" s="53"/>
      <c r="D142" s="63"/>
      <c r="E142" s="54"/>
      <c r="F142" s="54"/>
      <c r="G142" s="54"/>
      <c r="H142" s="54"/>
      <c r="I142" s="60">
        <f t="shared" si="5"/>
        <v>15.8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f>205+52</f>
        <v>257</v>
      </c>
      <c r="C143" s="53">
        <v>2</v>
      </c>
      <c r="D143" s="63">
        <f>52+51</f>
        <v>103</v>
      </c>
      <c r="E143" s="54"/>
      <c r="F143" s="54"/>
      <c r="G143" s="54"/>
      <c r="H143" s="54">
        <v>1</v>
      </c>
      <c r="I143" s="60">
        <f t="shared" si="5"/>
        <v>14.8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f>222</f>
        <v>222</v>
      </c>
      <c r="C144" s="53"/>
      <c r="D144" s="63"/>
      <c r="E144" s="54"/>
      <c r="F144" s="54"/>
      <c r="G144" s="54"/>
      <c r="H144" s="54"/>
      <c r="I144" s="60">
        <f t="shared" si="5"/>
        <v>13.6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f>235+49</f>
        <v>284</v>
      </c>
      <c r="C145" s="53">
        <v>3</v>
      </c>
      <c r="D145" s="63">
        <f>45+49</f>
        <v>94</v>
      </c>
      <c r="E145" s="54"/>
      <c r="F145" s="54"/>
      <c r="G145" s="54"/>
      <c r="H145" s="54"/>
      <c r="I145" s="60">
        <f t="shared" si="5"/>
        <v>12.4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f>245</f>
        <v>245</v>
      </c>
      <c r="C146" s="53"/>
      <c r="D146" s="63"/>
      <c r="E146" s="54"/>
      <c r="F146" s="54"/>
      <c r="G146" s="54"/>
      <c r="H146" s="54"/>
      <c r="I146" s="60">
        <f t="shared" si="5"/>
        <v>11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f>252+41</f>
        <v>293</v>
      </c>
      <c r="C147" s="53">
        <v>4</v>
      </c>
      <c r="D147" s="63">
        <f>37+41</f>
        <v>78</v>
      </c>
      <c r="E147" s="54"/>
      <c r="F147" s="54"/>
      <c r="G147" s="54"/>
      <c r="H147" s="54"/>
      <c r="I147" s="60">
        <f>IF(A147&lt;&gt;0,(B147-(B146-D146))/(A147-A146),"")</f>
        <v>9.6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f>258</f>
        <v>258</v>
      </c>
      <c r="C148" s="53">
        <v>5</v>
      </c>
      <c r="D148" s="63">
        <f>258</f>
        <v>258</v>
      </c>
      <c r="E148" s="54"/>
      <c r="F148" s="54"/>
      <c r="G148" s="54"/>
      <c r="H148" s="54"/>
      <c r="I148" s="60">
        <f t="shared" si="5"/>
        <v>8.6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Châtaignier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0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63">
        <f>12.1+6.7</f>
        <v>18.8</v>
      </c>
      <c r="C166" s="63"/>
      <c r="D166" s="63"/>
      <c r="E166" s="54"/>
      <c r="F166" s="54"/>
      <c r="G166" s="54"/>
      <c r="H166" s="54"/>
      <c r="I166" s="52">
        <f>IFERROR(B166/A166,"")</f>
        <v>1.8800000000000001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63">
        <f>42.6+42+6.7</f>
        <v>91.3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14.5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63">
        <f>81.2+42+42+6.7</f>
        <v>171.89999999999998</v>
      </c>
      <c r="C168" s="63">
        <v>1</v>
      </c>
      <c r="D168" s="63">
        <f>6.7+42+42</f>
        <v>90.7</v>
      </c>
      <c r="E168" s="54"/>
      <c r="F168" s="54"/>
      <c r="G168" s="54"/>
      <c r="H168" s="54">
        <v>1</v>
      </c>
      <c r="I168" s="52">
        <f t="shared" si="6"/>
        <v>16.119999999999997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63">
        <f>123+42</f>
        <v>165</v>
      </c>
      <c r="C169" s="63"/>
      <c r="D169" s="63"/>
      <c r="E169" s="54"/>
      <c r="F169" s="54"/>
      <c r="G169" s="54"/>
      <c r="H169" s="54"/>
      <c r="I169" s="52">
        <f t="shared" si="6"/>
        <v>16.760000000000005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63">
        <f>163.2+42+42</f>
        <v>247.2</v>
      </c>
      <c r="C170" s="63">
        <v>2</v>
      </c>
      <c r="D170" s="63">
        <f>42+42</f>
        <v>84</v>
      </c>
      <c r="E170" s="54"/>
      <c r="F170" s="54"/>
      <c r="G170" s="54"/>
      <c r="H170" s="54">
        <v>1</v>
      </c>
      <c r="I170" s="52">
        <f t="shared" si="6"/>
        <v>16.439999999999998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63">
        <f>197+42</f>
        <v>239</v>
      </c>
      <c r="C171" s="63"/>
      <c r="D171" s="63"/>
      <c r="E171" s="54"/>
      <c r="F171" s="54"/>
      <c r="G171" s="54"/>
      <c r="H171" s="54"/>
      <c r="I171" s="52">
        <f t="shared" si="6"/>
        <v>15.160000000000002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40</v>
      </c>
      <c r="B172" s="63">
        <f>223.3+40.1+42</f>
        <v>305.40000000000003</v>
      </c>
      <c r="C172" s="53">
        <v>3</v>
      </c>
      <c r="D172" s="63">
        <f>40.1+42</f>
        <v>82.1</v>
      </c>
      <c r="E172" s="54"/>
      <c r="F172" s="54"/>
      <c r="G172" s="54"/>
      <c r="H172" s="54"/>
      <c r="I172" s="52">
        <f t="shared" si="6"/>
        <v>13.280000000000006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45</v>
      </c>
      <c r="B173" s="63">
        <f>253.9+26.3</f>
        <v>280.2</v>
      </c>
      <c r="C173" s="53"/>
      <c r="D173" s="63"/>
      <c r="E173" s="54"/>
      <c r="F173" s="54"/>
      <c r="G173" s="54"/>
      <c r="H173" s="54"/>
      <c r="I173" s="52">
        <f t="shared" si="6"/>
        <v>11.37999999999999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50</v>
      </c>
      <c r="B174" s="63">
        <f>281.6+21.2+26.3</f>
        <v>329.1</v>
      </c>
      <c r="C174" s="53">
        <v>4</v>
      </c>
      <c r="D174" s="63">
        <f>21.2+26.3</f>
        <v>47.5</v>
      </c>
      <c r="E174" s="54"/>
      <c r="F174" s="54"/>
      <c r="G174" s="54"/>
      <c r="H174" s="54"/>
      <c r="I174" s="52">
        <f t="shared" si="6"/>
        <v>9.7800000000000065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55</v>
      </c>
      <c r="B175" s="63">
        <f>305.7+18.4</f>
        <v>324.09999999999997</v>
      </c>
      <c r="C175" s="53"/>
      <c r="D175" s="63"/>
      <c r="E175" s="54"/>
      <c r="F175" s="54"/>
      <c r="G175" s="54"/>
      <c r="H175" s="54"/>
      <c r="I175" s="52">
        <f t="shared" si="6"/>
        <v>8.4999999999999893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60</v>
      </c>
      <c r="B176" s="63">
        <f>325.5+16.7+18.4</f>
        <v>360.59999999999997</v>
      </c>
      <c r="C176" s="53">
        <v>5</v>
      </c>
      <c r="D176" s="63">
        <f>16.7+18.4</f>
        <v>35.099999999999994</v>
      </c>
      <c r="E176" s="54"/>
      <c r="F176" s="54"/>
      <c r="G176" s="54"/>
      <c r="H176" s="54"/>
      <c r="I176" s="52">
        <f t="shared" si="6"/>
        <v>7.3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65</v>
      </c>
      <c r="B177" s="63">
        <f>340.1+15.9</f>
        <v>356</v>
      </c>
      <c r="C177" s="53"/>
      <c r="D177" s="63"/>
      <c r="E177" s="54"/>
      <c r="F177" s="54"/>
      <c r="G177" s="54"/>
      <c r="H177" s="54"/>
      <c r="I177" s="52">
        <f t="shared" si="6"/>
        <v>6.1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70</v>
      </c>
      <c r="B178" s="63">
        <f>350.8+15+15.9</f>
        <v>381.7</v>
      </c>
      <c r="C178" s="53">
        <v>6</v>
      </c>
      <c r="D178" s="63">
        <f>15+15.9</f>
        <v>30.9</v>
      </c>
      <c r="E178" s="54"/>
      <c r="F178" s="54"/>
      <c r="G178" s="54"/>
      <c r="H178" s="54"/>
      <c r="I178" s="52">
        <f t="shared" si="6"/>
        <v>5.1399999999999979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75</v>
      </c>
      <c r="B179" s="63">
        <f>361+14.1</f>
        <v>375.1</v>
      </c>
      <c r="C179" s="53"/>
      <c r="D179" s="63"/>
      <c r="E179" s="54"/>
      <c r="F179" s="54"/>
      <c r="G179" s="54"/>
      <c r="H179" s="54"/>
      <c r="I179" s="52">
        <f t="shared" si="6"/>
        <v>4.8600000000000021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80</v>
      </c>
      <c r="B180" s="53">
        <f>368.3+13.2+14.1</f>
        <v>395.6</v>
      </c>
      <c r="C180" s="53">
        <v>8</v>
      </c>
      <c r="D180" s="53">
        <v>395.6</v>
      </c>
      <c r="E180" s="54"/>
      <c r="F180" s="54"/>
      <c r="G180" s="54"/>
      <c r="H180" s="54"/>
      <c r="I180" s="52">
        <f t="shared" si="6"/>
        <v>4.0999999999999996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0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0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3"/>
      <c r="C231" s="92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0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3"/>
      <c r="C257" s="92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0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0" bestFit="1" customWidth="1"/>
    <col min="2" max="4" width="11.42578125" style="70"/>
    <col min="5" max="5" width="9.5703125" style="70" customWidth="1"/>
    <col min="6" max="7" width="11.42578125" style="70"/>
    <col min="8" max="8" width="10.7109375" style="70" customWidth="1"/>
    <col min="9" max="9" width="9.42578125" style="70" customWidth="1"/>
    <col min="10" max="11" width="10.5703125" style="70" bestFit="1" customWidth="1"/>
    <col min="12" max="12" width="14" style="70" bestFit="1" customWidth="1"/>
    <col min="13" max="13" width="14" style="70" customWidth="1"/>
    <col min="14" max="23" width="11.42578125" style="70"/>
    <col min="24" max="24" width="11.7109375" style="70" bestFit="1" customWidth="1"/>
    <col min="25" max="25" width="14.5703125" style="70" bestFit="1" customWidth="1"/>
    <col min="26" max="26" width="12.42578125" style="70" bestFit="1" customWidth="1"/>
    <col min="27" max="27" width="9.7109375" style="70" bestFit="1" customWidth="1"/>
    <col min="28" max="28" width="11" style="70" bestFit="1" customWidth="1"/>
    <col min="29" max="29" width="9.42578125" style="70" bestFit="1" customWidth="1"/>
    <col min="30" max="31" width="9.42578125" style="70" customWidth="1"/>
    <col min="32" max="32" width="11.42578125" style="70"/>
    <col min="33" max="34" width="14" style="70" bestFit="1" customWidth="1"/>
    <col min="35" max="35" width="10.5703125" style="70" bestFit="1" customWidth="1"/>
    <col min="36" max="36" width="9.42578125" style="70" bestFit="1" customWidth="1"/>
    <col min="37" max="38" width="10.5703125" style="70" bestFit="1" customWidth="1"/>
    <col min="39" max="41" width="10.5703125" style="70" customWidth="1"/>
    <col min="42" max="42" width="9" style="70" bestFit="1" customWidth="1"/>
    <col min="43" max="43" width="10.5703125" style="70" bestFit="1" customWidth="1"/>
    <col min="44" max="44" width="9.28515625" style="70" bestFit="1" customWidth="1"/>
    <col min="45" max="45" width="11.7109375" style="70" bestFit="1" customWidth="1"/>
    <col min="46" max="46" width="8.42578125" style="70" bestFit="1" customWidth="1"/>
    <col min="47" max="47" width="9.42578125" style="70" bestFit="1" customWidth="1"/>
    <col min="48" max="48" width="9.7109375" style="70" bestFit="1" customWidth="1"/>
    <col min="49" max="49" width="11" style="70" bestFit="1" customWidth="1"/>
    <col min="50" max="50" width="9.42578125" style="70" bestFit="1" customWidth="1"/>
    <col min="51" max="52" width="9.42578125" style="70" customWidth="1"/>
    <col min="53" max="53" width="10.5703125" style="70" bestFit="1" customWidth="1"/>
    <col min="54" max="54" width="14.28515625" style="70" customWidth="1"/>
    <col min="55" max="55" width="14" style="70" customWidth="1"/>
    <col min="56" max="56" width="10.5703125" style="70" bestFit="1" customWidth="1"/>
    <col min="57" max="57" width="9.42578125" style="70" bestFit="1" customWidth="1"/>
    <col min="58" max="59" width="10.5703125" style="70" bestFit="1" customWidth="1"/>
    <col min="60" max="62" width="10.5703125" style="70" customWidth="1"/>
    <col min="63" max="63" width="9" style="70" bestFit="1" customWidth="1"/>
    <col min="64" max="64" width="10.5703125" style="70" bestFit="1" customWidth="1"/>
    <col min="65" max="65" width="9.28515625" style="70" bestFit="1" customWidth="1"/>
    <col min="66" max="66" width="11.7109375" style="70" bestFit="1" customWidth="1"/>
    <col min="67" max="67" width="8.42578125" style="70" bestFit="1" customWidth="1"/>
    <col min="68" max="68" width="9.42578125" style="70" bestFit="1" customWidth="1"/>
    <col min="69" max="69" width="9.7109375" style="70" bestFit="1" customWidth="1"/>
    <col min="70" max="70" width="11" style="70" bestFit="1" customWidth="1"/>
    <col min="71" max="71" width="9.42578125" style="70" bestFit="1" customWidth="1"/>
    <col min="72" max="73" width="9.42578125" style="70" customWidth="1"/>
    <col min="74" max="74" width="10.5703125" style="70" bestFit="1" customWidth="1"/>
    <col min="75" max="75" width="14" style="70" bestFit="1" customWidth="1"/>
    <col min="76" max="76" width="13.85546875" style="70" customWidth="1"/>
    <col min="77" max="77" width="10.5703125" style="70" bestFit="1" customWidth="1"/>
    <col min="78" max="78" width="9.42578125" style="70" bestFit="1" customWidth="1"/>
    <col min="79" max="80" width="10.5703125" style="70" bestFit="1" customWidth="1"/>
    <col min="81" max="83" width="10.5703125" style="70" customWidth="1"/>
    <col min="84" max="84" width="11.42578125" style="70"/>
    <col min="85" max="85" width="10.5703125" style="70" bestFit="1" customWidth="1"/>
    <col min="86" max="86" width="9.28515625" style="70" bestFit="1" customWidth="1"/>
    <col min="87" max="87" width="11.7109375" style="70" bestFit="1" customWidth="1"/>
    <col min="88" max="88" width="8.42578125" style="70" bestFit="1" customWidth="1"/>
    <col min="89" max="89" width="9.42578125" style="70" bestFit="1" customWidth="1"/>
    <col min="90" max="90" width="9.7109375" style="70" bestFit="1" customWidth="1"/>
    <col min="91" max="91" width="11" style="70" bestFit="1" customWidth="1"/>
    <col min="92" max="92" width="9.42578125" style="70" bestFit="1" customWidth="1"/>
    <col min="93" max="94" width="9.42578125" style="70" customWidth="1"/>
    <col min="95" max="95" width="11.42578125" style="70"/>
    <col min="96" max="97" width="14" style="70" customWidth="1"/>
    <col min="98" max="98" width="10.5703125" style="70" bestFit="1" customWidth="1"/>
    <col min="99" max="99" width="9.42578125" style="70" bestFit="1" customWidth="1"/>
    <col min="100" max="101" width="10.5703125" style="70" bestFit="1" customWidth="1"/>
    <col min="102" max="104" width="10.5703125" style="70" customWidth="1"/>
    <col min="105" max="105" width="9" style="70" bestFit="1" customWidth="1"/>
    <col min="106" max="106" width="10.5703125" style="70" bestFit="1" customWidth="1"/>
    <col min="107" max="107" width="9.28515625" style="70" bestFit="1" customWidth="1"/>
    <col min="108" max="108" width="11.7109375" style="70" bestFit="1" customWidth="1"/>
    <col min="109" max="109" width="8.42578125" style="70" bestFit="1" customWidth="1"/>
    <col min="110" max="110" width="9.42578125" style="70" bestFit="1" customWidth="1"/>
    <col min="111" max="111" width="9.7109375" style="70" bestFit="1" customWidth="1"/>
    <col min="112" max="112" width="11" style="70" bestFit="1" customWidth="1"/>
    <col min="113" max="113" width="9.42578125" style="70" bestFit="1" customWidth="1"/>
    <col min="114" max="115" width="9.42578125" style="70" customWidth="1"/>
    <col min="116" max="116" width="10.5703125" style="70" bestFit="1" customWidth="1"/>
    <col min="117" max="117" width="14.28515625" style="70" customWidth="1"/>
    <col min="118" max="118" width="14" style="70" bestFit="1" customWidth="1"/>
    <col min="119" max="119" width="10.5703125" style="70" bestFit="1" customWidth="1"/>
    <col min="120" max="120" width="9.42578125" style="70" bestFit="1" customWidth="1"/>
    <col min="121" max="122" width="10.5703125" style="70" bestFit="1" customWidth="1"/>
    <col min="123" max="125" width="10.5703125" style="70" customWidth="1"/>
    <col min="126" max="126" width="9" style="70" bestFit="1" customWidth="1"/>
    <col min="127" max="127" width="10.5703125" style="70" bestFit="1" customWidth="1"/>
    <col min="128" max="128" width="9.28515625" style="70" bestFit="1" customWidth="1"/>
    <col min="129" max="129" width="11.7109375" style="70" bestFit="1" customWidth="1"/>
    <col min="130" max="130" width="8.42578125" style="70" bestFit="1" customWidth="1"/>
    <col min="131" max="131" width="9.42578125" style="70" bestFit="1" customWidth="1"/>
    <col min="132" max="132" width="9.7109375" style="70" bestFit="1" customWidth="1"/>
    <col min="133" max="133" width="11" style="70" bestFit="1" customWidth="1"/>
    <col min="134" max="134" width="9.42578125" style="70" bestFit="1" customWidth="1"/>
    <col min="135" max="136" width="9.42578125" style="70" customWidth="1"/>
    <col min="137" max="137" width="10.5703125" style="70" bestFit="1" customWidth="1"/>
    <col min="138" max="139" width="14" style="70" customWidth="1"/>
    <col min="140" max="140" width="10.5703125" style="70" bestFit="1" customWidth="1"/>
    <col min="141" max="141" width="9.42578125" style="70" bestFit="1" customWidth="1"/>
    <col min="142" max="143" width="10.5703125" style="70" bestFit="1" customWidth="1"/>
    <col min="144" max="146" width="10.5703125" style="70" customWidth="1"/>
    <col min="147" max="147" width="9" style="70" bestFit="1" customWidth="1"/>
    <col min="148" max="148" width="10.5703125" style="70" bestFit="1" customWidth="1"/>
    <col min="149" max="149" width="9.28515625" style="70" bestFit="1" customWidth="1"/>
    <col min="150" max="150" width="11.7109375" style="70" bestFit="1" customWidth="1"/>
    <col min="151" max="151" width="8.42578125" style="70" bestFit="1" customWidth="1"/>
    <col min="152" max="152" width="9.42578125" style="70" bestFit="1" customWidth="1"/>
    <col min="153" max="153" width="9.7109375" style="70" bestFit="1" customWidth="1"/>
    <col min="154" max="154" width="11" style="70" bestFit="1" customWidth="1"/>
    <col min="155" max="155" width="9.42578125" style="70" bestFit="1" customWidth="1"/>
    <col min="156" max="157" width="9.42578125" style="70" customWidth="1"/>
    <col min="158" max="158" width="11.42578125" style="70"/>
    <col min="159" max="160" width="14" style="70" bestFit="1" customWidth="1"/>
    <col min="161" max="161" width="10.5703125" style="70" bestFit="1" customWidth="1"/>
    <col min="162" max="162" width="9.42578125" style="70" bestFit="1" customWidth="1"/>
    <col min="163" max="164" width="10.5703125" style="70" bestFit="1" customWidth="1"/>
    <col min="165" max="167" width="10.5703125" style="70" customWidth="1"/>
    <col min="168" max="168" width="9" style="70" bestFit="1" customWidth="1"/>
    <col min="169" max="169" width="10.5703125" style="70" bestFit="1" customWidth="1"/>
    <col min="170" max="170" width="9.28515625" style="70" bestFit="1" customWidth="1"/>
    <col min="171" max="171" width="11.7109375" style="70" bestFit="1" customWidth="1"/>
    <col min="172" max="172" width="8.140625" style="70" bestFit="1" customWidth="1"/>
    <col min="173" max="173" width="9.42578125" style="70" bestFit="1" customWidth="1"/>
    <col min="174" max="174" width="9.7109375" style="70" bestFit="1" customWidth="1"/>
    <col min="175" max="175" width="11" style="70" bestFit="1" customWidth="1"/>
    <col min="176" max="176" width="9.42578125" style="70" bestFit="1" customWidth="1"/>
    <col min="177" max="178" width="9.42578125" style="70" customWidth="1"/>
    <col min="179" max="179" width="10.5703125" style="70" bestFit="1" customWidth="1"/>
    <col min="180" max="181" width="14" style="70" bestFit="1" customWidth="1"/>
    <col min="182" max="182" width="10.5703125" style="70" bestFit="1" customWidth="1"/>
    <col min="183" max="183" width="9.42578125" style="70" bestFit="1" customWidth="1"/>
    <col min="184" max="185" width="10.5703125" style="70" bestFit="1" customWidth="1"/>
    <col min="186" max="188" width="10.5703125" style="70" customWidth="1"/>
    <col min="189" max="189" width="9" style="70" bestFit="1" customWidth="1"/>
    <col min="190" max="190" width="10.5703125" style="70" bestFit="1" customWidth="1"/>
    <col min="191" max="191" width="9.28515625" style="70" bestFit="1" customWidth="1"/>
    <col min="192" max="192" width="11.42578125" style="70"/>
    <col min="193" max="193" width="8.42578125" style="70" bestFit="1" customWidth="1"/>
    <col min="194" max="194" width="9.42578125" style="70" bestFit="1" customWidth="1"/>
    <col min="195" max="195" width="9.7109375" style="70" bestFit="1" customWidth="1"/>
    <col min="196" max="196" width="11" style="70" bestFit="1" customWidth="1"/>
    <col min="197" max="197" width="9.42578125" style="70" bestFit="1" customWidth="1"/>
    <col min="198" max="199" width="9.42578125" style="70" customWidth="1"/>
    <col min="200" max="200" width="10.5703125" style="70" bestFit="1" customWidth="1"/>
    <col min="201" max="201" width="14" style="70" customWidth="1"/>
    <col min="202" max="202" width="14.28515625" style="70" customWidth="1"/>
    <col min="203" max="203" width="10.5703125" style="70" bestFit="1" customWidth="1"/>
    <col min="204" max="204" width="9.42578125" style="70" bestFit="1" customWidth="1"/>
    <col min="205" max="206" width="10.5703125" style="70" bestFit="1" customWidth="1"/>
    <col min="207" max="209" width="10.5703125" style="70" customWidth="1"/>
    <col min="210" max="210" width="9" style="70" bestFit="1" customWidth="1"/>
    <col min="211" max="211" width="10.5703125" style="70" bestFit="1" customWidth="1"/>
    <col min="212" max="212" width="9.28515625" style="70" bestFit="1" customWidth="1"/>
    <col min="213" max="213" width="11.7109375" style="70" bestFit="1" customWidth="1"/>
    <col min="214" max="214" width="8.42578125" style="70" bestFit="1" customWidth="1"/>
    <col min="215" max="215" width="9.42578125" style="70" bestFit="1" customWidth="1"/>
    <col min="216" max="216" width="9.7109375" style="70" bestFit="1" customWidth="1"/>
    <col min="217" max="217" width="11" style="70" bestFit="1" customWidth="1"/>
    <col min="218" max="218" width="9.42578125" style="70" bestFit="1" customWidth="1"/>
    <col min="219" max="16384" width="11.42578125" style="70"/>
  </cols>
  <sheetData>
    <row r="1" spans="1:218" s="5" customFormat="1" ht="27" thickBot="1" x14ac:dyDescent="0.45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Chêne sessile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Hêtre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Charme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Chêne pubescent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Chêne rouge d'Amérique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>Châtaignier</v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/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75.75" thickBot="1" x14ac:dyDescent="0.3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509.56241660612449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625.17723604265689</v>
      </c>
      <c r="AO3" s="62">
        <f>IF('Données projet'!E10&gt;30,$AM$33-$H$33,LOOKUP('Données projet'!$E$10,$A$3:$A$203,AM3:AM203)-LOOKUP('Données projet'!$E$10,$A$3:$A$203,$H$3:$H$203))</f>
        <v>462.33909258902241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406.24139966722936</v>
      </c>
      <c r="BJ3" s="62">
        <f>IF('Données projet'!E11&gt;30,$BH$33-$H$33,LOOKUP('Données projet'!$E$11,$A$3:$A$203,BH3:BH203)-LOOKUP('Données projet'!$E$11,$A$3:$A$203,$H$3:$H$203))</f>
        <v>295.95724296920577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565.72091871734051</v>
      </c>
      <c r="CE3" s="62">
        <f>IF('Données projet'!E12&gt;30,$CC$33-$H$33,LOOKUP('Données projet'!$E$12,$A$3:$A$203,CC3:CC203)-LOOKUP('Données projet'!$E$12,$A$3:$A$203,$H$3:$H$203))</f>
        <v>306.61893266146666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333.56306908115238</v>
      </c>
      <c r="CZ3" s="62">
        <f>IF('Données projet'!E13&gt;30,$CX$33-$H$33,LOOKUP('Données projet'!$E$13,$A$3:$A$203,CX3:CX203)-LOOKUP('Données projet'!$E$13,$A$3:$A$203,$H$3:$H$203))</f>
        <v>523.65456887919618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397.24714625007675</v>
      </c>
      <c r="DU3" s="62">
        <f>IF('Données projet'!E14&gt;30,$DS$33-$H$33,LOOKUP('Données projet'!$E$14,$A$3:$A$203,DS3:DS203)-LOOKUP('Données projet'!$E$14,$A$3:$A$203,$H$3:$H$203))</f>
        <v>431.75775520200608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9">
        <f t="shared" ref="H4:H67" si="1">(B4+E4+F4)*44/12+(C4+D4)*0.475*44/12</f>
        <v>256.66666666666669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509.56241660612449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0.6</v>
      </c>
      <c r="AI4" s="14">
        <f>IF('Données projet'!$A$62&gt;35,AI3+AH4-AQ3,IF(A4&lt;'Données projet'!$A$62,$AF$205^A4,IF(A4='Données projet'!$A$62,'Données projet'!$B$62,AI3+AH4-AQ3)))</f>
        <v>1.1577536725165907</v>
      </c>
      <c r="AJ4" s="14">
        <f>AI4*VLOOKUP('Données projet'!$B$10,Paramètres!$A$1:$I$89,3,0)*VLOOKUP('Données projet'!$B$10,Paramètres!$A$1:$I$89,5,0)</f>
        <v>0.99335265101923498</v>
      </c>
      <c r="AK4" s="14">
        <f>EXP(-1.0587+0.8836*LN(AJ4)+0.284)</f>
        <v>0.45813416254999073</v>
      </c>
      <c r="AL4" s="22">
        <f t="shared" ref="AL4:AL67" si="4">(AJ4+AK4)*0.475*44/12</f>
        <v>2.528006200299735</v>
      </c>
      <c r="AM4" s="62">
        <f t="shared" ref="AM4:AM67" si="5">AL4+(AD4+AE4)*44/12</f>
        <v>260.41689508918859</v>
      </c>
      <c r="AN4" s="62">
        <f ca="1">AVERAGE(OFFSET($AM$3,0,0,'Données projet'!$E$10+1,1))-AVERAGE(OFFSET($H$3,0,0,'Données projet'!$E$10+1,1))</f>
        <v>625.17723604265689</v>
      </c>
      <c r="AO4" s="62">
        <f>$AO$3</f>
        <v>462.33909258902241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3.1623931623931623</v>
      </c>
      <c r="BD4" s="13">
        <f>IF('Données projet'!$A$88&gt;35,BD3+BC4-BL3,IF(A4&lt;'Données projet'!$A$88,$BA$205^A4,IF(A4='Données projet'!$A$88,'Données projet'!$B$88,BD3+BC4-BL3)))</f>
        <v>1.2934226882877784</v>
      </c>
      <c r="BE4" s="14">
        <f>BD4*VLOOKUP('Données projet'!$B$11,Paramètres!$A$1:$I$89,3,0)*VLOOKUP('Données projet'!$B$11,Paramètres!$A$1:$I$89,5,0)</f>
        <v>1.2308210301746498</v>
      </c>
      <c r="BF4" s="14">
        <f>EXP(-1.0587+0.8836*LN(BE4)+0.284)</f>
        <v>0.55366654932289705</v>
      </c>
      <c r="BG4" s="22">
        <f t="shared" ref="BG4:BG67" si="7">(BE4+BF4)*0.475*44/12</f>
        <v>3.1079825342915606</v>
      </c>
      <c r="BH4" s="62">
        <f t="shared" ref="BH4:BH67" si="8">BG4+(AY4+AZ4)*44/12</f>
        <v>260.99687142318044</v>
      </c>
      <c r="BI4" s="62">
        <f ca="1">AVERAGE(OFFSET($BH$3,0,0,'Données projet'!$E$11+1,1))-AVERAGE(OFFSET($H$3,0,0,'Données projet'!$E$11+1,1))</f>
        <v>406.24139966722936</v>
      </c>
      <c r="BJ4" s="62">
        <f>$BJ$3</f>
        <v>295.95724296920577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1.2566203774920315</v>
      </c>
      <c r="CA4" s="14">
        <f>EXP(-1.0587+0.8836*LN(BZ4)+0.284)</f>
        <v>0.56390871417545174</v>
      </c>
      <c r="CB4" s="22">
        <f t="shared" ref="CB4:CB67" si="10">(BZ4+CA4)*0.475*44/12</f>
        <v>3.1707548346542</v>
      </c>
      <c r="CC4" s="62">
        <f t="shared" ref="CC4:CC67" si="11">CB4+(BT4+BU4)*44/12</f>
        <v>261.05964372354305</v>
      </c>
      <c r="CD4" s="62">
        <f ca="1">AVERAGE(OFFSET($CC$3,0,0,'Données projet'!$E$12+1,1))-AVERAGE(OFFSET($H$3,0,0,'Données projet'!$E$12+1,1))</f>
        <v>565.72091871734051</v>
      </c>
      <c r="CE4" s="62">
        <f>$CE$3</f>
        <v>306.61893266146666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7.1333333333333337</v>
      </c>
      <c r="CT4" s="13">
        <f>IF('Données projet'!$A$140&gt;35,CT3+CS4-DB3,IF(A4&lt;'Données projet'!$A$140,$CQ$205^A4,IF(A4='Données projet'!$A$140,'Données projet'!$B$140,CT3+CS4-DB3)))</f>
        <v>1.3655017210306359</v>
      </c>
      <c r="CU4" s="18">
        <f>CT4*VLOOKUP('Données projet'!$B$13,Paramètres!$A$1:$I$89,3,0)*VLOOKUP('Données projet'!$B$13,Paramètres!$A$1:$I$89,5,0)</f>
        <v>1.1929023034923638</v>
      </c>
      <c r="CV4" s="14">
        <f>EXP(-1.0587+0.8836*LN(CU4)+0.284)</f>
        <v>0.53856749022761552</v>
      </c>
      <c r="CW4" s="22">
        <f t="shared" ref="CW4:CW67" si="13">(CU4+CV4)*0.475*44/12</f>
        <v>3.015643224062297</v>
      </c>
      <c r="CX4" s="62">
        <f t="shared" ref="CX4:CX67" si="14">CW4+(CO4+CP4)*44/12</f>
        <v>260.90453211295113</v>
      </c>
      <c r="CY4" s="62">
        <f ca="1">AVERAGE(OFFSET($CX$3,0,0,'Données projet'!$E$13+1,1))-AVERAGE(OFFSET($H$3,0,0,'Données projet'!$E$13+1,1))</f>
        <v>333.56306908115238</v>
      </c>
      <c r="CZ4" s="62">
        <f>$CZ$3</f>
        <v>523.65456887919618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1.8800000000000001</v>
      </c>
      <c r="DO4" s="13">
        <f>IF('Données projet'!$A$166&gt;35,DO3+DN4-DW3,IF(A4&lt;'Données projet'!$A$166,$DL$205^A4,IF(A4='Données projet'!$A$166,'Données projet'!$B$166,DO3+DN4-DW3)))</f>
        <v>1.3409598814794317</v>
      </c>
      <c r="DP4" s="18">
        <f>DO4*VLOOKUP('Données projet'!$B$14,Paramètres!$A$1:$I$89,3,0)*VLOOKUP('Données projet'!$B$14,Paramètres!$A$1:$I$89,5,0)</f>
        <v>0.98319178510071925</v>
      </c>
      <c r="DQ4" s="14">
        <f>EXP(-1.0587+0.8836*LN(DP4)+0.284)</f>
        <v>0.45399097010154899</v>
      </c>
      <c r="DR4" s="22">
        <f t="shared" ref="DR4:DR67" si="16">(DP4+DQ4)*0.475*44/12</f>
        <v>2.5030932986439507</v>
      </c>
      <c r="DS4" s="62">
        <f t="shared" ref="DS4:DS67" si="17">DR4+(DJ4+DK4)*44/12</f>
        <v>260.39198218753279</v>
      </c>
      <c r="DT4" s="62">
        <f ca="1">AVERAGE(OFFSET($DS$3,0,0,'Données projet'!$E$14+1,1))-AVERAGE(OFFSET($H$3,0,0,'Données projet'!$E$14+1,1))</f>
        <v>397.24714625007675</v>
      </c>
      <c r="DU4" s="62">
        <f>$DU$3</f>
        <v>431.75775520200608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9">
        <f t="shared" si="1"/>
        <v>256.66666666666669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509.56241660612449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0.6</v>
      </c>
      <c r="AI5" s="14">
        <f>IF('Données projet'!$A$62&gt;35,AI4+AH5-AQ4,IF(A5&lt;'Données projet'!$A$62,$AF$205^A5,IF(A5='Données projet'!$A$62,'Données projet'!$B$62,AI4+AH5-AQ4)))</f>
        <v>1.340393566225653</v>
      </c>
      <c r="AJ5" s="14">
        <f>AI5*VLOOKUP('Données projet'!$B$10,Paramètres!$A$1:$I$89,3,0)*VLOOKUP('Données projet'!$B$10,Paramètres!$A$1:$I$89,5,0)</f>
        <v>1.1500576798216104</v>
      </c>
      <c r="AK5" s="14">
        <f t="shared" ref="AK5:AK68" si="35">EXP(-1.0587+0.8836*LN(AJ5)+0.284)</f>
        <v>0.52143949588755789</v>
      </c>
      <c r="AL5" s="22">
        <f t="shared" si="4"/>
        <v>2.9111909143601342</v>
      </c>
      <c r="AM5" s="62">
        <f t="shared" si="5"/>
        <v>262.02230202547128</v>
      </c>
      <c r="AN5" s="62">
        <f ca="1">AVERAGE(OFFSET($AM$3,0,0,'Données projet'!$E$10+1,1))-AVERAGE(OFFSET($H$3,0,0,'Données projet'!$E$10+1,1))</f>
        <v>625.17723604265689</v>
      </c>
      <c r="AO5" s="62">
        <f t="shared" ref="AO5:AO68" si="36">$AO$3</f>
        <v>462.33909258902241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3.1623931623931623</v>
      </c>
      <c r="BD5" s="13">
        <f>IF('Données projet'!$A$88&gt;35,BD4+BC5-BL4,IF(A5&lt;'Données projet'!$A$88,$BA$205^A5,IF(A5='Données projet'!$A$88,'Données projet'!$B$88,BD4+BC5-BL4)))</f>
        <v>1.6729422505775835</v>
      </c>
      <c r="BE5" s="14">
        <f>BD5*VLOOKUP('Données projet'!$B$11,Paramètres!$A$1:$I$89,3,0)*VLOOKUP('Données projet'!$B$11,Paramètres!$A$1:$I$89,5,0)</f>
        <v>1.5919718456496286</v>
      </c>
      <c r="BF5" s="14">
        <f t="shared" ref="BF5:BF68" si="37">EXP(-1.0587+0.8836*LN(BE5)+0.284)</f>
        <v>0.69499578258152339</v>
      </c>
      <c r="BG5" s="22">
        <f t="shared" si="7"/>
        <v>3.9831352858359232</v>
      </c>
      <c r="BH5" s="62">
        <f t="shared" si="8"/>
        <v>263.09424639694709</v>
      </c>
      <c r="BI5" s="62">
        <f ca="1">AVERAGE(OFFSET($BH$3,0,0,'Données projet'!$E$11+1,1))-AVERAGE(OFFSET($H$3,0,0,'Données projet'!$E$11+1,1))</f>
        <v>406.24139966722936</v>
      </c>
      <c r="BJ5" s="62">
        <f t="shared" ref="BJ5:BJ68" si="38">$BJ$3</f>
        <v>295.95724296920577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1.5572926756688519</v>
      </c>
      <c r="CA5" s="14">
        <f t="shared" ref="CA5:CA68" si="39">EXP(-1.0587+0.8836*LN(BZ5)+0.284)</f>
        <v>0.68160129960402205</v>
      </c>
      <c r="CB5" s="22">
        <f t="shared" si="10"/>
        <v>3.8994070069335893</v>
      </c>
      <c r="CC5" s="62">
        <f t="shared" si="11"/>
        <v>263.01051811804473</v>
      </c>
      <c r="CD5" s="62">
        <f ca="1">AVERAGE(OFFSET($CC$3,0,0,'Données projet'!$E$12+1,1))-AVERAGE(OFFSET($H$3,0,0,'Données projet'!$E$12+1,1))</f>
        <v>565.72091871734051</v>
      </c>
      <c r="CE5" s="62">
        <f t="shared" ref="CE5:CE68" si="40">$CE$3</f>
        <v>306.61893266146666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7.1333333333333337</v>
      </c>
      <c r="CT5" s="13">
        <f>IF('Données projet'!$A$140&gt;35,CT4+CS5-DB4,IF(A5&lt;'Données projet'!$A$140,$CQ$205^A5,IF(A5='Données projet'!$A$140,'Données projet'!$B$140,CT4+CS5-DB4)))</f>
        <v>1.8645949501376287</v>
      </c>
      <c r="CU5" s="18">
        <f>CT5*VLOOKUP('Données projet'!$B$13,Paramètres!$A$1:$I$89,3,0)*VLOOKUP('Données projet'!$B$13,Paramètres!$A$1:$I$89,5,0)</f>
        <v>1.6289101484402326</v>
      </c>
      <c r="CV5" s="14">
        <f t="shared" ref="CV5:CV68" si="41">EXP(-1.0587+0.8836*LN(CU5)+0.284)</f>
        <v>0.70922554238821334</v>
      </c>
      <c r="CW5" s="22">
        <f t="shared" si="13"/>
        <v>4.0722529948595438</v>
      </c>
      <c r="CX5" s="62">
        <f t="shared" si="14"/>
        <v>263.18336410597067</v>
      </c>
      <c r="CY5" s="62">
        <f ca="1">AVERAGE(OFFSET($CX$3,0,0,'Données projet'!$E$13+1,1))-AVERAGE(OFFSET($H$3,0,0,'Données projet'!$E$13+1,1))</f>
        <v>333.56306908115238</v>
      </c>
      <c r="CZ5" s="62">
        <f t="shared" ref="CZ5:CZ68" si="42">$CZ$3</f>
        <v>523.65456887919618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1.8800000000000001</v>
      </c>
      <c r="DO5" s="13">
        <f>IF('Données projet'!$A$166&gt;35,DO4+DN5-DW4,IF(A5&lt;'Données projet'!$A$166,$DL$205^A5,IF(A5='Données projet'!$A$166,'Données projet'!$B$166,DO4+DN5-DW4)))</f>
        <v>1.7981734037373314</v>
      </c>
      <c r="DP5" s="18">
        <f>DO5*VLOOKUP('Données projet'!$B$14,Paramètres!$A$1:$I$89,3,0)*VLOOKUP('Données projet'!$B$14,Paramètres!$A$1:$I$89,5,0)</f>
        <v>1.3184207396202114</v>
      </c>
      <c r="DQ5" s="14">
        <f t="shared" ref="DQ5:DQ68" si="43">EXP(-1.0587+0.8836*LN(DP5)+0.284)</f>
        <v>0.58834464151389798</v>
      </c>
      <c r="DR5" s="22">
        <f t="shared" si="16"/>
        <v>3.3209497054752402</v>
      </c>
      <c r="DS5" s="62">
        <f t="shared" si="17"/>
        <v>262.43206081658639</v>
      </c>
      <c r="DT5" s="62">
        <f ca="1">AVERAGE(OFFSET($DS$3,0,0,'Données projet'!$E$14+1,1))-AVERAGE(OFFSET($H$3,0,0,'Données projet'!$E$14+1,1))</f>
        <v>397.24714625007675</v>
      </c>
      <c r="DU5" s="62">
        <f t="shared" ref="DU5:DU68" si="44">$DU$3</f>
        <v>431.75775520200608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9">
        <f t="shared" si="1"/>
        <v>256.66666666666669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509.56241660612449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0.6</v>
      </c>
      <c r="AI6" s="14">
        <f>IF('Données projet'!$A$62&gt;35,AI5+AH6-AQ5,IF(A6&lt;'Données projet'!$A$62,$AF$205^A6,IF(A6='Données projet'!$A$62,'Données projet'!$B$62,AI5+AH6-AQ5)))</f>
        <v>1.5518455739153598</v>
      </c>
      <c r="AJ6" s="14">
        <f>AI6*VLOOKUP('Données projet'!$B$10,Paramètres!$A$1:$I$89,3,0)*VLOOKUP('Données projet'!$B$10,Paramètres!$A$1:$I$89,5,0)</f>
        <v>1.3314835024193787</v>
      </c>
      <c r="AK6" s="14">
        <f t="shared" si="35"/>
        <v>0.5934924092062257</v>
      </c>
      <c r="AL6" s="22">
        <f t="shared" si="4"/>
        <v>3.3526663794145946</v>
      </c>
      <c r="AM6" s="62">
        <f t="shared" si="5"/>
        <v>263.6859997127479</v>
      </c>
      <c r="AN6" s="62">
        <f ca="1">AVERAGE(OFFSET($AM$3,0,0,'Données projet'!$E$10+1,1))-AVERAGE(OFFSET($H$3,0,0,'Données projet'!$E$10+1,1))</f>
        <v>625.17723604265689</v>
      </c>
      <c r="AO6" s="62">
        <f t="shared" si="36"/>
        <v>462.33909258902241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3.1623931623931623</v>
      </c>
      <c r="BD6" s="13">
        <f>IF('Données projet'!$A$88&gt;35,BD5+BC6-BL5,IF(A6&lt;'Données projet'!$A$88,$BA$205^A6,IF(A6='Données projet'!$A$88,'Données projet'!$B$88,BD5+BC6-BL5)))</f>
        <v>2.1638214630922641</v>
      </c>
      <c r="BE6" s="14">
        <f>BD6*VLOOKUP('Données projet'!$B$11,Paramètres!$A$1:$I$89,3,0)*VLOOKUP('Données projet'!$B$11,Paramètres!$A$1:$I$89,5,0)</f>
        <v>2.0590925042785986</v>
      </c>
      <c r="BF6" s="14">
        <f t="shared" si="37"/>
        <v>0.87240079502149648</v>
      </c>
      <c r="BG6" s="22">
        <f t="shared" si="7"/>
        <v>5.1056841629476652</v>
      </c>
      <c r="BH6" s="62">
        <f t="shared" si="8"/>
        <v>265.439017496281</v>
      </c>
      <c r="BI6" s="62">
        <f ca="1">AVERAGE(OFFSET($BH$3,0,0,'Données projet'!$E$11+1,1))-AVERAGE(OFFSET($H$3,0,0,'Données projet'!$E$11+1,1))</f>
        <v>406.24139966722936</v>
      </c>
      <c r="BJ6" s="62">
        <f t="shared" si="38"/>
        <v>295.95724296920577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1.9299070117993768</v>
      </c>
      <c r="CA6" s="14">
        <f t="shared" si="39"/>
        <v>0.82385733708903885</v>
      </c>
      <c r="CB6" s="22">
        <f t="shared" si="10"/>
        <v>4.7961395743139903</v>
      </c>
      <c r="CC6" s="62">
        <f t="shared" si="11"/>
        <v>265.12947290764731</v>
      </c>
      <c r="CD6" s="62">
        <f ca="1">AVERAGE(OFFSET($CC$3,0,0,'Données projet'!$E$12+1,1))-AVERAGE(OFFSET($H$3,0,0,'Données projet'!$E$12+1,1))</f>
        <v>565.72091871734051</v>
      </c>
      <c r="CE6" s="62">
        <f t="shared" si="40"/>
        <v>306.61893266146666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7.1333333333333337</v>
      </c>
      <c r="CT6" s="13">
        <f>IF('Données projet'!$A$140&gt;35,CT5+CS6-DB5,IF(A6&lt;'Données projet'!$A$140,$CQ$205^A6,IF(A6='Données projet'!$A$140,'Données projet'!$B$140,CT5+CS6-DB5)))</f>
        <v>2.5461076134379645</v>
      </c>
      <c r="CU6" s="18">
        <f>CT6*VLOOKUP('Données projet'!$B$13,Paramètres!$A$1:$I$89,3,0)*VLOOKUP('Données projet'!$B$13,Paramètres!$A$1:$I$89,5,0)</f>
        <v>2.2242796110994063</v>
      </c>
      <c r="CV6" s="14">
        <f t="shared" si="41"/>
        <v>0.93396069963909534</v>
      </c>
      <c r="CW6" s="22">
        <f t="shared" si="13"/>
        <v>5.5006018745362235</v>
      </c>
      <c r="CX6" s="62">
        <f t="shared" si="14"/>
        <v>265.83393520786956</v>
      </c>
      <c r="CY6" s="62">
        <f ca="1">AVERAGE(OFFSET($CX$3,0,0,'Données projet'!$E$13+1,1))-AVERAGE(OFFSET($H$3,0,0,'Données projet'!$E$13+1,1))</f>
        <v>333.56306908115238</v>
      </c>
      <c r="CZ6" s="62">
        <f t="shared" si="42"/>
        <v>523.65456887919618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1.8800000000000001</v>
      </c>
      <c r="DO6" s="13">
        <f>IF('Données projet'!$A$166&gt;35,DO5+DN6-DW5,IF(A6&lt;'Données projet'!$A$166,$DL$205^A6,IF(A6='Données projet'!$A$166,'Données projet'!$B$166,DO5+DN6-DW5)))</f>
        <v>2.4112783943550782</v>
      </c>
      <c r="DP6" s="18">
        <f>DO6*VLOOKUP('Données projet'!$B$14,Paramètres!$A$1:$I$89,3,0)*VLOOKUP('Données projet'!$B$14,Paramètres!$A$1:$I$89,5,0)</f>
        <v>1.7679493187411432</v>
      </c>
      <c r="DQ6" s="14">
        <f t="shared" si="43"/>
        <v>0.76245881525064307</v>
      </c>
      <c r="DR6" s="22">
        <f t="shared" si="16"/>
        <v>4.4071275000356946</v>
      </c>
      <c r="DS6" s="62">
        <f t="shared" si="17"/>
        <v>264.74046083336901</v>
      </c>
      <c r="DT6" s="62">
        <f ca="1">AVERAGE(OFFSET($DS$3,0,0,'Données projet'!$E$14+1,1))-AVERAGE(OFFSET($H$3,0,0,'Données projet'!$E$14+1,1))</f>
        <v>397.24714625007675</v>
      </c>
      <c r="DU6" s="62">
        <f t="shared" si="44"/>
        <v>431.75775520200608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9">
        <f t="shared" si="1"/>
        <v>256.66666666666669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509.56241660612449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0.6</v>
      </c>
      <c r="AI7" s="14">
        <f>IF('Données projet'!$A$62&gt;35,AI6+AH7-AQ6,IF(A7&lt;'Données projet'!$A$62,$AF$205^A7,IF(A7='Données projet'!$A$62,'Données projet'!$B$62,AI6+AH7-AQ6)))</f>
        <v>1.796654912379124</v>
      </c>
      <c r="AJ7" s="14">
        <f>AI7*VLOOKUP('Données projet'!$B$10,Paramètres!$A$1:$I$89,3,0)*VLOOKUP('Données projet'!$B$10,Paramètres!$A$1:$I$89,5,0)</f>
        <v>1.5415299148212886</v>
      </c>
      <c r="AK7" s="14">
        <f t="shared" si="35"/>
        <v>0.6755016498814751</v>
      </c>
      <c r="AL7" s="22">
        <f t="shared" si="4"/>
        <v>3.8613299751906465</v>
      </c>
      <c r="AM7" s="62">
        <f t="shared" si="5"/>
        <v>265.41688553074619</v>
      </c>
      <c r="AN7" s="62">
        <f ca="1">AVERAGE(OFFSET($AM$3,0,0,'Données projet'!$E$10+1,1))-AVERAGE(OFFSET($H$3,0,0,'Données projet'!$E$10+1,1))</f>
        <v>625.17723604265689</v>
      </c>
      <c r="AO7" s="62">
        <f t="shared" si="36"/>
        <v>462.33909258902241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3.1623931623931623</v>
      </c>
      <c r="BD7" s="13">
        <f>IF('Données projet'!$A$88&gt;35,BD6+BC7-BL6,IF(A7&lt;'Données projet'!$A$88,$BA$205^A7,IF(A7='Données projet'!$A$88,'Données projet'!$B$88,BD6+BC7-BL6)))</f>
        <v>2.7987357737675902</v>
      </c>
      <c r="BE7" s="14">
        <f>BD7*VLOOKUP('Données projet'!$B$11,Paramètres!$A$1:$I$89,3,0)*VLOOKUP('Données projet'!$B$11,Paramètres!$A$1:$I$89,5,0)</f>
        <v>2.6632769623172385</v>
      </c>
      <c r="BF7" s="14">
        <f t="shared" si="37"/>
        <v>1.0950903102276937</v>
      </c>
      <c r="BG7" s="22">
        <f t="shared" si="7"/>
        <v>6.5458229996824224</v>
      </c>
      <c r="BH7" s="62">
        <f t="shared" si="8"/>
        <v>268.10137855523794</v>
      </c>
      <c r="BI7" s="62">
        <f ca="1">AVERAGE(OFFSET($BH$3,0,0,'Données projet'!$E$11+1,1))-AVERAGE(OFFSET($H$3,0,0,'Données projet'!$E$11+1,1))</f>
        <v>406.24139966722936</v>
      </c>
      <c r="BJ7" s="62">
        <f t="shared" si="38"/>
        <v>295.95724296920577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2.3916769996961063</v>
      </c>
      <c r="CA7" s="14">
        <f t="shared" si="39"/>
        <v>0.9958034297612971</v>
      </c>
      <c r="CB7" s="22">
        <f t="shared" si="10"/>
        <v>5.8998617479716442</v>
      </c>
      <c r="CC7" s="62">
        <f t="shared" si="11"/>
        <v>267.45541730352721</v>
      </c>
      <c r="CD7" s="62">
        <f ca="1">AVERAGE(OFFSET($CC$3,0,0,'Données projet'!$E$12+1,1))-AVERAGE(OFFSET($H$3,0,0,'Données projet'!$E$12+1,1))</f>
        <v>565.72091871734051</v>
      </c>
      <c r="CE7" s="62">
        <f t="shared" si="40"/>
        <v>306.61893266146666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7.1333333333333337</v>
      </c>
      <c r="CT7" s="13">
        <f>IF('Données projet'!$A$140&gt;35,CT6+CS7-DB6,IF(A7&lt;'Données projet'!$A$140,$CQ$205^A7,IF(A7='Données projet'!$A$140,'Données projet'!$B$140,CT6+CS7-DB6)))</f>
        <v>3.4767143280787458</v>
      </c>
      <c r="CU7" s="18">
        <f>CT7*VLOOKUP('Données projet'!$B$13,Paramètres!$A$1:$I$89,3,0)*VLOOKUP('Données projet'!$B$13,Paramètres!$A$1:$I$89,5,0)</f>
        <v>3.0372576370095925</v>
      </c>
      <c r="CV7" s="14">
        <f t="shared" si="41"/>
        <v>1.2299085923119242</v>
      </c>
      <c r="CW7" s="22">
        <f t="shared" si="13"/>
        <v>7.4319811827349751</v>
      </c>
      <c r="CX7" s="62">
        <f t="shared" si="14"/>
        <v>268.98753673829054</v>
      </c>
      <c r="CY7" s="62">
        <f ca="1">AVERAGE(OFFSET($CX$3,0,0,'Données projet'!$E$13+1,1))-AVERAGE(OFFSET($H$3,0,0,'Données projet'!$E$13+1,1))</f>
        <v>333.56306908115238</v>
      </c>
      <c r="CZ7" s="62">
        <f t="shared" si="42"/>
        <v>523.65456887919618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1.8800000000000001</v>
      </c>
      <c r="DO7" s="13">
        <f>IF('Données projet'!$A$166&gt;35,DO6+DN7-DW6,IF(A7&lt;'Données projet'!$A$166,$DL$205^A7,IF(A7='Données projet'!$A$166,'Données projet'!$B$166,DO6+DN7-DW6)))</f>
        <v>3.2334275899082998</v>
      </c>
      <c r="DP7" s="18">
        <f>DO7*VLOOKUP('Données projet'!$B$14,Paramètres!$A$1:$I$89,3,0)*VLOOKUP('Données projet'!$B$14,Paramètres!$A$1:$I$89,5,0)</f>
        <v>2.3707491089207653</v>
      </c>
      <c r="DQ7" s="14">
        <f t="shared" si="43"/>
        <v>0.98810017791193172</v>
      </c>
      <c r="DR7" s="22">
        <f t="shared" si="16"/>
        <v>5.8499958412336142</v>
      </c>
      <c r="DS7" s="62">
        <f t="shared" si="17"/>
        <v>267.40555139678918</v>
      </c>
      <c r="DT7" s="62">
        <f ca="1">AVERAGE(OFFSET($DS$3,0,0,'Données projet'!$E$14+1,1))-AVERAGE(OFFSET($H$3,0,0,'Données projet'!$E$14+1,1))</f>
        <v>397.24714625007675</v>
      </c>
      <c r="DU7" s="62">
        <f t="shared" si="44"/>
        <v>431.75775520200608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9">
        <f t="shared" si="1"/>
        <v>256.66666666666669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509.56241660612449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0.6</v>
      </c>
      <c r="AI8" s="14">
        <f>IF('Données projet'!$A$62&gt;35,AI7+AH8-AQ7,IF(A8&lt;'Données projet'!$A$62,$AF$205^A8,IF(A8='Données projet'!$A$62,'Données projet'!$B$62,AI7+AH8-AQ7)))</f>
        <v>2.0800838230519041</v>
      </c>
      <c r="AJ8" s="14">
        <f>AI8*VLOOKUP('Données projet'!$B$10,Paramètres!$A$1:$I$89,3,0)*VLOOKUP('Données projet'!$B$10,Paramètres!$A$1:$I$89,5,0)</f>
        <v>1.784711920178534</v>
      </c>
      <c r="AK8" s="14">
        <f t="shared" si="35"/>
        <v>0.76884299093712538</v>
      </c>
      <c r="AL8" s="22">
        <f t="shared" si="4"/>
        <v>4.4474414701931062</v>
      </c>
      <c r="AM8" s="62">
        <f t="shared" si="5"/>
        <v>267.22521924797087</v>
      </c>
      <c r="AN8" s="62">
        <f ca="1">AVERAGE(OFFSET($AM$3,0,0,'Données projet'!$E$10+1,1))-AVERAGE(OFFSET($H$3,0,0,'Données projet'!$E$10+1,1))</f>
        <v>625.17723604265689</v>
      </c>
      <c r="AO8" s="62">
        <f t="shared" si="36"/>
        <v>462.33909258902241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3.1623931623931623</v>
      </c>
      <c r="BD8" s="13">
        <f>IF('Données projet'!$A$88&gt;35,BD7+BC8-BL7,IF(A8&lt;'Données projet'!$A$88,$BA$205^A8,IF(A8='Données projet'!$A$88,'Données projet'!$B$88,BD7+BC8-BL7)))</f>
        <v>3.6199483483136521</v>
      </c>
      <c r="BE8" s="14">
        <f>BD8*VLOOKUP('Données projet'!$B$11,Paramètres!$A$1:$I$89,3,0)*VLOOKUP('Données projet'!$B$11,Paramètres!$A$1:$I$89,5,0)</f>
        <v>3.4447428482552716</v>
      </c>
      <c r="BF8" s="14">
        <f t="shared" si="37"/>
        <v>1.3746236757212458</v>
      </c>
      <c r="BG8" s="22">
        <f t="shared" si="7"/>
        <v>8.3937300292591015</v>
      </c>
      <c r="BH8" s="62">
        <f t="shared" si="8"/>
        <v>271.17150780703685</v>
      </c>
      <c r="BI8" s="62">
        <f ca="1">AVERAGE(OFFSET($BH$3,0,0,'Données projet'!$E$11+1,1))-AVERAGE(OFFSET($H$3,0,0,'Données projet'!$E$11+1,1))</f>
        <v>406.24139966722936</v>
      </c>
      <c r="BJ8" s="62">
        <f t="shared" si="38"/>
        <v>295.95724296920577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2.9639349646914495</v>
      </c>
      <c r="CA8" s="14">
        <f t="shared" si="39"/>
        <v>1.2036361467970902</v>
      </c>
      <c r="CB8" s="22">
        <f t="shared" si="10"/>
        <v>7.2585196858425398</v>
      </c>
      <c r="CC8" s="62">
        <f t="shared" si="11"/>
        <v>270.03629746362031</v>
      </c>
      <c r="CD8" s="62">
        <f ca="1">AVERAGE(OFFSET($CC$3,0,0,'Données projet'!$E$12+1,1))-AVERAGE(OFFSET($H$3,0,0,'Données projet'!$E$12+1,1))</f>
        <v>565.72091871734051</v>
      </c>
      <c r="CE8" s="62">
        <f t="shared" si="40"/>
        <v>306.61893266146666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7.1333333333333337</v>
      </c>
      <c r="CT8" s="13">
        <f>IF('Données projet'!$A$140&gt;35,CT7+CS8-DB7,IF(A8&lt;'Données projet'!$A$140,$CQ$205^A8,IF(A8='Données projet'!$A$140,'Données projet'!$B$140,CT7+CS8-DB7)))</f>
        <v>4.7474593985233984</v>
      </c>
      <c r="CU8" s="18">
        <f>CT8*VLOOKUP('Données projet'!$B$13,Paramètres!$A$1:$I$89,3,0)*VLOOKUP('Données projet'!$B$13,Paramètres!$A$1:$I$89,5,0)</f>
        <v>4.1473805305500413</v>
      </c>
      <c r="CV8" s="14">
        <f t="shared" si="41"/>
        <v>1.6196346870133109</v>
      </c>
      <c r="CW8" s="22">
        <f t="shared" si="13"/>
        <v>10.044218170589504</v>
      </c>
      <c r="CX8" s="62">
        <f t="shared" si="14"/>
        <v>272.82199594836726</v>
      </c>
      <c r="CY8" s="62">
        <f ca="1">AVERAGE(OFFSET($CX$3,0,0,'Données projet'!$E$13+1,1))-AVERAGE(OFFSET($H$3,0,0,'Données projet'!$E$13+1,1))</f>
        <v>333.56306908115238</v>
      </c>
      <c r="CZ8" s="62">
        <f t="shared" si="42"/>
        <v>523.65456887919618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1.8800000000000001</v>
      </c>
      <c r="DO8" s="13">
        <f>IF('Données projet'!$A$166&gt;35,DO7+DN8-DW7,IF(A8&lt;'Données projet'!$A$166,$DL$205^A8,IF(A8='Données projet'!$A$166,'Données projet'!$B$166,DO7+DN8-DW7)))</f>
        <v>4.3358966777357582</v>
      </c>
      <c r="DP8" s="18">
        <f>DO8*VLOOKUP('Données projet'!$B$14,Paramètres!$A$1:$I$89,3,0)*VLOOKUP('Données projet'!$B$14,Paramètres!$A$1:$I$89,5,0)</f>
        <v>3.1790794441158581</v>
      </c>
      <c r="DQ8" s="14">
        <f t="shared" si="43"/>
        <v>1.2805176385410906</v>
      </c>
      <c r="DR8" s="22">
        <f t="shared" si="16"/>
        <v>7.767131585627518</v>
      </c>
      <c r="DS8" s="62">
        <f t="shared" si="17"/>
        <v>270.54490936340528</v>
      </c>
      <c r="DT8" s="62">
        <f ca="1">AVERAGE(OFFSET($DS$3,0,0,'Données projet'!$E$14+1,1))-AVERAGE(OFFSET($H$3,0,0,'Données projet'!$E$14+1,1))</f>
        <v>397.24714625007675</v>
      </c>
      <c r="DU8" s="62">
        <f t="shared" si="44"/>
        <v>431.75775520200608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9">
        <f t="shared" si="1"/>
        <v>256.66666666666669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509.56241660612449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0.6</v>
      </c>
      <c r="AI9" s="14">
        <f>IF('Données projet'!$A$62&gt;35,AI8+AH9-AQ8,IF(A9&lt;'Données projet'!$A$62,$AF$205^A9,IF(A9='Données projet'!$A$62,'Données projet'!$B$62,AI8+AH9-AQ8)))</f>
        <v>2.4082246852806919</v>
      </c>
      <c r="AJ9" s="14">
        <f>AI9*VLOOKUP('Données projet'!$B$10,Paramètres!$A$1:$I$89,3,0)*VLOOKUP('Données projet'!$B$10,Paramètres!$A$1:$I$89,5,0)</f>
        <v>2.0662567799708338</v>
      </c>
      <c r="AK9" s="14">
        <f t="shared" si="35"/>
        <v>0.87508231077875787</v>
      </c>
      <c r="AL9" s="22">
        <f t="shared" si="4"/>
        <v>5.1228322497222045</v>
      </c>
      <c r="AM9" s="62">
        <f t="shared" si="5"/>
        <v>269.12283224972219</v>
      </c>
      <c r="AN9" s="62">
        <f ca="1">AVERAGE(OFFSET($AM$3,0,0,'Données projet'!$E$10+1,1))-AVERAGE(OFFSET($H$3,0,0,'Données projet'!$E$10+1,1))</f>
        <v>625.17723604265689</v>
      </c>
      <c r="AO9" s="62">
        <f t="shared" si="36"/>
        <v>462.33909258902241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3.1623931623931623</v>
      </c>
      <c r="BD9" s="13">
        <f>IF('Données projet'!$A$88&gt;35,BD8+BC9-BL8,IF(A9&lt;'Données projet'!$A$88,$BA$205^A9,IF(A9='Données projet'!$A$88,'Données projet'!$B$88,BD8+BC9-BL8)))</f>
        <v>4.6821233241387468</v>
      </c>
      <c r="BE9" s="14">
        <f>BD9*VLOOKUP('Données projet'!$B$11,Paramètres!$A$1:$I$89,3,0)*VLOOKUP('Données projet'!$B$11,Paramètres!$A$1:$I$89,5,0)</f>
        <v>4.4555085552504314</v>
      </c>
      <c r="BF9" s="14">
        <f t="shared" si="37"/>
        <v>1.7255108845411122</v>
      </c>
      <c r="BG9" s="22">
        <f t="shared" si="7"/>
        <v>10.765275524303604</v>
      </c>
      <c r="BH9" s="62">
        <f t="shared" si="8"/>
        <v>274.7652755243036</v>
      </c>
      <c r="BI9" s="62">
        <f ca="1">AVERAGE(OFFSET($BH$3,0,0,'Données projet'!$E$11+1,1))-AVERAGE(OFFSET($H$3,0,0,'Données projet'!$E$11+1,1))</f>
        <v>406.24139966722936</v>
      </c>
      <c r="BJ9" s="62">
        <f t="shared" si="38"/>
        <v>295.95724296920577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3.6731174301700205</v>
      </c>
      <c r="CA9" s="14">
        <f t="shared" si="39"/>
        <v>1.4548453345092642</v>
      </c>
      <c r="CB9" s="22">
        <f t="shared" si="10"/>
        <v>8.9312018151497536</v>
      </c>
      <c r="CC9" s="62">
        <f t="shared" si="11"/>
        <v>272.93120181514973</v>
      </c>
      <c r="CD9" s="62">
        <f ca="1">AVERAGE(OFFSET($CC$3,0,0,'Données projet'!$E$12+1,1))-AVERAGE(OFFSET($H$3,0,0,'Données projet'!$E$12+1,1))</f>
        <v>565.72091871734051</v>
      </c>
      <c r="CE9" s="62">
        <f t="shared" si="40"/>
        <v>306.61893266146666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7.1333333333333337</v>
      </c>
      <c r="CT9" s="13">
        <f>IF('Données projet'!$A$140&gt;35,CT8+CS9-DB8,IF(A9&lt;'Données projet'!$A$140,$CQ$205^A9,IF(A9='Données projet'!$A$140,'Données projet'!$B$140,CT8+CS9-DB8)))</f>
        <v>6.4826639792067677</v>
      </c>
      <c r="CU9" s="18">
        <f>CT9*VLOOKUP('Données projet'!$B$13,Paramètres!$A$1:$I$89,3,0)*VLOOKUP('Données projet'!$B$13,Paramètres!$A$1:$I$89,5,0)</f>
        <v>5.6632552522350332</v>
      </c>
      <c r="CV9" s="14">
        <f t="shared" si="41"/>
        <v>2.1328548607386395</v>
      </c>
      <c r="CW9" s="22">
        <f t="shared" si="13"/>
        <v>13.578225113429147</v>
      </c>
      <c r="CX9" s="62">
        <f t="shared" si="14"/>
        <v>277.57822511342914</v>
      </c>
      <c r="CY9" s="62">
        <f ca="1">AVERAGE(OFFSET($CX$3,0,0,'Données projet'!$E$13+1,1))-AVERAGE(OFFSET($H$3,0,0,'Données projet'!$E$13+1,1))</f>
        <v>333.56306908115238</v>
      </c>
      <c r="CZ9" s="62">
        <f t="shared" si="42"/>
        <v>523.65456887919618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1.8800000000000001</v>
      </c>
      <c r="DO9" s="13">
        <f>IF('Données projet'!$A$166&gt;35,DO8+DN9-DW8,IF(A9&lt;'Données projet'!$A$166,$DL$205^A9,IF(A9='Données projet'!$A$166,'Données projet'!$B$166,DO8+DN9-DW8)))</f>
        <v>5.8142634950836038</v>
      </c>
      <c r="DP9" s="18">
        <f>DO9*VLOOKUP('Données projet'!$B$14,Paramètres!$A$1:$I$89,3,0)*VLOOKUP('Données projet'!$B$14,Paramètres!$A$1:$I$89,5,0)</f>
        <v>4.2630179945952982</v>
      </c>
      <c r="DQ9" s="14">
        <f t="shared" si="43"/>
        <v>1.6594728543414938</v>
      </c>
      <c r="DR9" s="22">
        <f t="shared" si="16"/>
        <v>10.315004895231578</v>
      </c>
      <c r="DS9" s="62">
        <f t="shared" si="17"/>
        <v>274.3150048952316</v>
      </c>
      <c r="DT9" s="62">
        <f ca="1">AVERAGE(OFFSET($DS$3,0,0,'Données projet'!$E$14+1,1))-AVERAGE(OFFSET($H$3,0,0,'Données projet'!$E$14+1,1))</f>
        <v>397.24714625007675</v>
      </c>
      <c r="DU9" s="62">
        <f t="shared" si="44"/>
        <v>431.75775520200608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9">
        <f t="shared" si="1"/>
        <v>256.66666666666669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509.56241660612449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0.6</v>
      </c>
      <c r="AI10" s="14">
        <f>IF('Données projet'!$A$62&gt;35,AI9+AH10-AQ9,IF(A10&lt;'Données projet'!$A$62,$AF$205^A10,IF(A10='Données projet'!$A$62,'Données projet'!$B$62,AI9+AH10-AQ9)))</f>
        <v>2.788130973628832</v>
      </c>
      <c r="AJ10" s="14">
        <f>AI10*VLOOKUP('Données projet'!$B$10,Paramètres!$A$1:$I$89,3,0)*VLOOKUP('Données projet'!$B$10,Paramètres!$A$1:$I$89,5,0)</f>
        <v>2.3922163753735384</v>
      </c>
      <c r="AK10" s="14">
        <f t="shared" si="35"/>
        <v>0.99600186210257591</v>
      </c>
      <c r="AL10" s="22">
        <f t="shared" si="4"/>
        <v>5.9011467636042321</v>
      </c>
      <c r="AM10" s="62">
        <f t="shared" si="5"/>
        <v>271.12336898582646</v>
      </c>
      <c r="AN10" s="62">
        <f ca="1">AVERAGE(OFFSET($AM$3,0,0,'Données projet'!$E$10+1,1))-AVERAGE(OFFSET($H$3,0,0,'Données projet'!$E$10+1,1))</f>
        <v>625.17723604265689</v>
      </c>
      <c r="AO10" s="62">
        <f t="shared" si="36"/>
        <v>462.33909258902241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3.1623931623931623</v>
      </c>
      <c r="BD10" s="13">
        <f>IF('Données projet'!$A$88&gt;35,BD9+BC10-BL9,IF(A10&lt;'Données projet'!$A$88,$BA$205^A10,IF(A10='Données projet'!$A$88,'Données projet'!$B$88,BD9+BC10-BL9)))</f>
        <v>6.0559645368024464</v>
      </c>
      <c r="BE10" s="14">
        <f>BD10*VLOOKUP('Données projet'!$B$11,Paramètres!$A$1:$I$89,3,0)*VLOOKUP('Données projet'!$B$11,Paramètres!$A$1:$I$89,5,0)</f>
        <v>5.7628558532212084</v>
      </c>
      <c r="BF10" s="14">
        <f t="shared" si="37"/>
        <v>2.1659657586703922</v>
      </c>
      <c r="BG10" s="22">
        <f t="shared" si="7"/>
        <v>13.809364307377871</v>
      </c>
      <c r="BH10" s="62">
        <f t="shared" si="8"/>
        <v>279.03158652960008</v>
      </c>
      <c r="BI10" s="62">
        <f ca="1">AVERAGE(OFFSET($BH$3,0,0,'Données projet'!$E$11+1,1))-AVERAGE(OFFSET($H$3,0,0,'Données projet'!$E$11+1,1))</f>
        <v>406.24139966722936</v>
      </c>
      <c r="BJ10" s="62">
        <f t="shared" si="38"/>
        <v>295.95724296920577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4.5519864020441929</v>
      </c>
      <c r="CA10" s="14">
        <f t="shared" si="39"/>
        <v>1.7584840343783612</v>
      </c>
      <c r="CB10" s="22">
        <f t="shared" si="10"/>
        <v>10.990736010102614</v>
      </c>
      <c r="CC10" s="62">
        <f t="shared" si="11"/>
        <v>276.21295823232487</v>
      </c>
      <c r="CD10" s="62">
        <f ca="1">AVERAGE(OFFSET($CC$3,0,0,'Données projet'!$E$12+1,1))-AVERAGE(OFFSET($H$3,0,0,'Données projet'!$E$12+1,1))</f>
        <v>565.72091871734051</v>
      </c>
      <c r="CE10" s="62">
        <f t="shared" si="40"/>
        <v>306.61893266146666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7.1333333333333337</v>
      </c>
      <c r="CT10" s="13">
        <f>IF('Données projet'!$A$140&gt;35,CT9+CS10-DB9,IF(A10&lt;'Données projet'!$A$140,$CQ$205^A10,IF(A10='Données projet'!$A$140,'Données projet'!$B$140,CT9+CS10-DB9)))</f>
        <v>8.8520888204701524</v>
      </c>
      <c r="CU10" s="18">
        <f>CT10*VLOOKUP('Données projet'!$B$13,Paramètres!$A$1:$I$89,3,0)*VLOOKUP('Données projet'!$B$13,Paramètres!$A$1:$I$89,5,0)</f>
        <v>7.7331847935627263</v>
      </c>
      <c r="CV10" s="14">
        <f t="shared" si="41"/>
        <v>2.8087011802427866</v>
      </c>
      <c r="CW10" s="22">
        <f t="shared" si="13"/>
        <v>18.360451404377937</v>
      </c>
      <c r="CX10" s="62">
        <f t="shared" si="14"/>
        <v>283.58267362660018</v>
      </c>
      <c r="CY10" s="62">
        <f ca="1">AVERAGE(OFFSET($CX$3,0,0,'Données projet'!$E$13+1,1))-AVERAGE(OFFSET($H$3,0,0,'Données projet'!$E$13+1,1))</f>
        <v>333.56306908115238</v>
      </c>
      <c r="CZ10" s="62">
        <f t="shared" si="42"/>
        <v>523.65456887919618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1.8800000000000001</v>
      </c>
      <c r="DO10" s="13">
        <f>IF('Données projet'!$A$166&gt;35,DO9+DN10-DW9,IF(A10&lt;'Données projet'!$A$166,$DL$205^A10,IF(A10='Données projet'!$A$166,'Données projet'!$B$166,DO9+DN10-DW9)))</f>
        <v>7.796694087257495</v>
      </c>
      <c r="DP10" s="18">
        <f>DO10*VLOOKUP('Données projet'!$B$14,Paramètres!$A$1:$I$89,3,0)*VLOOKUP('Données projet'!$B$14,Paramètres!$A$1:$I$89,5,0)</f>
        <v>5.7165361047771945</v>
      </c>
      <c r="DQ10" s="14">
        <f t="shared" si="43"/>
        <v>2.150575729229157</v>
      </c>
      <c r="DR10" s="22">
        <f t="shared" si="16"/>
        <v>13.70188644422773</v>
      </c>
      <c r="DS10" s="62">
        <f t="shared" si="17"/>
        <v>278.92410866644997</v>
      </c>
      <c r="DT10" s="62">
        <f ca="1">AVERAGE(OFFSET($DS$3,0,0,'Données projet'!$E$14+1,1))-AVERAGE(OFFSET($H$3,0,0,'Données projet'!$E$14+1,1))</f>
        <v>397.24714625007675</v>
      </c>
      <c r="DU10" s="62">
        <f t="shared" si="44"/>
        <v>431.75775520200608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9">
        <f t="shared" si="1"/>
        <v>256.66666666666669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509.56241660612449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0.6</v>
      </c>
      <c r="AI11" s="14">
        <f>IF('Données projet'!$A$62&gt;35,AI10+AH11-AQ10,IF(A11&lt;'Données projet'!$A$62,$AF$205^A11,IF(A11='Données projet'!$A$62,'Données projet'!$B$62,AI10+AH11-AQ10)))</f>
        <v>3.227968874176038</v>
      </c>
      <c r="AJ11" s="14">
        <f>AI11*VLOOKUP('Données projet'!$B$10,Paramètres!$A$1:$I$89,3,0)*VLOOKUP('Données projet'!$B$10,Paramètres!$A$1:$I$89,5,0)</f>
        <v>2.7695972940430411</v>
      </c>
      <c r="AK11" s="14">
        <f t="shared" si="35"/>
        <v>1.1336301706624319</v>
      </c>
      <c r="AL11" s="22">
        <f t="shared" si="4"/>
        <v>6.7981211676953643</v>
      </c>
      <c r="AM11" s="62">
        <f t="shared" si="5"/>
        <v>273.2425656121398</v>
      </c>
      <c r="AN11" s="62">
        <f ca="1">AVERAGE(OFFSET($AM$3,0,0,'Données projet'!$E$10+1,1))-AVERAGE(OFFSET($H$3,0,0,'Données projet'!$E$10+1,1))</f>
        <v>625.17723604265689</v>
      </c>
      <c r="AO11" s="62">
        <f t="shared" si="36"/>
        <v>462.33909258902241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3.1623931623931623</v>
      </c>
      <c r="BD11" s="13">
        <f>IF('Données projet'!$A$88&gt;35,BD10+BC11-BL10,IF(A11&lt;'Données projet'!$A$88,$BA$205^A11,IF(A11='Données projet'!$A$88,'Données projet'!$B$88,BD10+BC11-BL10)))</f>
        <v>7.8329219313664717</v>
      </c>
      <c r="BE11" s="14">
        <f>BD11*VLOOKUP('Données projet'!$B$11,Paramètres!$A$1:$I$89,3,0)*VLOOKUP('Données projet'!$B$11,Paramètres!$A$1:$I$89,5,0)</f>
        <v>7.4538085098883347</v>
      </c>
      <c r="BF11" s="14">
        <f t="shared" si="37"/>
        <v>2.7188513904855807</v>
      </c>
      <c r="BG11" s="22">
        <f t="shared" si="7"/>
        <v>17.717382659817904</v>
      </c>
      <c r="BH11" s="62">
        <f t="shared" si="8"/>
        <v>284.16182710426239</v>
      </c>
      <c r="BI11" s="62">
        <f ca="1">AVERAGE(OFFSET($BH$3,0,0,'Données projet'!$E$11+1,1))-AVERAGE(OFFSET($H$3,0,0,'Données projet'!$E$11+1,1))</f>
        <v>406.24139966722936</v>
      </c>
      <c r="BJ11" s="62">
        <f t="shared" si="38"/>
        <v>295.95724296920577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5.6411428706857674</v>
      </c>
      <c r="CA11" s="14">
        <f t="shared" si="39"/>
        <v>2.125494735292019</v>
      </c>
      <c r="CB11" s="22">
        <f t="shared" si="10"/>
        <v>13.526893830411311</v>
      </c>
      <c r="CC11" s="62">
        <f t="shared" si="11"/>
        <v>279.97133827485578</v>
      </c>
      <c r="CD11" s="62">
        <f ca="1">AVERAGE(OFFSET($CC$3,0,0,'Données projet'!$E$12+1,1))-AVERAGE(OFFSET($H$3,0,0,'Données projet'!$E$12+1,1))</f>
        <v>565.72091871734051</v>
      </c>
      <c r="CE11" s="62">
        <f t="shared" si="40"/>
        <v>306.61893266146666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7.1333333333333337</v>
      </c>
      <c r="CT11" s="13">
        <f>IF('Données projet'!$A$140&gt;35,CT10+CS11-DB10,IF(A11&lt;'Données projet'!$A$140,$CQ$205^A11,IF(A11='Données projet'!$A$140,'Données projet'!$B$140,CT10+CS11-DB10)))</f>
        <v>12.087542519068045</v>
      </c>
      <c r="CU11" s="18">
        <f>CT11*VLOOKUP('Données projet'!$B$13,Paramètres!$A$1:$I$89,3,0)*VLOOKUP('Données projet'!$B$13,Paramètres!$A$1:$I$89,5,0)</f>
        <v>10.559677144657845</v>
      </c>
      <c r="CV11" s="14">
        <f t="shared" si="41"/>
        <v>3.6987056480557761</v>
      </c>
      <c r="CW11" s="22">
        <f t="shared" si="13"/>
        <v>24.83335003064289</v>
      </c>
      <c r="CX11" s="62">
        <f t="shared" si="14"/>
        <v>291.27779447508738</v>
      </c>
      <c r="CY11" s="62">
        <f ca="1">AVERAGE(OFFSET($CX$3,0,0,'Données projet'!$E$13+1,1))-AVERAGE(OFFSET($H$3,0,0,'Données projet'!$E$13+1,1))</f>
        <v>333.56306908115238</v>
      </c>
      <c r="CZ11" s="62">
        <f t="shared" si="42"/>
        <v>523.65456887919618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1.8800000000000001</v>
      </c>
      <c r="DO11" s="13">
        <f>IF('Données projet'!$A$166&gt;35,DO10+DN11-DW10,IF(A11&lt;'Données projet'!$A$166,$DL$205^A11,IF(A11='Données projet'!$A$166,'Données projet'!$B$166,DO10+DN11-DW10)))</f>
        <v>10.455053979180196</v>
      </c>
      <c r="DP11" s="18">
        <f>DO11*VLOOKUP('Données projet'!$B$14,Paramètres!$A$1:$I$89,3,0)*VLOOKUP('Données projet'!$B$14,Paramètres!$A$1:$I$89,5,0)</f>
        <v>7.665645577534919</v>
      </c>
      <c r="DQ11" s="14">
        <f t="shared" si="43"/>
        <v>2.7870151386024258</v>
      </c>
      <c r="DR11" s="22">
        <f t="shared" si="16"/>
        <v>18.205050747272541</v>
      </c>
      <c r="DS11" s="62">
        <f t="shared" si="17"/>
        <v>284.64949519171699</v>
      </c>
      <c r="DT11" s="62">
        <f ca="1">AVERAGE(OFFSET($DS$3,0,0,'Données projet'!$E$14+1,1))-AVERAGE(OFFSET($H$3,0,0,'Données projet'!$E$14+1,1))</f>
        <v>397.24714625007675</v>
      </c>
      <c r="DU11" s="62">
        <f t="shared" si="44"/>
        <v>431.75775520200608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9">
        <f t="shared" si="1"/>
        <v>256.66666666666669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509.56241660612449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0.6</v>
      </c>
      <c r="AI12" s="14">
        <f>IF('Données projet'!$A$62&gt;35,AI11+AH12-AQ11,IF(A12&lt;'Données projet'!$A$62,$AF$205^A12,IF(A12='Données projet'!$A$62,'Données projet'!$B$62,AI11+AH12-AQ11)))</f>
        <v>3.7371928188465526</v>
      </c>
      <c r="AJ12" s="14">
        <f>AI12*VLOOKUP('Données projet'!$B$10,Paramètres!$A$1:$I$89,3,0)*VLOOKUP('Données projet'!$B$10,Paramètres!$A$1:$I$89,5,0)</f>
        <v>3.2065114385703426</v>
      </c>
      <c r="AK12" s="14">
        <f t="shared" si="35"/>
        <v>1.2902760654716356</v>
      </c>
      <c r="AL12" s="22">
        <f t="shared" si="4"/>
        <v>7.831904902873112</v>
      </c>
      <c r="AM12" s="62">
        <f t="shared" si="5"/>
        <v>275.49857156953982</v>
      </c>
      <c r="AN12" s="62">
        <f ca="1">AVERAGE(OFFSET($AM$3,0,0,'Données projet'!$E$10+1,1))-AVERAGE(OFFSET($H$3,0,0,'Données projet'!$E$10+1,1))</f>
        <v>625.17723604265689</v>
      </c>
      <c r="AO12" s="62">
        <f t="shared" si="36"/>
        <v>462.33909258902241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3.1623931623931623</v>
      </c>
      <c r="BD12" s="13">
        <f>IF('Données projet'!$A$88&gt;35,BD11+BC12-BL11,IF(A12&lt;'Données projet'!$A$88,$BA$205^A12,IF(A12='Données projet'!$A$88,'Données projet'!$B$88,BD11+BC12-BL11)))</f>
        <v>10.131278941616319</v>
      </c>
      <c r="BE12" s="14">
        <f>BD12*VLOOKUP('Données projet'!$B$11,Paramètres!$A$1:$I$89,3,0)*VLOOKUP('Données projet'!$B$11,Paramètres!$A$1:$I$89,5,0)</f>
        <v>9.6409250408420899</v>
      </c>
      <c r="BF12" s="14">
        <f t="shared" si="37"/>
        <v>3.412866918119311</v>
      </c>
      <c r="BG12" s="22">
        <f t="shared" si="7"/>
        <v>22.735354328524441</v>
      </c>
      <c r="BH12" s="62">
        <f t="shared" si="8"/>
        <v>290.40202099519115</v>
      </c>
      <c r="BI12" s="62">
        <f ca="1">AVERAGE(OFFSET($BH$3,0,0,'Données projet'!$E$11+1,1))-AVERAGE(OFFSET($H$3,0,0,'Données projet'!$E$11+1,1))</f>
        <v>406.24139966722936</v>
      </c>
      <c r="BJ12" s="62">
        <f t="shared" si="38"/>
        <v>295.95724296920577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6.9909024493566383</v>
      </c>
      <c r="CA12" s="14">
        <f t="shared" si="39"/>
        <v>2.5691037174250742</v>
      </c>
      <c r="CB12" s="22">
        <f t="shared" si="10"/>
        <v>16.650344073811482</v>
      </c>
      <c r="CC12" s="62">
        <f t="shared" si="11"/>
        <v>284.31701074047817</v>
      </c>
      <c r="CD12" s="62">
        <f ca="1">AVERAGE(OFFSET($CC$3,0,0,'Données projet'!$E$12+1,1))-AVERAGE(OFFSET($H$3,0,0,'Données projet'!$E$12+1,1))</f>
        <v>565.72091871734051</v>
      </c>
      <c r="CE12" s="62">
        <f t="shared" si="40"/>
        <v>306.61893266146666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7.1333333333333337</v>
      </c>
      <c r="CT12" s="13">
        <f>IF('Données projet'!$A$140&gt;35,CT11+CS12-DB11,IF(A12&lt;'Données projet'!$A$140,$CQ$205^A12,IF(A12='Données projet'!$A$140,'Données projet'!$B$140,CT11+CS12-DB11)))</f>
        <v>16.505560112818404</v>
      </c>
      <c r="CU12" s="18">
        <f>CT12*VLOOKUP('Données projet'!$B$13,Paramètres!$A$1:$I$89,3,0)*VLOOKUP('Données projet'!$B$13,Paramètres!$A$1:$I$89,5,0)</f>
        <v>14.419257314558161</v>
      </c>
      <c r="CV12" s="14">
        <f t="shared" si="41"/>
        <v>4.870729420129039</v>
      </c>
      <c r="CW12" s="22">
        <f t="shared" si="13"/>
        <v>33.596726896246878</v>
      </c>
      <c r="CX12" s="62">
        <f t="shared" si="14"/>
        <v>301.26339356291356</v>
      </c>
      <c r="CY12" s="62">
        <f ca="1">AVERAGE(OFFSET($CX$3,0,0,'Données projet'!$E$13+1,1))-AVERAGE(OFFSET($H$3,0,0,'Données projet'!$E$13+1,1))</f>
        <v>333.56306908115238</v>
      </c>
      <c r="CZ12" s="62">
        <f t="shared" si="42"/>
        <v>523.65456887919618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1.8800000000000001</v>
      </c>
      <c r="DO12" s="13">
        <f>IF('Données projet'!$A$166&gt;35,DO11+DN12-DW11,IF(A12&lt;'Données projet'!$A$166,$DL$205^A12,IF(A12='Données projet'!$A$166,'Données projet'!$B$166,DO11+DN12-DW11)))</f>
        <v>14.019807944782537</v>
      </c>
      <c r="DP12" s="18">
        <f>DO12*VLOOKUP('Données projet'!$B$14,Paramètres!$A$1:$I$89,3,0)*VLOOKUP('Données projet'!$B$14,Paramètres!$A$1:$I$89,5,0)</f>
        <v>10.279323185114555</v>
      </c>
      <c r="DQ12" s="14">
        <f t="shared" si="43"/>
        <v>3.611801843213041</v>
      </c>
      <c r="DR12" s="22">
        <f t="shared" si="16"/>
        <v>24.193709424337229</v>
      </c>
      <c r="DS12" s="62">
        <f t="shared" si="17"/>
        <v>291.8603760910039</v>
      </c>
      <c r="DT12" s="62">
        <f ca="1">AVERAGE(OFFSET($DS$3,0,0,'Données projet'!$E$14+1,1))-AVERAGE(OFFSET($H$3,0,0,'Données projet'!$E$14+1,1))</f>
        <v>397.24714625007675</v>
      </c>
      <c r="DU12" s="62">
        <f t="shared" si="44"/>
        <v>431.75775520200608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9">
        <f t="shared" si="1"/>
        <v>256.66666666666669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509.56241660612449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0.6</v>
      </c>
      <c r="AI13" s="14">
        <f>IF('Données projet'!$A$62&gt;35,AI12+AH13-AQ12,IF(A13&lt;'Données projet'!$A$62,$AF$205^A13,IF(A13='Données projet'!$A$62,'Données projet'!$B$62,AI12+AH13-AQ12)))</f>
        <v>4.3267487109222253</v>
      </c>
      <c r="AJ13" s="14">
        <f>AI13*VLOOKUP('Données projet'!$B$10,Paramètres!$A$1:$I$89,3,0)*VLOOKUP('Données projet'!$B$10,Paramètres!$A$1:$I$89,5,0)</f>
        <v>3.7123503939712696</v>
      </c>
      <c r="AK13" s="14">
        <f t="shared" si="35"/>
        <v>1.4685674113243992</v>
      </c>
      <c r="AL13" s="22">
        <f t="shared" si="4"/>
        <v>9.023431844223289</v>
      </c>
      <c r="AM13" s="62">
        <f t="shared" si="5"/>
        <v>277.91232073311215</v>
      </c>
      <c r="AN13" s="62">
        <f ca="1">AVERAGE(OFFSET($AM$3,0,0,'Données projet'!$E$10+1,1))-AVERAGE(OFFSET($H$3,0,0,'Données projet'!$E$10+1,1))</f>
        <v>625.17723604265689</v>
      </c>
      <c r="AO13" s="62">
        <f t="shared" si="36"/>
        <v>462.33909258902241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3.1623931623931623</v>
      </c>
      <c r="BD13" s="13">
        <f>IF('Données projet'!$A$88&gt;35,BD12+BC13-BL12,IF(A13&lt;'Données projet'!$A$88,$BA$205^A13,IF(A13='Données projet'!$A$88,'Données projet'!$B$88,BD12+BC13-BL12)))</f>
        <v>13.104026044458736</v>
      </c>
      <c r="BE13" s="14">
        <f>BD13*VLOOKUP('Données projet'!$B$11,Paramètres!$A$1:$I$89,3,0)*VLOOKUP('Données projet'!$B$11,Paramètres!$A$1:$I$89,5,0)</f>
        <v>12.469791183906933</v>
      </c>
      <c r="BF13" s="14">
        <f t="shared" si="37"/>
        <v>4.2840372377664062</v>
      </c>
      <c r="BG13" s="22">
        <f t="shared" si="7"/>
        <v>29.179584501081067</v>
      </c>
      <c r="BH13" s="62">
        <f t="shared" si="8"/>
        <v>298.06847338996994</v>
      </c>
      <c r="BI13" s="62">
        <f ca="1">AVERAGE(OFFSET($BH$3,0,0,'Données projet'!$E$11+1,1))-AVERAGE(OFFSET($H$3,0,0,'Données projet'!$E$11+1,1))</f>
        <v>406.24139966722936</v>
      </c>
      <c r="BJ13" s="62">
        <f t="shared" si="38"/>
        <v>295.95724296920577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8.6636197977519771</v>
      </c>
      <c r="CA13" s="14">
        <f t="shared" si="39"/>
        <v>3.1052976990698267</v>
      </c>
      <c r="CB13" s="22">
        <f t="shared" si="10"/>
        <v>20.497531306964643</v>
      </c>
      <c r="CC13" s="62">
        <f t="shared" si="11"/>
        <v>289.38642019585347</v>
      </c>
      <c r="CD13" s="62">
        <f ca="1">AVERAGE(OFFSET($CC$3,0,0,'Données projet'!$E$12+1,1))-AVERAGE(OFFSET($H$3,0,0,'Données projet'!$E$12+1,1))</f>
        <v>565.72091871734051</v>
      </c>
      <c r="CE13" s="62">
        <f t="shared" si="40"/>
        <v>306.61893266146666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7.1333333333333337</v>
      </c>
      <c r="CT13" s="13">
        <f>IF('Données projet'!$A$140&gt;35,CT12+CS13-DB12,IF(A13&lt;'Données projet'!$A$140,$CQ$205^A13,IF(A13='Données projet'!$A$140,'Données projet'!$B$140,CT12+CS13-DB12)))</f>
        <v>22.538370740628146</v>
      </c>
      <c r="CU13" s="18">
        <f>CT13*VLOOKUP('Données projet'!$B$13,Paramètres!$A$1:$I$89,3,0)*VLOOKUP('Données projet'!$B$13,Paramètres!$A$1:$I$89,5,0)</f>
        <v>19.689520679012752</v>
      </c>
      <c r="CV13" s="14">
        <f t="shared" si="41"/>
        <v>6.414137090520053</v>
      </c>
      <c r="CW13" s="22">
        <f t="shared" si="13"/>
        <v>45.463870615269634</v>
      </c>
      <c r="CX13" s="62">
        <f t="shared" si="14"/>
        <v>314.35275950415848</v>
      </c>
      <c r="CY13" s="62">
        <f ca="1">AVERAGE(OFFSET($CX$3,0,0,'Données projet'!$E$13+1,1))-AVERAGE(OFFSET($H$3,0,0,'Données projet'!$E$13+1,1))</f>
        <v>333.56306908115238</v>
      </c>
      <c r="CZ13" s="62">
        <f t="shared" si="42"/>
        <v>523.65456887919618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18.8</v>
      </c>
      <c r="DM13" s="13">
        <f>VLOOKUP(A13,'Données projet'!$A$165:$I$185,9,0)</f>
        <v>1.8800000000000001</v>
      </c>
      <c r="DN13" s="13">
        <f t="array" ref="DN13">INDEX(DM:DM,MIN(IF(ISNUMBER(DM13:DM209),ROW(DM13:DM209),"")))</f>
        <v>1.8800000000000001</v>
      </c>
      <c r="DO13" s="13">
        <f>IF('Données projet'!$A$166&gt;35,DO12+DN13-DW12,IF(A13&lt;'Données projet'!$A$166,$DL$205^A13,IF(A13='Données projet'!$A$166,'Données projet'!$B$166,DO12+DN13-DW12)))</f>
        <v>18.8</v>
      </c>
      <c r="DP13" s="18">
        <f>DO13*VLOOKUP('Données projet'!$B$14,Paramètres!$A$1:$I$89,3,0)*VLOOKUP('Données projet'!$B$14,Paramètres!$A$1:$I$89,5,0)</f>
        <v>13.784160000000002</v>
      </c>
      <c r="DQ13" s="14">
        <f t="shared" si="43"/>
        <v>4.6806751689116126</v>
      </c>
      <c r="DR13" s="22">
        <f t="shared" si="16"/>
        <v>32.159587919187722</v>
      </c>
      <c r="DS13" s="62">
        <f t="shared" si="17"/>
        <v>301.0484768080766</v>
      </c>
      <c r="DT13" s="62">
        <f ca="1">AVERAGE(OFFSET($DS$3,0,0,'Données projet'!$E$14+1,1))-AVERAGE(OFFSET($H$3,0,0,'Données projet'!$E$14+1,1))</f>
        <v>397.24714625007675</v>
      </c>
      <c r="DU13" s="62">
        <f t="shared" si="44"/>
        <v>431.75775520200608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9">
        <f t="shared" si="1"/>
        <v>256.66666666666669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509.56241660612449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0.6</v>
      </c>
      <c r="AI14" s="14">
        <f>IF('Données projet'!$A$62&gt;35,AI13+AH14-AQ13,IF(A14&lt;'Données projet'!$A$62,$AF$205^A14,IF(A14='Données projet'!$A$62,'Données projet'!$B$62,AI13+AH14-AQ13)))</f>
        <v>5.0093092101266317</v>
      </c>
      <c r="AJ14" s="14">
        <f>AI14*VLOOKUP('Données projet'!$B$10,Paramètres!$A$1:$I$89,3,0)*VLOOKUP('Données projet'!$B$10,Paramètres!$A$1:$I$89,5,0)</f>
        <v>4.297987302288651</v>
      </c>
      <c r="AK14" s="14">
        <f t="shared" si="35"/>
        <v>1.6714951934070881</v>
      </c>
      <c r="AL14" s="22">
        <f t="shared" si="4"/>
        <v>10.39684868000341</v>
      </c>
      <c r="AM14" s="62">
        <f t="shared" si="5"/>
        <v>280.50795979111456</v>
      </c>
      <c r="AN14" s="62">
        <f ca="1">AVERAGE(OFFSET($AM$3,0,0,'Données projet'!$E$10+1,1))-AVERAGE(OFFSET($H$3,0,0,'Données projet'!$E$10+1,1))</f>
        <v>625.17723604265689</v>
      </c>
      <c r="AO14" s="62">
        <f t="shared" si="36"/>
        <v>462.33909258902241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3.1623931623931623</v>
      </c>
      <c r="BD14" s="13">
        <f>IF('Données projet'!$A$88&gt;35,BD13+BC14-BL13,IF(A14&lt;'Données projet'!$A$88,$BA$205^A14,IF(A14='Données projet'!$A$88,'Données projet'!$B$88,BD13+BC14-BL13)))</f>
        <v>16.949044593816883</v>
      </c>
      <c r="BE14" s="14">
        <f>BD14*VLOOKUP('Données projet'!$B$11,Paramètres!$A$1:$I$89,3,0)*VLOOKUP('Données projet'!$B$11,Paramètres!$A$1:$I$89,5,0)</f>
        <v>16.128710835476145</v>
      </c>
      <c r="BF14" s="14">
        <f t="shared" si="37"/>
        <v>5.3775829807869533</v>
      </c>
      <c r="BG14" s="22">
        <f t="shared" si="7"/>
        <v>37.456795063324897</v>
      </c>
      <c r="BH14" s="62">
        <f t="shared" si="8"/>
        <v>307.56790617443602</v>
      </c>
      <c r="BI14" s="62">
        <f ca="1">AVERAGE(OFFSET($BH$3,0,0,'Données projet'!$E$11+1,1))-AVERAGE(OFFSET($H$3,0,0,'Données projet'!$E$11+1,1))</f>
        <v>406.24139966722936</v>
      </c>
      <c r="BJ14" s="62">
        <f t="shared" si="38"/>
        <v>295.95724296920577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10.736569211734251</v>
      </c>
      <c r="CA14" s="14">
        <f t="shared" si="39"/>
        <v>3.7533999637480915</v>
      </c>
      <c r="CB14" s="22">
        <f t="shared" si="10"/>
        <v>25.23669631396508</v>
      </c>
      <c r="CC14" s="62">
        <f t="shared" si="11"/>
        <v>295.34780742507621</v>
      </c>
      <c r="CD14" s="62">
        <f ca="1">AVERAGE(OFFSET($CC$3,0,0,'Données projet'!$E$12+1,1))-AVERAGE(OFFSET($H$3,0,0,'Données projet'!$E$12+1,1))</f>
        <v>565.72091871734051</v>
      </c>
      <c r="CE14" s="62">
        <f t="shared" si="40"/>
        <v>306.61893266146666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7.1333333333333337</v>
      </c>
      <c r="CT14" s="13">
        <f>IF('Données projet'!$A$140&gt;35,CT13+CS14-DB13,IF(A14&lt;'Données projet'!$A$140,$CQ$205^A14,IF(A14='Données projet'!$A$140,'Données projet'!$B$140,CT13+CS14-DB13)))</f>
        <v>30.776184035554262</v>
      </c>
      <c r="CU14" s="18">
        <f>CT14*VLOOKUP('Données projet'!$B$13,Paramètres!$A$1:$I$89,3,0)*VLOOKUP('Données projet'!$B$13,Paramètres!$A$1:$I$89,5,0)</f>
        <v>26.886074373460207</v>
      </c>
      <c r="CV14" s="14">
        <f t="shared" si="41"/>
        <v>8.4466105725279856</v>
      </c>
      <c r="CW14" s="22">
        <f t="shared" si="13"/>
        <v>61.537759614262761</v>
      </c>
      <c r="CX14" s="62">
        <f t="shared" si="14"/>
        <v>331.64887072537391</v>
      </c>
      <c r="CY14" s="62">
        <f ca="1">AVERAGE(OFFSET($CX$3,0,0,'Données projet'!$E$13+1,1))-AVERAGE(OFFSET($H$3,0,0,'Données projet'!$E$13+1,1))</f>
        <v>333.56306908115238</v>
      </c>
      <c r="CZ14" s="62">
        <f t="shared" si="42"/>
        <v>523.65456887919618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14.5</v>
      </c>
      <c r="DO14" s="13">
        <f>IF('Données projet'!$A$166&gt;35,DO13+DN14-DW13,IF(A14&lt;'Données projet'!$A$166,$DL$205^A14,IF(A14='Données projet'!$A$166,'Données projet'!$B$166,DO13+DN14-DW13)))</f>
        <v>33.299999999999997</v>
      </c>
      <c r="DP14" s="18">
        <f>DO14*VLOOKUP('Données projet'!$B$14,Paramètres!$A$1:$I$89,3,0)*VLOOKUP('Données projet'!$B$14,Paramètres!$A$1:$I$89,5,0)</f>
        <v>24.415559999999999</v>
      </c>
      <c r="DQ14" s="14">
        <f t="shared" si="43"/>
        <v>7.757010011710304</v>
      </c>
      <c r="DR14" s="22">
        <f t="shared" si="16"/>
        <v>56.033892770395447</v>
      </c>
      <c r="DS14" s="62">
        <f t="shared" si="17"/>
        <v>326.14500388150657</v>
      </c>
      <c r="DT14" s="62">
        <f ca="1">AVERAGE(OFFSET($DS$3,0,0,'Données projet'!$E$14+1,1))-AVERAGE(OFFSET($H$3,0,0,'Données projet'!$E$14+1,1))</f>
        <v>397.24714625007675</v>
      </c>
      <c r="DU14" s="62">
        <f t="shared" si="44"/>
        <v>431.75775520200608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9">
        <f t="shared" si="1"/>
        <v>256.66666666666669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509.56241660612449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0.6</v>
      </c>
      <c r="AI15" s="14">
        <f>IF('Données projet'!$A$62&gt;35,AI14+AH15-AQ14,IF(A15&lt;'Données projet'!$A$62,$AF$205^A15,IF(A15='Données projet'!$A$62,'Données projet'!$B$62,AI14+AH15-AQ14)))</f>
        <v>5.799546134795289</v>
      </c>
      <c r="AJ15" s="14">
        <f>AI15*VLOOKUP('Données projet'!$B$10,Paramètres!$A$1:$I$89,3,0)*VLOOKUP('Données projet'!$B$10,Paramètres!$A$1:$I$89,5,0)</f>
        <v>4.9760105836543582</v>
      </c>
      <c r="AK15" s="14">
        <f t="shared" si="35"/>
        <v>1.9024636935551875</v>
      </c>
      <c r="AL15" s="22">
        <f t="shared" si="4"/>
        <v>11.980009366139958</v>
      </c>
      <c r="AM15" s="62">
        <f t="shared" si="5"/>
        <v>283.31334269947325</v>
      </c>
      <c r="AN15" s="62">
        <f ca="1">AVERAGE(OFFSET($AM$3,0,0,'Données projet'!$E$10+1,1))-AVERAGE(OFFSET($H$3,0,0,'Données projet'!$E$10+1,1))</f>
        <v>625.17723604265689</v>
      </c>
      <c r="AO15" s="62">
        <f t="shared" si="36"/>
        <v>462.33909258902241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3.1623931623931623</v>
      </c>
      <c r="BD15" s="13">
        <f>IF('Données projet'!$A$88&gt;35,BD14+BC15-BL14,IF(A15&lt;'Données projet'!$A$88,$BA$205^A15,IF(A15='Données projet'!$A$88,'Données projet'!$B$88,BD14+BC15-BL14)))</f>
        <v>21.922278822444071</v>
      </c>
      <c r="BE15" s="14">
        <f>BD15*VLOOKUP('Données projet'!$B$11,Paramètres!$A$1:$I$89,3,0)*VLOOKUP('Données projet'!$B$11,Paramètres!$A$1:$I$89,5,0)</f>
        <v>20.861240527437776</v>
      </c>
      <c r="BF15" s="14">
        <f t="shared" si="37"/>
        <v>6.750267822211284</v>
      </c>
      <c r="BG15" s="22">
        <f t="shared" si="7"/>
        <v>48.090043708972111</v>
      </c>
      <c r="BH15" s="62">
        <f t="shared" si="8"/>
        <v>319.42337704230545</v>
      </c>
      <c r="BI15" s="62">
        <f ca="1">AVERAGE(OFFSET($BH$3,0,0,'Données projet'!$E$11+1,1))-AVERAGE(OFFSET($H$3,0,0,'Données projet'!$E$11+1,1))</f>
        <v>406.24139966722936</v>
      </c>
      <c r="BJ15" s="62">
        <f t="shared" si="38"/>
        <v>295.95724296920577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13.305514453470233</v>
      </c>
      <c r="CA15" s="14">
        <f t="shared" si="39"/>
        <v>4.5367667299931158</v>
      </c>
      <c r="CB15" s="22">
        <f t="shared" si="10"/>
        <v>31.075306394532003</v>
      </c>
      <c r="CC15" s="62">
        <f t="shared" si="11"/>
        <v>302.40863972786531</v>
      </c>
      <c r="CD15" s="62">
        <f ca="1">AVERAGE(OFFSET($CC$3,0,0,'Données projet'!$E$12+1,1))-AVERAGE(OFFSET($H$3,0,0,'Données projet'!$E$12+1,1))</f>
        <v>565.72091871734051</v>
      </c>
      <c r="CE15" s="62">
        <f t="shared" si="40"/>
        <v>306.61893266146666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7.1333333333333337</v>
      </c>
      <c r="CT15" s="13">
        <f>IF('Données projet'!$A$140&gt;35,CT14+CS15-DB14,IF(A15&lt;'Données projet'!$A$140,$CQ$205^A15,IF(A15='Données projet'!$A$140,'Données projet'!$B$140,CT14+CS15-DB14)))</f>
        <v>42.024932267304926</v>
      </c>
      <c r="CU15" s="18">
        <f>CT15*VLOOKUP('Données projet'!$B$13,Paramètres!$A$1:$I$89,3,0)*VLOOKUP('Données projet'!$B$13,Paramètres!$A$1:$I$89,5,0)</f>
        <v>36.71298082871759</v>
      </c>
      <c r="CV15" s="14">
        <f t="shared" si="41"/>
        <v>11.123122121818724</v>
      </c>
      <c r="CW15" s="22">
        <f t="shared" si="13"/>
        <v>83.314545972184078</v>
      </c>
      <c r="CX15" s="62">
        <f t="shared" si="14"/>
        <v>354.64787930551739</v>
      </c>
      <c r="CY15" s="62">
        <f ca="1">AVERAGE(OFFSET($CX$3,0,0,'Données projet'!$E$13+1,1))-AVERAGE(OFFSET($H$3,0,0,'Données projet'!$E$13+1,1))</f>
        <v>333.56306908115238</v>
      </c>
      <c r="CZ15" s="62">
        <f t="shared" si="42"/>
        <v>523.65456887919618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14.5</v>
      </c>
      <c r="DO15" s="13">
        <f>IF('Données projet'!$A$166&gt;35,DO14+DN15-DW14,IF(A15&lt;'Données projet'!$A$166,$DL$205^A15,IF(A15='Données projet'!$A$166,'Données projet'!$B$166,DO14+DN15-DW14)))</f>
        <v>47.8</v>
      </c>
      <c r="DP15" s="18">
        <f>DO15*VLOOKUP('Données projet'!$B$14,Paramètres!$A$1:$I$89,3,0)*VLOOKUP('Données projet'!$B$14,Paramètres!$A$1:$I$89,5,0)</f>
        <v>35.046959999999999</v>
      </c>
      <c r="DQ15" s="14">
        <f t="shared" si="43"/>
        <v>10.675915229866463</v>
      </c>
      <c r="DR15" s="22">
        <f t="shared" si="16"/>
        <v>79.634007692017406</v>
      </c>
      <c r="DS15" s="62">
        <f t="shared" si="17"/>
        <v>350.96734102535072</v>
      </c>
      <c r="DT15" s="62">
        <f ca="1">AVERAGE(OFFSET($DS$3,0,0,'Données projet'!$E$14+1,1))-AVERAGE(OFFSET($H$3,0,0,'Données projet'!$E$14+1,1))</f>
        <v>397.24714625007675</v>
      </c>
      <c r="DU15" s="62">
        <f t="shared" si="44"/>
        <v>431.75775520200608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9">
        <f t="shared" si="1"/>
        <v>256.66666666666669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509.56241660612449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0.6</v>
      </c>
      <c r="AI16" s="14">
        <f>IF('Données projet'!$A$62&gt;35,AI15+AH16-AQ15,IF(A16&lt;'Données projet'!$A$62,$AF$205^A16,IF(A16='Données projet'!$A$62,'Données projet'!$B$62,AI15+AH16-AQ15)))</f>
        <v>6.7144458364886441</v>
      </c>
      <c r="AJ16" s="14">
        <f>AI16*VLOOKUP('Données projet'!$B$10,Paramètres!$A$1:$I$89,3,0)*VLOOKUP('Données projet'!$B$10,Paramètres!$A$1:$I$89,5,0)</f>
        <v>5.7609945277072576</v>
      </c>
      <c r="AK16" s="14">
        <f t="shared" si="35"/>
        <v>2.1653475999043215</v>
      </c>
      <c r="AL16" s="22">
        <f t="shared" si="4"/>
        <v>13.805045872256832</v>
      </c>
      <c r="AM16" s="62">
        <f t="shared" si="5"/>
        <v>286.36060142781236</v>
      </c>
      <c r="AN16" s="62">
        <f ca="1">AVERAGE(OFFSET($AM$3,0,0,'Données projet'!$E$10+1,1))-AVERAGE(OFFSET($H$3,0,0,'Données projet'!$E$10+1,1))</f>
        <v>625.17723604265689</v>
      </c>
      <c r="AO16" s="62">
        <f t="shared" si="36"/>
        <v>462.33909258902241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3.1623931623931623</v>
      </c>
      <c r="BD16" s="13">
        <f>IF('Données projet'!$A$88&gt;35,BD15+BC16-BL15,IF(A16&lt;'Données projet'!$A$88,$BA$205^A16,IF(A16='Données projet'!$A$88,'Données projet'!$B$88,BD15+BC16-BL15)))</f>
        <v>28.35477280791984</v>
      </c>
      <c r="BE16" s="14">
        <f>BD16*VLOOKUP('Données projet'!$B$11,Paramètres!$A$1:$I$89,3,0)*VLOOKUP('Données projet'!$B$11,Paramètres!$A$1:$I$89,5,0)</f>
        <v>26.982401804016519</v>
      </c>
      <c r="BF16" s="14">
        <f t="shared" si="37"/>
        <v>8.4733449645277137</v>
      </c>
      <c r="BG16" s="22">
        <f t="shared" si="7"/>
        <v>61.752092288547864</v>
      </c>
      <c r="BH16" s="62">
        <f t="shared" si="8"/>
        <v>334.30764784410343</v>
      </c>
      <c r="BI16" s="62">
        <f ca="1">AVERAGE(OFFSET($BH$3,0,0,'Données projet'!$E$11+1,1))-AVERAGE(OFFSET($H$3,0,0,'Données projet'!$E$11+1,1))</f>
        <v>406.24139966722936</v>
      </c>
      <c r="BJ16" s="62">
        <f t="shared" si="38"/>
        <v>295.95724296920577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16.489132736928447</v>
      </c>
      <c r="CA16" s="14">
        <f t="shared" si="39"/>
        <v>5.4836288594779292</v>
      </c>
      <c r="CB16" s="22">
        <f t="shared" si="10"/>
        <v>38.269226447074438</v>
      </c>
      <c r="CC16" s="62">
        <f t="shared" si="11"/>
        <v>310.82478200263</v>
      </c>
      <c r="CD16" s="62">
        <f ca="1">AVERAGE(OFFSET($CC$3,0,0,'Données projet'!$E$12+1,1))-AVERAGE(OFFSET($H$3,0,0,'Données projet'!$E$12+1,1))</f>
        <v>565.72091871734051</v>
      </c>
      <c r="CE16" s="62">
        <f t="shared" si="40"/>
        <v>306.61893266146666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7.1333333333333337</v>
      </c>
      <c r="CT16" s="13">
        <f>IF('Données projet'!$A$140&gt;35,CT15+CS16-DB15,IF(A16&lt;'Données projet'!$A$140,$CQ$205^A16,IF(A16='Données projet'!$A$140,'Données projet'!$B$140,CT15+CS16-DB15)))</f>
        <v>57.385117337200782</v>
      </c>
      <c r="CU16" s="18">
        <f>CT16*VLOOKUP('Données projet'!$B$13,Paramètres!$A$1:$I$89,3,0)*VLOOKUP('Données projet'!$B$13,Paramètres!$A$1:$I$89,5,0)</f>
        <v>50.131638505778611</v>
      </c>
      <c r="CV16" s="14">
        <f t="shared" si="41"/>
        <v>14.647750677567194</v>
      </c>
      <c r="CW16" s="22">
        <f t="shared" si="13"/>
        <v>112.82410282766058</v>
      </c>
      <c r="CX16" s="62">
        <f t="shared" si="14"/>
        <v>385.37965838321611</v>
      </c>
      <c r="CY16" s="62">
        <f ca="1">AVERAGE(OFFSET($CX$3,0,0,'Données projet'!$E$13+1,1))-AVERAGE(OFFSET($H$3,0,0,'Données projet'!$E$13+1,1))</f>
        <v>333.56306908115238</v>
      </c>
      <c r="CZ16" s="62">
        <f t="shared" si="42"/>
        <v>523.65456887919618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14.5</v>
      </c>
      <c r="DO16" s="13">
        <f>IF('Données projet'!$A$166&gt;35,DO15+DN16-DW15,IF(A16&lt;'Données projet'!$A$166,$DL$205^A16,IF(A16='Données projet'!$A$166,'Données projet'!$B$166,DO15+DN16-DW15)))</f>
        <v>62.3</v>
      </c>
      <c r="DP16" s="18">
        <f>DO16*VLOOKUP('Données projet'!$B$14,Paramètres!$A$1:$I$89,3,0)*VLOOKUP('Données projet'!$B$14,Paramètres!$A$1:$I$89,5,0)</f>
        <v>45.678359999999991</v>
      </c>
      <c r="DQ16" s="14">
        <f t="shared" si="43"/>
        <v>13.491873645720647</v>
      </c>
      <c r="DR16" s="22">
        <f t="shared" si="16"/>
        <v>103.0548235996301</v>
      </c>
      <c r="DS16" s="62">
        <f t="shared" si="17"/>
        <v>375.61037915518563</v>
      </c>
      <c r="DT16" s="62">
        <f ca="1">AVERAGE(OFFSET($DS$3,0,0,'Données projet'!$E$14+1,1))-AVERAGE(OFFSET($H$3,0,0,'Données projet'!$E$14+1,1))</f>
        <v>397.24714625007675</v>
      </c>
      <c r="DU16" s="62">
        <f t="shared" si="44"/>
        <v>431.75775520200608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9">
        <f t="shared" si="1"/>
        <v>256.66666666666669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509.56241660612449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0.6</v>
      </c>
      <c r="AI17" s="14">
        <f>IF('Données projet'!$A$62&gt;35,AI16+AH17-AQ16,IF(A17&lt;'Données projet'!$A$62,$AF$205^A17,IF(A17='Données projet'!$A$62,'Données projet'!$B$62,AI16+AH17-AQ16)))</f>
        <v>7.7736743261084582</v>
      </c>
      <c r="AJ17" s="14">
        <f>AI17*VLOOKUP('Données projet'!$B$10,Paramètres!$A$1:$I$89,3,0)*VLOOKUP('Données projet'!$B$10,Paramètres!$A$1:$I$89,5,0)</f>
        <v>6.6698125718010575</v>
      </c>
      <c r="AK17" s="14">
        <f t="shared" si="35"/>
        <v>2.4645570079970582</v>
      </c>
      <c r="AL17" s="22">
        <f t="shared" si="4"/>
        <v>15.909027018148384</v>
      </c>
      <c r="AM17" s="62">
        <f t="shared" si="5"/>
        <v>289.68680479592615</v>
      </c>
      <c r="AN17" s="62">
        <f ca="1">AVERAGE(OFFSET($AM$3,0,0,'Données projet'!$E$10+1,1))-AVERAGE(OFFSET($H$3,0,0,'Données projet'!$E$10+1,1))</f>
        <v>625.17723604265689</v>
      </c>
      <c r="AO17" s="62">
        <f t="shared" si="36"/>
        <v>462.33909258902241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3.1623931623931623</v>
      </c>
      <c r="BD17" s="13">
        <f>IF('Données projet'!$A$88&gt;35,BD16+BC17-BL16,IF(A17&lt;'Données projet'!$A$88,$BA$205^A17,IF(A17='Données projet'!$A$88,'Données projet'!$B$88,BD16+BC17-BL16)))</f>
        <v>36.674706471008875</v>
      </c>
      <c r="BE17" s="14">
        <f>BD17*VLOOKUP('Données projet'!$B$11,Paramètres!$A$1:$I$89,3,0)*VLOOKUP('Données projet'!$B$11,Paramètres!$A$1:$I$89,5,0)</f>
        <v>34.899650677812041</v>
      </c>
      <c r="BF17" s="14">
        <f t="shared" si="37"/>
        <v>10.636255742571029</v>
      </c>
      <c r="BG17" s="22">
        <f t="shared" si="7"/>
        <v>79.308370348833833</v>
      </c>
      <c r="BH17" s="62">
        <f t="shared" si="8"/>
        <v>353.08614812661159</v>
      </c>
      <c r="BI17" s="62">
        <f ca="1">AVERAGE(OFFSET($BH$3,0,0,'Données projet'!$E$11+1,1))-AVERAGE(OFFSET($H$3,0,0,'Données projet'!$E$11+1,1))</f>
        <v>406.24139966722936</v>
      </c>
      <c r="BJ17" s="62">
        <f t="shared" si="38"/>
        <v>295.95724296920577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20.434497242993334</v>
      </c>
      <c r="CA17" s="14">
        <f t="shared" si="39"/>
        <v>6.6281092368495731</v>
      </c>
      <c r="CB17" s="22">
        <f t="shared" si="10"/>
        <v>47.134039619059727</v>
      </c>
      <c r="CC17" s="62">
        <f t="shared" si="11"/>
        <v>320.91181739683748</v>
      </c>
      <c r="CD17" s="62">
        <f ca="1">AVERAGE(OFFSET($CC$3,0,0,'Données projet'!$E$12+1,1))-AVERAGE(OFFSET($H$3,0,0,'Données projet'!$E$12+1,1))</f>
        <v>565.72091871734051</v>
      </c>
      <c r="CE17" s="62">
        <f t="shared" si="40"/>
        <v>306.61893266146666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7.1333333333333337</v>
      </c>
      <c r="CT17" s="13">
        <f>IF('Données projet'!$A$140&gt;35,CT16+CS17-DB16,IF(A17&lt;'Données projet'!$A$140,$CQ$205^A17,IF(A17='Données projet'!$A$140,'Données projet'!$B$140,CT16+CS17-DB16)))</f>
        <v>78.35947648549265</v>
      </c>
      <c r="CU17" s="18">
        <f>CT17*VLOOKUP('Données projet'!$B$13,Paramètres!$A$1:$I$89,3,0)*VLOOKUP('Données projet'!$B$13,Paramètres!$A$1:$I$89,5,0)</f>
        <v>68.454838657726384</v>
      </c>
      <c r="CV17" s="14">
        <f t="shared" si="41"/>
        <v>19.289242495261615</v>
      </c>
      <c r="CW17" s="22">
        <f t="shared" si="13"/>
        <v>152.8209413414541</v>
      </c>
      <c r="CX17" s="62">
        <f t="shared" si="14"/>
        <v>426.59871911923187</v>
      </c>
      <c r="CY17" s="62">
        <f ca="1">AVERAGE(OFFSET($CX$3,0,0,'Données projet'!$E$13+1,1))-AVERAGE(OFFSET($H$3,0,0,'Données projet'!$E$13+1,1))</f>
        <v>333.56306908115238</v>
      </c>
      <c r="CZ17" s="62">
        <f t="shared" si="42"/>
        <v>523.65456887919618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14.5</v>
      </c>
      <c r="DO17" s="13">
        <f>IF('Données projet'!$A$166&gt;35,DO16+DN17-DW16,IF(A17&lt;'Données projet'!$A$166,$DL$205^A17,IF(A17='Données projet'!$A$166,'Données projet'!$B$166,DO16+DN17-DW16)))</f>
        <v>76.8</v>
      </c>
      <c r="DP17" s="18">
        <f>DO17*VLOOKUP('Données projet'!$B$14,Paramètres!$A$1:$I$89,3,0)*VLOOKUP('Données projet'!$B$14,Paramètres!$A$1:$I$89,5,0)</f>
        <v>56.309759999999997</v>
      </c>
      <c r="DQ17" s="14">
        <f t="shared" si="43"/>
        <v>16.231841799069148</v>
      </c>
      <c r="DR17" s="22">
        <f t="shared" si="16"/>
        <v>126.3432898000454</v>
      </c>
      <c r="DS17" s="62">
        <f t="shared" si="17"/>
        <v>400.12106757782317</v>
      </c>
      <c r="DT17" s="62">
        <f ca="1">AVERAGE(OFFSET($DS$3,0,0,'Données projet'!$E$14+1,1))-AVERAGE(OFFSET($H$3,0,0,'Données projet'!$E$14+1,1))</f>
        <v>397.24714625007675</v>
      </c>
      <c r="DU17" s="62">
        <f t="shared" si="44"/>
        <v>431.75775520200608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9">
        <f t="shared" si="1"/>
        <v>256.66666666666669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509.56241660612449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9</v>
      </c>
      <c r="AG18" s="13">
        <f>VLOOKUP(A18,'Données projet'!$A$61:$I$81,9,0)</f>
        <v>0.6</v>
      </c>
      <c r="AH18" s="13">
        <f t="array" ref="AH18">INDEX(AG:AG,MIN(IF(ISNUMBER(AG18:AG214),ROW(AG18:AG214),"")))</f>
        <v>0.6</v>
      </c>
      <c r="AI18" s="14">
        <f>IF('Données projet'!$A$62&gt;35,AI17+AH18-AQ17,IF(A18&lt;'Données projet'!$A$62,$AF$205^A18,IF(A18='Données projet'!$A$62,'Données projet'!$B$62,AI17+AH18-AQ17)))</f>
        <v>9</v>
      </c>
      <c r="AJ18" s="14">
        <f>AI18*VLOOKUP('Données projet'!$B$10,Paramètres!$A$1:$I$89,3,0)*VLOOKUP('Données projet'!$B$10,Paramètres!$A$1:$I$89,5,0)</f>
        <v>7.7220000000000004</v>
      </c>
      <c r="AK18" s="14">
        <f t="shared" si="35"/>
        <v>2.8051114037929983</v>
      </c>
      <c r="AL18" s="22">
        <f t="shared" si="4"/>
        <v>18.334719028272804</v>
      </c>
      <c r="AM18" s="62">
        <f t="shared" si="5"/>
        <v>293.33471902827279</v>
      </c>
      <c r="AN18" s="62">
        <f ca="1">AVERAGE(OFFSET($AM$3,0,0,'Données projet'!$E$10+1,1))-AVERAGE(OFFSET($H$3,0,0,'Données projet'!$E$10+1,1))</f>
        <v>625.17723604265689</v>
      </c>
      <c r="AO18" s="62">
        <f t="shared" si="36"/>
        <v>462.33909258902241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47.435897435897431</v>
      </c>
      <c r="BB18" s="13">
        <f>VLOOKUP(A18,'Données projet'!$A$87:$I$107,9,0)</f>
        <v>3.1623931623931623</v>
      </c>
      <c r="BC18" s="13">
        <f t="array" ref="BC18">INDEX(BB:BB,MIN(IF(ISNUMBER(BB18:BB214),ROW(BB18:BB214),"")))</f>
        <v>3.1623931623931623</v>
      </c>
      <c r="BD18" s="13">
        <f>IF('Données projet'!$A$88&gt;35,BD17+BC18-BL17,IF(A18&lt;'Données projet'!$A$88,$BA$205^A18,IF(A18='Données projet'!$A$88,'Données projet'!$B$88,BD17+BC18-BL17)))</f>
        <v>47.435897435897431</v>
      </c>
      <c r="BE18" s="14">
        <f>BD18*VLOOKUP('Données projet'!$B$11,Paramètres!$A$1:$I$89,3,0)*VLOOKUP('Données projet'!$B$11,Paramètres!$A$1:$I$89,5,0)</f>
        <v>45.139999999999993</v>
      </c>
      <c r="BF18" s="14">
        <f t="shared" si="37"/>
        <v>13.351272336364824</v>
      </c>
      <c r="BG18" s="22">
        <f t="shared" si="7"/>
        <v>101.87229931916873</v>
      </c>
      <c r="BH18" s="62">
        <f t="shared" si="8"/>
        <v>376.87229931916875</v>
      </c>
      <c r="BI18" s="62">
        <f ca="1">AVERAGE(OFFSET($BH$3,0,0,'Données projet'!$E$11+1,1))-AVERAGE(OFFSET($H$3,0,0,'Données projet'!$E$11+1,1))</f>
        <v>406.24139966722936</v>
      </c>
      <c r="BJ18" s="62">
        <f t="shared" si="38"/>
        <v>295.95724296920577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25.323871439201337</v>
      </c>
      <c r="CA18" s="14">
        <f t="shared" si="39"/>
        <v>8.0114524854610902</v>
      </c>
      <c r="CB18" s="22">
        <f t="shared" si="10"/>
        <v>58.059022502120392</v>
      </c>
      <c r="CC18" s="62">
        <f t="shared" si="11"/>
        <v>333.0590225021204</v>
      </c>
      <c r="CD18" s="62">
        <f ca="1">AVERAGE(OFFSET($CC$3,0,0,'Données projet'!$E$12+1,1))-AVERAGE(OFFSET($H$3,0,0,'Données projet'!$E$12+1,1))</f>
        <v>565.72091871734051</v>
      </c>
      <c r="CE18" s="62">
        <f t="shared" si="40"/>
        <v>306.61893266146666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107</v>
      </c>
      <c r="CR18" s="13">
        <f>VLOOKUP(A18,'Données projet'!$A$139:$I$159,9,0)</f>
        <v>7.1333333333333337</v>
      </c>
      <c r="CS18" s="13">
        <f t="array" ref="CS18">INDEX(CR:CR,MIN(IF(ISNUMBER(CR18:CR214),ROW(CR18:CR214),"")))</f>
        <v>7.1333333333333337</v>
      </c>
      <c r="CT18" s="13">
        <f>IF('Données projet'!$A$140&gt;35,CT17+CS18-DB17,IF(A18&lt;'Données projet'!$A$140,$CQ$205^A18,IF(A18='Données projet'!$A$140,'Données projet'!$B$140,CT17+CS18-DB17)))</f>
        <v>107</v>
      </c>
      <c r="CU18" s="18">
        <f>CT18*VLOOKUP('Données projet'!$B$13,Paramètres!$A$1:$I$89,3,0)*VLOOKUP('Données projet'!$B$13,Paramètres!$A$1:$I$89,5,0)</f>
        <v>93.475200000000015</v>
      </c>
      <c r="CV18" s="14">
        <f t="shared" si="41"/>
        <v>25.401502539965662</v>
      </c>
      <c r="CW18" s="22">
        <f t="shared" si="13"/>
        <v>207.04359025710687</v>
      </c>
      <c r="CX18" s="62">
        <f t="shared" si="14"/>
        <v>482.04359025710687</v>
      </c>
      <c r="CY18" s="62">
        <f ca="1">AVERAGE(OFFSET($CX$3,0,0,'Données projet'!$E$13+1,1))-AVERAGE(OFFSET($H$3,0,0,'Données projet'!$E$13+1,1))</f>
        <v>333.56306908115238</v>
      </c>
      <c r="CZ18" s="62">
        <f t="shared" si="42"/>
        <v>523.65456887919618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91.3</v>
      </c>
      <c r="DM18" s="13">
        <f>VLOOKUP(A18,'Données projet'!$A$165:$I$185,9,0)</f>
        <v>14.5</v>
      </c>
      <c r="DN18" s="13">
        <f t="array" ref="DN18">INDEX(DM:DM,MIN(IF(ISNUMBER(DM18:DM214),ROW(DM18:DM214),"")))</f>
        <v>14.5</v>
      </c>
      <c r="DO18" s="13">
        <f>IF('Données projet'!$A$166&gt;35,DO17+DN18-DW17,IF(A18&lt;'Données projet'!$A$166,$DL$205^A18,IF(A18='Données projet'!$A$166,'Données projet'!$B$166,DO17+DN18-DW17)))</f>
        <v>91.3</v>
      </c>
      <c r="DP18" s="18">
        <f>DO18*VLOOKUP('Données projet'!$B$14,Paramètres!$A$1:$I$89,3,0)*VLOOKUP('Données projet'!$B$14,Paramètres!$A$1:$I$89,5,0)</f>
        <v>66.941159999999996</v>
      </c>
      <c r="DQ18" s="14">
        <f t="shared" si="43"/>
        <v>18.911875765570539</v>
      </c>
      <c r="DR18" s="22">
        <f t="shared" si="16"/>
        <v>149.52737062503533</v>
      </c>
      <c r="DS18" s="62">
        <f t="shared" si="17"/>
        <v>424.52737062503536</v>
      </c>
      <c r="DT18" s="62">
        <f ca="1">AVERAGE(OFFSET($DS$3,0,0,'Données projet'!$E$14+1,1))-AVERAGE(OFFSET($H$3,0,0,'Données projet'!$E$14+1,1))</f>
        <v>397.24714625007675</v>
      </c>
      <c r="DU18" s="62">
        <f t="shared" si="44"/>
        <v>431.75775520200608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9">
        <f t="shared" si="1"/>
        <v>256.66666666666669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509.56241660612449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14.666666666666666</v>
      </c>
      <c r="AI19" s="14">
        <f>IF('Données projet'!$A$62&gt;35,AI18+AH19-AQ18,IF(A19&lt;'Données projet'!$A$62,$AF$205^A19,IF(A19='Données projet'!$A$62,'Données projet'!$B$62,AI18+AH19-AQ18)))</f>
        <v>23.666666666666664</v>
      </c>
      <c r="AJ19" s="14">
        <f>AI19*VLOOKUP('Données projet'!$B$10,Paramètres!$A$1:$I$89,3,0)*VLOOKUP('Données projet'!$B$10,Paramètres!$A$1:$I$89,5,0)</f>
        <v>20.306000000000001</v>
      </c>
      <c r="AK19" s="14">
        <f t="shared" si="35"/>
        <v>6.5912679745146567</v>
      </c>
      <c r="AL19" s="22">
        <f t="shared" si="4"/>
        <v>46.846075055613028</v>
      </c>
      <c r="AM19" s="62">
        <f t="shared" si="5"/>
        <v>323.06829727783526</v>
      </c>
      <c r="AN19" s="62">
        <f ca="1">AVERAGE(OFFSET($AM$3,0,0,'Données projet'!$E$10+1,1))-AVERAGE(OFFSET($H$3,0,0,'Données projet'!$E$10+1,1))</f>
        <v>625.17723604265689</v>
      </c>
      <c r="AO19" s="62">
        <f t="shared" si="36"/>
        <v>462.33909258902241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7.4358974358974361</v>
      </c>
      <c r="BD19" s="13">
        <f>IF('Données projet'!$A$88&gt;35,BD18+BC19-BL18,IF(A19&lt;'Données projet'!$A$88,$BA$205^A19,IF(A19='Données projet'!$A$88,'Données projet'!$B$88,BD18+BC19-BL18)))</f>
        <v>54.871794871794869</v>
      </c>
      <c r="BE19" s="14">
        <f>BD19*VLOOKUP('Données projet'!$B$11,Paramètres!$A$1:$I$89,3,0)*VLOOKUP('Données projet'!$B$11,Paramètres!$A$1:$I$89,5,0)</f>
        <v>52.216000000000001</v>
      </c>
      <c r="BF19" s="14">
        <f t="shared" si="37"/>
        <v>15.184598935068502</v>
      </c>
      <c r="BG19" s="22">
        <f t="shared" si="7"/>
        <v>117.38937647857762</v>
      </c>
      <c r="BH19" s="62">
        <f t="shared" si="8"/>
        <v>393.61159870079985</v>
      </c>
      <c r="BI19" s="62">
        <f ca="1">AVERAGE(OFFSET($BH$3,0,0,'Données projet'!$E$11+1,1))-AVERAGE(OFFSET($H$3,0,0,'Données projet'!$E$11+1,1))</f>
        <v>406.24139966722936</v>
      </c>
      <c r="BJ19" s="62">
        <f t="shared" si="38"/>
        <v>295.95724296920577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31.383129080363769</v>
      </c>
      <c r="CA19" s="14">
        <f t="shared" si="39"/>
        <v>9.6835113353243223</v>
      </c>
      <c r="CB19" s="22">
        <f t="shared" si="10"/>
        <v>71.524398723990075</v>
      </c>
      <c r="CC19" s="62">
        <f t="shared" si="11"/>
        <v>347.74662094621232</v>
      </c>
      <c r="CD19" s="62">
        <f ca="1">AVERAGE(OFFSET($CC$3,0,0,'Données projet'!$E$12+1,1))-AVERAGE(OFFSET($H$3,0,0,'Données projet'!$E$12+1,1))</f>
        <v>565.72091871734051</v>
      </c>
      <c r="CE19" s="62">
        <f t="shared" si="40"/>
        <v>306.61893266146666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16.2</v>
      </c>
      <c r="CT19" s="13">
        <f>IF('Données projet'!$A$140&gt;35,CT18+CS19-DB18,IF(A19&lt;'Données projet'!$A$140,$CQ$205^A19,IF(A19='Données projet'!$A$140,'Données projet'!$B$140,CT18+CS19-DB18)))</f>
        <v>123.2</v>
      </c>
      <c r="CU19" s="18">
        <f>CT19*VLOOKUP('Données projet'!$B$13,Paramètres!$A$1:$I$89,3,0)*VLOOKUP('Données projet'!$B$13,Paramètres!$A$1:$I$89,5,0)</f>
        <v>107.62752</v>
      </c>
      <c r="CV19" s="14">
        <f t="shared" si="41"/>
        <v>28.771302425776422</v>
      </c>
      <c r="CW19" s="22">
        <f t="shared" si="13"/>
        <v>237.56128239156058</v>
      </c>
      <c r="CX19" s="62">
        <f t="shared" si="14"/>
        <v>513.78350461378284</v>
      </c>
      <c r="CY19" s="62">
        <f ca="1">AVERAGE(OFFSET($CX$3,0,0,'Données projet'!$E$13+1,1))-AVERAGE(OFFSET($H$3,0,0,'Données projet'!$E$13+1,1))</f>
        <v>333.56306908115238</v>
      </c>
      <c r="CZ19" s="62">
        <f t="shared" si="42"/>
        <v>523.65456887919618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16.119999999999997</v>
      </c>
      <c r="DO19" s="13">
        <f>IF('Données projet'!$A$166&gt;35,DO18+DN19-DW18,IF(A19&lt;'Données projet'!$A$166,$DL$205^A19,IF(A19='Données projet'!$A$166,'Données projet'!$B$166,DO18+DN19-DW18)))</f>
        <v>107.41999999999999</v>
      </c>
      <c r="DP19" s="18">
        <f>DO19*VLOOKUP('Données projet'!$B$14,Paramètres!$A$1:$I$89,3,0)*VLOOKUP('Données projet'!$B$14,Paramètres!$A$1:$I$89,5,0)</f>
        <v>78.760343999999989</v>
      </c>
      <c r="DQ19" s="14">
        <f t="shared" si="43"/>
        <v>21.833806849967647</v>
      </c>
      <c r="DR19" s="22">
        <f t="shared" si="16"/>
        <v>175.20147939702693</v>
      </c>
      <c r="DS19" s="62">
        <f t="shared" si="17"/>
        <v>451.42370161924919</v>
      </c>
      <c r="DT19" s="62">
        <f ca="1">AVERAGE(OFFSET($DS$3,0,0,'Données projet'!$E$14+1,1))-AVERAGE(OFFSET($H$3,0,0,'Données projet'!$E$14+1,1))</f>
        <v>397.24714625007675</v>
      </c>
      <c r="DU19" s="62">
        <f t="shared" si="44"/>
        <v>431.75775520200608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9">
        <f t="shared" si="1"/>
        <v>256.66666666666669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509.56241660612449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14.666666666666666</v>
      </c>
      <c r="AI20" s="14">
        <f>IF('Données projet'!$A$62&gt;35,AI19+AH20-AQ19,IF(A20&lt;'Données projet'!$A$62,$AF$205^A20,IF(A20='Données projet'!$A$62,'Données projet'!$B$62,AI19+AH20-AQ19)))</f>
        <v>38.333333333333329</v>
      </c>
      <c r="AJ20" s="14">
        <f>AI20*VLOOKUP('Données projet'!$B$10,Paramètres!$A$1:$I$89,3,0)*VLOOKUP('Données projet'!$B$10,Paramètres!$A$1:$I$89,5,0)</f>
        <v>32.89</v>
      </c>
      <c r="AK20" s="14">
        <f t="shared" si="35"/>
        <v>10.093219160740325</v>
      </c>
      <c r="AL20" s="22">
        <f t="shared" si="4"/>
        <v>74.862440038289407</v>
      </c>
      <c r="AM20" s="62">
        <f t="shared" si="5"/>
        <v>352.30688448273384</v>
      </c>
      <c r="AN20" s="62">
        <f ca="1">AVERAGE(OFFSET($AM$3,0,0,'Données projet'!$E$10+1,1))-AVERAGE(OFFSET($H$3,0,0,'Données projet'!$E$10+1,1))</f>
        <v>625.17723604265689</v>
      </c>
      <c r="AO20" s="62">
        <f t="shared" si="36"/>
        <v>462.33909258902241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7.4358974358974361</v>
      </c>
      <c r="BD20" s="13">
        <f>IF('Données projet'!$A$88&gt;35,BD19+BC20-BL19,IF(A20&lt;'Données projet'!$A$88,$BA$205^A20,IF(A20='Données projet'!$A$88,'Données projet'!$B$88,BD19+BC20-BL19)))</f>
        <v>62.307692307692307</v>
      </c>
      <c r="BE20" s="14">
        <f>BD20*VLOOKUP('Données projet'!$B$11,Paramètres!$A$1:$I$89,3,0)*VLOOKUP('Données projet'!$B$11,Paramètres!$A$1:$I$89,5,0)</f>
        <v>59.292000000000002</v>
      </c>
      <c r="BF20" s="14">
        <f t="shared" si="37"/>
        <v>16.98914092257921</v>
      </c>
      <c r="BG20" s="22">
        <f t="shared" si="7"/>
        <v>132.85632044015878</v>
      </c>
      <c r="BH20" s="62">
        <f t="shared" si="8"/>
        <v>410.30076488460327</v>
      </c>
      <c r="BI20" s="62">
        <f ca="1">AVERAGE(OFFSET($BH$3,0,0,'Données projet'!$E$11+1,1))-AVERAGE(OFFSET($H$3,0,0,'Données projet'!$E$11+1,1))</f>
        <v>406.24139966722936</v>
      </c>
      <c r="BJ20" s="62">
        <f t="shared" si="38"/>
        <v>295.95724296920577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38.892188867700071</v>
      </c>
      <c r="CA20" s="14">
        <f t="shared" si="39"/>
        <v>11.704543208803392</v>
      </c>
      <c r="CB20" s="22">
        <f t="shared" si="10"/>
        <v>88.122641699910204</v>
      </c>
      <c r="CC20" s="62">
        <f t="shared" si="11"/>
        <v>365.56708614435468</v>
      </c>
      <c r="CD20" s="62">
        <f ca="1">AVERAGE(OFFSET($CC$3,0,0,'Données projet'!$E$12+1,1))-AVERAGE(OFFSET($H$3,0,0,'Données projet'!$E$12+1,1))</f>
        <v>565.72091871734051</v>
      </c>
      <c r="CE20" s="62">
        <f t="shared" si="40"/>
        <v>306.61893266146666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16.2</v>
      </c>
      <c r="CT20" s="13">
        <f>IF('Données projet'!$A$140&gt;35,CT19+CS20-DB19,IF(A20&lt;'Données projet'!$A$140,$CQ$205^A20,IF(A20='Données projet'!$A$140,'Données projet'!$B$140,CT19+CS20-DB19)))</f>
        <v>139.4</v>
      </c>
      <c r="CU20" s="18">
        <f>CT20*VLOOKUP('Données projet'!$B$13,Paramètres!$A$1:$I$89,3,0)*VLOOKUP('Données projet'!$B$13,Paramètres!$A$1:$I$89,5,0)</f>
        <v>121.77984000000002</v>
      </c>
      <c r="CV20" s="14">
        <f t="shared" si="41"/>
        <v>32.089761368755184</v>
      </c>
      <c r="CW20" s="22">
        <f t="shared" si="13"/>
        <v>267.98955571724866</v>
      </c>
      <c r="CX20" s="62">
        <f t="shared" si="14"/>
        <v>545.43400016169312</v>
      </c>
      <c r="CY20" s="62">
        <f ca="1">AVERAGE(OFFSET($CX$3,0,0,'Données projet'!$E$13+1,1))-AVERAGE(OFFSET($H$3,0,0,'Données projet'!$E$13+1,1))</f>
        <v>333.56306908115238</v>
      </c>
      <c r="CZ20" s="62">
        <f t="shared" si="42"/>
        <v>523.65456887919618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16.119999999999997</v>
      </c>
      <c r="DO20" s="13">
        <f>IF('Données projet'!$A$166&gt;35,DO19+DN20-DW19,IF(A20&lt;'Données projet'!$A$166,$DL$205^A20,IF(A20='Données projet'!$A$166,'Données projet'!$B$166,DO19+DN20-DW19)))</f>
        <v>123.53999999999999</v>
      </c>
      <c r="DP20" s="18">
        <f>DO20*VLOOKUP('Données projet'!$B$14,Paramètres!$A$1:$I$89,3,0)*VLOOKUP('Données projet'!$B$14,Paramètres!$A$1:$I$89,5,0)</f>
        <v>90.579527999999996</v>
      </c>
      <c r="DQ20" s="14">
        <f t="shared" si="43"/>
        <v>24.704940937862091</v>
      </c>
      <c r="DR20" s="22">
        <f t="shared" si="16"/>
        <v>200.78711673344313</v>
      </c>
      <c r="DS20" s="62">
        <f t="shared" si="17"/>
        <v>478.23156117788756</v>
      </c>
      <c r="DT20" s="62">
        <f ca="1">AVERAGE(OFFSET($DS$3,0,0,'Données projet'!$E$14+1,1))-AVERAGE(OFFSET($H$3,0,0,'Données projet'!$E$14+1,1))</f>
        <v>397.24714625007675</v>
      </c>
      <c r="DU20" s="62">
        <f t="shared" si="44"/>
        <v>431.75775520200608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9">
        <f t="shared" si="1"/>
        <v>256.66666666666669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509.56241660612449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53</v>
      </c>
      <c r="AG21" s="13">
        <f>VLOOKUP(A21,'Données projet'!$A$61:$I$81,9,0)</f>
        <v>14.666666666666666</v>
      </c>
      <c r="AH21" s="13">
        <f t="array" ref="AH21">INDEX(AG:AG,MIN(IF(ISNUMBER(AG21:AG217),ROW(AG21:AG217),"")))</f>
        <v>14.666666666666666</v>
      </c>
      <c r="AI21" s="14">
        <f>IF('Données projet'!$A$62&gt;35,AI20+AH21-AQ20,IF(A21&lt;'Données projet'!$A$62,$AF$205^A21,IF(A21='Données projet'!$A$62,'Données projet'!$B$62,AI20+AH21-AQ20)))</f>
        <v>52.999999999999993</v>
      </c>
      <c r="AJ21" s="14">
        <f>AI21*VLOOKUP('Données projet'!$B$10,Paramètres!$A$1:$I$89,3,0)*VLOOKUP('Données projet'!$B$10,Paramètres!$A$1:$I$89,5,0)</f>
        <v>45.473999999999997</v>
      </c>
      <c r="AK21" s="14">
        <f t="shared" si="35"/>
        <v>13.438524604437738</v>
      </c>
      <c r="AL21" s="22">
        <f t="shared" si="4"/>
        <v>102.60598035272905</v>
      </c>
      <c r="AM21" s="62">
        <f t="shared" si="5"/>
        <v>381.27264701939572</v>
      </c>
      <c r="AN21" s="62">
        <f ca="1">AVERAGE(OFFSET($AM$3,0,0,'Données projet'!$E$10+1,1))-AVERAGE(OFFSET($H$3,0,0,'Données projet'!$E$10+1,1))</f>
        <v>625.17723604265689</v>
      </c>
      <c r="AO21" s="62">
        <f t="shared" si="36"/>
        <v>462.33909258902241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2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7.4358974358974361</v>
      </c>
      <c r="BD21" s="13">
        <f>IF('Données projet'!$A$88&gt;35,BD20+BC21-BL20,IF(A21&lt;'Données projet'!$A$88,$BA$205^A21,IF(A21='Données projet'!$A$88,'Données projet'!$B$88,BD20+BC21-BL20)))</f>
        <v>69.743589743589737</v>
      </c>
      <c r="BE21" s="14">
        <f>BD21*VLOOKUP('Données projet'!$B$11,Paramètres!$A$1:$I$89,3,0)*VLOOKUP('Données projet'!$B$11,Paramètres!$A$1:$I$89,5,0)</f>
        <v>66.367999999999995</v>
      </c>
      <c r="BF21" s="14">
        <f t="shared" si="37"/>
        <v>18.768726208561709</v>
      </c>
      <c r="BG21" s="22">
        <f t="shared" si="7"/>
        <v>148.27979814657829</v>
      </c>
      <c r="BH21" s="62">
        <f t="shared" si="8"/>
        <v>426.94646481324497</v>
      </c>
      <c r="BI21" s="62">
        <f ca="1">AVERAGE(OFFSET($BH$3,0,0,'Données projet'!$E$11+1,1))-AVERAGE(OFFSET($H$3,0,0,'Données projet'!$E$11+1,1))</f>
        <v>406.24139966722936</v>
      </c>
      <c r="BJ21" s="62">
        <f t="shared" si="38"/>
        <v>295.95724296920577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48.197945815010499</v>
      </c>
      <c r="CA21" s="14">
        <f t="shared" si="39"/>
        <v>14.147381769152156</v>
      </c>
      <c r="CB21" s="22">
        <f t="shared" si="10"/>
        <v>108.58477887574996</v>
      </c>
      <c r="CC21" s="62">
        <f t="shared" si="11"/>
        <v>387.25144554241666</v>
      </c>
      <c r="CD21" s="62">
        <f ca="1">AVERAGE(OFFSET($CC$3,0,0,'Données projet'!$E$12+1,1))-AVERAGE(OFFSET($H$3,0,0,'Données projet'!$E$12+1,1))</f>
        <v>565.72091871734051</v>
      </c>
      <c r="CE21" s="62">
        <f t="shared" si="40"/>
        <v>306.61893266146666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16.2</v>
      </c>
      <c r="CT21" s="13">
        <f>IF('Données projet'!$A$140&gt;35,CT20+CS21-DB20,IF(A21&lt;'Données projet'!$A$140,$CQ$205^A21,IF(A21='Données projet'!$A$140,'Données projet'!$B$140,CT20+CS21-DB20)))</f>
        <v>155.6</v>
      </c>
      <c r="CU21" s="18">
        <f>CT21*VLOOKUP('Données projet'!$B$13,Paramètres!$A$1:$I$89,3,0)*VLOOKUP('Données projet'!$B$13,Paramètres!$A$1:$I$89,5,0)</f>
        <v>135.93216000000001</v>
      </c>
      <c r="CV21" s="14">
        <f t="shared" si="41"/>
        <v>35.36352729450968</v>
      </c>
      <c r="CW21" s="22">
        <f t="shared" si="13"/>
        <v>298.33998870460437</v>
      </c>
      <c r="CX21" s="62">
        <f t="shared" si="14"/>
        <v>577.00665537127111</v>
      </c>
      <c r="CY21" s="62">
        <f ca="1">AVERAGE(OFFSET($CX$3,0,0,'Données projet'!$E$13+1,1))-AVERAGE(OFFSET($H$3,0,0,'Données projet'!$E$13+1,1))</f>
        <v>333.56306908115238</v>
      </c>
      <c r="CZ21" s="62">
        <f t="shared" si="42"/>
        <v>523.65456887919618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16.119999999999997</v>
      </c>
      <c r="DO21" s="13">
        <f>IF('Données projet'!$A$166&gt;35,DO20+DN21-DW20,IF(A21&lt;'Données projet'!$A$166,$DL$205^A21,IF(A21='Données projet'!$A$166,'Données projet'!$B$166,DO20+DN21-DW20)))</f>
        <v>139.66</v>
      </c>
      <c r="DP21" s="18">
        <f>DO21*VLOOKUP('Données projet'!$B$14,Paramètres!$A$1:$I$89,3,0)*VLOOKUP('Données projet'!$B$14,Paramètres!$A$1:$I$89,5,0)</f>
        <v>102.39871199999999</v>
      </c>
      <c r="DQ21" s="14">
        <f t="shared" si="43"/>
        <v>27.532666850209594</v>
      </c>
      <c r="DR21" s="22">
        <f t="shared" si="16"/>
        <v>226.29715149744834</v>
      </c>
      <c r="DS21" s="62">
        <f t="shared" si="17"/>
        <v>504.96381816411503</v>
      </c>
      <c r="DT21" s="62">
        <f ca="1">AVERAGE(OFFSET($DS$3,0,0,'Données projet'!$E$14+1,1))-AVERAGE(OFFSET($H$3,0,0,'Données projet'!$E$14+1,1))</f>
        <v>397.24714625007675</v>
      </c>
      <c r="DU21" s="62">
        <f t="shared" si="44"/>
        <v>431.75775520200608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9">
        <f t="shared" si="1"/>
        <v>256.66666666666669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509.56241660612449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20</v>
      </c>
      <c r="AI22" s="14">
        <f>IF('Données projet'!$A$62&gt;35,AI21+AH22-AQ21,IF(A22&lt;'Données projet'!$A$62,$AF$205^A22,IF(A22='Données projet'!$A$62,'Données projet'!$B$62,AI21+AH22-AQ21)))</f>
        <v>71</v>
      </c>
      <c r="AJ22" s="14">
        <f>AI22*VLOOKUP('Données projet'!$B$10,Paramètres!$A$1:$I$89,3,0)*VLOOKUP('Données projet'!$B$10,Paramètres!$A$1:$I$89,5,0)</f>
        <v>60.918000000000006</v>
      </c>
      <c r="AK22" s="14">
        <f t="shared" si="35"/>
        <v>17.400162706980499</v>
      </c>
      <c r="AL22" s="22">
        <f t="shared" si="4"/>
        <v>136.40413338132439</v>
      </c>
      <c r="AM22" s="62">
        <f t="shared" si="5"/>
        <v>416.29302227021321</v>
      </c>
      <c r="AN22" s="62">
        <f ca="1">AVERAGE(OFFSET($AM$3,0,0,'Données projet'!$E$10+1,1))-AVERAGE(OFFSET($H$3,0,0,'Données projet'!$E$10+1,1))</f>
        <v>625.17723604265689</v>
      </c>
      <c r="AO22" s="62">
        <f t="shared" si="36"/>
        <v>462.33909258902241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7.4358974358974361</v>
      </c>
      <c r="BD22" s="13">
        <f>IF('Données projet'!$A$88&gt;35,BD21+BC22-BL21,IF(A22&lt;'Données projet'!$A$88,$BA$205^A22,IF(A22='Données projet'!$A$88,'Données projet'!$B$88,BD21+BC22-BL21)))</f>
        <v>77.179487179487168</v>
      </c>
      <c r="BE22" s="14">
        <f>BD22*VLOOKUP('Données projet'!$B$11,Paramètres!$A$1:$I$89,3,0)*VLOOKUP('Données projet'!$B$11,Paramètres!$A$1:$I$89,5,0)</f>
        <v>73.443999999999988</v>
      </c>
      <c r="BF22" s="14">
        <f t="shared" si="37"/>
        <v>20.526318854777685</v>
      </c>
      <c r="BG22" s="22">
        <f t="shared" si="7"/>
        <v>163.66497200540442</v>
      </c>
      <c r="BH22" s="62">
        <f t="shared" si="8"/>
        <v>443.55386089429328</v>
      </c>
      <c r="BI22" s="62">
        <f ca="1">AVERAGE(OFFSET($BH$3,0,0,'Données projet'!$E$11+1,1))-AVERAGE(OFFSET($H$3,0,0,'Données projet'!$E$11+1,1))</f>
        <v>406.24139966722936</v>
      </c>
      <c r="BJ22" s="62">
        <f t="shared" si="38"/>
        <v>295.95724296920577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59.730296710452635</v>
      </c>
      <c r="CA22" s="14">
        <f t="shared" si="39"/>
        <v>17.100061689857345</v>
      </c>
      <c r="CB22" s="22">
        <f t="shared" si="10"/>
        <v>133.81287421387319</v>
      </c>
      <c r="CC22" s="62">
        <f t="shared" si="11"/>
        <v>413.70176310276202</v>
      </c>
      <c r="CD22" s="62">
        <f ca="1">AVERAGE(OFFSET($CC$3,0,0,'Données projet'!$E$12+1,1))-AVERAGE(OFFSET($H$3,0,0,'Données projet'!$E$12+1,1))</f>
        <v>565.72091871734051</v>
      </c>
      <c r="CE22" s="62">
        <f t="shared" si="40"/>
        <v>306.61893266146666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16.2</v>
      </c>
      <c r="CT22" s="13">
        <f>IF('Données projet'!$A$140&gt;35,CT21+CS22-DB21,IF(A22&lt;'Données projet'!$A$140,$CQ$205^A22,IF(A22='Données projet'!$A$140,'Données projet'!$B$140,CT21+CS22-DB21)))</f>
        <v>171.79999999999998</v>
      </c>
      <c r="CU22" s="18">
        <f>CT22*VLOOKUP('Données projet'!$B$13,Paramètres!$A$1:$I$89,3,0)*VLOOKUP('Données projet'!$B$13,Paramètres!$A$1:$I$89,5,0)</f>
        <v>150.08448000000001</v>
      </c>
      <c r="CV22" s="14">
        <f t="shared" si="41"/>
        <v>38.597783374841299</v>
      </c>
      <c r="CW22" s="22">
        <f t="shared" si="13"/>
        <v>328.62160871118198</v>
      </c>
      <c r="CX22" s="62">
        <f t="shared" si="14"/>
        <v>608.51049760007083</v>
      </c>
      <c r="CY22" s="62">
        <f ca="1">AVERAGE(OFFSET($CX$3,0,0,'Données projet'!$E$13+1,1))-AVERAGE(OFFSET($H$3,0,0,'Données projet'!$E$13+1,1))</f>
        <v>333.56306908115238</v>
      </c>
      <c r="CZ22" s="62">
        <f t="shared" si="42"/>
        <v>523.65456887919618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16.119999999999997</v>
      </c>
      <c r="DO22" s="13">
        <f>IF('Données projet'!$A$166&gt;35,DO21+DN22-DW21,IF(A22&lt;'Données projet'!$A$166,$DL$205^A22,IF(A22='Données projet'!$A$166,'Données projet'!$B$166,DO21+DN22-DW21)))</f>
        <v>155.78</v>
      </c>
      <c r="DP22" s="18">
        <f>DO22*VLOOKUP('Données projet'!$B$14,Paramètres!$A$1:$I$89,3,0)*VLOOKUP('Données projet'!$B$14,Paramètres!$A$1:$I$89,5,0)</f>
        <v>114.21789600000001</v>
      </c>
      <c r="DQ22" s="14">
        <f t="shared" si="43"/>
        <v>30.322567041611599</v>
      </c>
      <c r="DR22" s="22">
        <f t="shared" si="16"/>
        <v>251.74130646414019</v>
      </c>
      <c r="DS22" s="62">
        <f t="shared" si="17"/>
        <v>531.63019535302908</v>
      </c>
      <c r="DT22" s="62">
        <f ca="1">AVERAGE(OFFSET($DS$3,0,0,'Données projet'!$E$14+1,1))-AVERAGE(OFFSET($H$3,0,0,'Données projet'!$E$14+1,1))</f>
        <v>397.24714625007675</v>
      </c>
      <c r="DU22" s="62">
        <f t="shared" si="44"/>
        <v>431.75775520200608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9">
        <f t="shared" si="1"/>
        <v>256.66666666666669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509.56241660612449</v>
      </c>
      <c r="T23" s="62">
        <f t="shared" si="34"/>
        <v>278.21741231699929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20</v>
      </c>
      <c r="AI23" s="14">
        <f>IF('Données projet'!$A$62&gt;35,AI22+AH23-AQ22,IF(A23&lt;'Données projet'!$A$62,$AF$205^A23,IF(A23='Données projet'!$A$62,'Données projet'!$B$62,AI22+AH23-AQ22)))</f>
        <v>91</v>
      </c>
      <c r="AJ23" s="14">
        <f>AI23*VLOOKUP('Données projet'!$B$10,Paramètres!$A$1:$I$89,3,0)*VLOOKUP('Données projet'!$B$10,Paramètres!$A$1:$I$89,5,0)</f>
        <v>78.078000000000003</v>
      </c>
      <c r="AK23" s="14">
        <f t="shared" si="35"/>
        <v>21.666582091642084</v>
      </c>
      <c r="AL23" s="22">
        <f t="shared" si="4"/>
        <v>173.72181380960993</v>
      </c>
      <c r="AM23" s="62">
        <f t="shared" si="5"/>
        <v>454.8329249207211</v>
      </c>
      <c r="AN23" s="62">
        <f ca="1">AVERAGE(OFFSET($AM$3,0,0,'Données projet'!$E$10+1,1))-AVERAGE(OFFSET($H$3,0,0,'Données projet'!$E$10+1,1))</f>
        <v>625.17723604265689</v>
      </c>
      <c r="AO23" s="62">
        <f t="shared" si="36"/>
        <v>462.33909258902241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84.615384615384613</v>
      </c>
      <c r="BB23" s="13">
        <f>VLOOKUP(A23,'Données projet'!$A$87:$I$107,9,0)</f>
        <v>7.4358974358974361</v>
      </c>
      <c r="BC23" s="13">
        <f t="array" ref="BC23">INDEX(BB:BB,MIN(IF(ISNUMBER(BB23:BB219),ROW(BB23:BB219),"")))</f>
        <v>7.4358974358974361</v>
      </c>
      <c r="BD23" s="13">
        <f>IF('Données projet'!$A$88&gt;35,BD22+BC23-BL22,IF(A23&lt;'Données projet'!$A$88,$BA$205^A23,IF(A23='Données projet'!$A$88,'Données projet'!$B$88,BD22+BC23-BL22)))</f>
        <v>84.615384615384599</v>
      </c>
      <c r="BE23" s="14">
        <f>BD23*VLOOKUP('Données projet'!$B$11,Paramètres!$A$1:$I$89,3,0)*VLOOKUP('Données projet'!$B$11,Paramètres!$A$1:$I$89,5,0)</f>
        <v>80.519999999999982</v>
      </c>
      <c r="BF23" s="14">
        <f t="shared" si="37"/>
        <v>22.264278849845564</v>
      </c>
      <c r="BG23" s="22">
        <f t="shared" si="7"/>
        <v>179.01595233014768</v>
      </c>
      <c r="BH23" s="62">
        <f t="shared" si="8"/>
        <v>460.12706344125883</v>
      </c>
      <c r="BI23" s="62">
        <f ca="1">AVERAGE(OFFSET($BH$3,0,0,'Données projet'!$E$11+1,1))-AVERAGE(OFFSET($H$3,0,0,'Données projet'!$E$11+1,1))</f>
        <v>406.24139966722936</v>
      </c>
      <c r="BJ23" s="62">
        <f t="shared" si="38"/>
        <v>295.95724296920577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74.022000000000006</v>
      </c>
      <c r="CA23" s="14">
        <f t="shared" si="39"/>
        <v>20.668991235856851</v>
      </c>
      <c r="CB23" s="22">
        <f t="shared" si="10"/>
        <v>164.92014306911736</v>
      </c>
      <c r="CC23" s="62">
        <f t="shared" si="11"/>
        <v>446.03125418022853</v>
      </c>
      <c r="CD23" s="62">
        <f ca="1">AVERAGE(OFFSET($CC$3,0,0,'Données projet'!$E$12+1,1))-AVERAGE(OFFSET($H$3,0,0,'Données projet'!$E$12+1,1))</f>
        <v>565.72091871734051</v>
      </c>
      <c r="CE23" s="62">
        <f t="shared" si="40"/>
        <v>306.61893266146666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188</v>
      </c>
      <c r="CR23" s="13">
        <f>VLOOKUP(A23,'Données projet'!$A$139:$I$159,9,0)</f>
        <v>16.2</v>
      </c>
      <c r="CS23" s="13">
        <f t="array" ref="CS23">INDEX(CR:CR,MIN(IF(ISNUMBER(CR23:CR219),ROW(CR23:CR219),"")))</f>
        <v>16.2</v>
      </c>
      <c r="CT23" s="13">
        <f>IF('Données projet'!$A$140&gt;35,CT22+CS23-DB22,IF(A23&lt;'Données projet'!$A$140,$CQ$205^A23,IF(A23='Données projet'!$A$140,'Données projet'!$B$140,CT22+CS23-DB22)))</f>
        <v>187.99999999999997</v>
      </c>
      <c r="CU23" s="18">
        <f>CT23*VLOOKUP('Données projet'!$B$13,Paramètres!$A$1:$I$89,3,0)*VLOOKUP('Données projet'!$B$13,Paramètres!$A$1:$I$89,5,0)</f>
        <v>164.23680000000002</v>
      </c>
      <c r="CV23" s="14">
        <f t="shared" si="41"/>
        <v>41.796679041964353</v>
      </c>
      <c r="CW23" s="22">
        <f t="shared" si="13"/>
        <v>358.84164266475454</v>
      </c>
      <c r="CX23" s="62">
        <f t="shared" si="14"/>
        <v>639.95275377586563</v>
      </c>
      <c r="CY23" s="62">
        <f ca="1">AVERAGE(OFFSET($CX$3,0,0,'Données projet'!$E$13+1,1))-AVERAGE(OFFSET($H$3,0,0,'Données projet'!$E$13+1,1))</f>
        <v>333.56306908115238</v>
      </c>
      <c r="CZ23" s="62">
        <f t="shared" si="42"/>
        <v>523.65456887919618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84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171.89999999999998</v>
      </c>
      <c r="DM23" s="13">
        <f>VLOOKUP(A23,'Données projet'!$A$165:$I$185,9,0)</f>
        <v>16.119999999999997</v>
      </c>
      <c r="DN23" s="13">
        <f t="array" ref="DN23">INDEX(DM:DM,MIN(IF(ISNUMBER(DM23:DM219),ROW(DM23:DM219),"")))</f>
        <v>16.119999999999997</v>
      </c>
      <c r="DO23" s="13">
        <f>IF('Données projet'!$A$166&gt;35,DO22+DN23-DW22,IF(A23&lt;'Données projet'!$A$166,$DL$205^A23,IF(A23='Données projet'!$A$166,'Données projet'!$B$166,DO22+DN23-DW22)))</f>
        <v>171.9</v>
      </c>
      <c r="DP23" s="18">
        <f>DO23*VLOOKUP('Données projet'!$B$14,Paramètres!$A$1:$I$89,3,0)*VLOOKUP('Données projet'!$B$14,Paramètres!$A$1:$I$89,5,0)</f>
        <v>126.03707999999999</v>
      </c>
      <c r="DQ23" s="14">
        <f t="shared" si="43"/>
        <v>33.079001509487384</v>
      </c>
      <c r="DR23" s="22">
        <f t="shared" si="16"/>
        <v>277.12717529569051</v>
      </c>
      <c r="DS23" s="62">
        <f t="shared" si="17"/>
        <v>558.23828640680165</v>
      </c>
      <c r="DT23" s="62">
        <f ca="1">AVERAGE(OFFSET($DS$3,0,0,'Données projet'!$E$14+1,1))-AVERAGE(OFFSET($H$3,0,0,'Données projet'!$E$14+1,1))</f>
        <v>397.24714625007675</v>
      </c>
      <c r="DU23" s="62">
        <f t="shared" si="44"/>
        <v>431.75775520200608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90.7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9">
        <f t="shared" si="1"/>
        <v>256.66666666666669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2">
        <f t="shared" si="0"/>
        <v>444.08896575162873</v>
      </c>
      <c r="S24" s="62">
        <f ca="1">AVERAGE(OFFSET($R$3,0,0,'Données projet'!$E$9+1,1))-AVERAGE(OFFSET($H$3,0,0,'Données projet'!$E$9+1,1))</f>
        <v>509.56241660612449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>
        <f>VLOOKUP(A24,'Données projet'!$A$61:$I$81,2,0)</f>
        <v>111</v>
      </c>
      <c r="AG24" s="13">
        <f>VLOOKUP(A24,'Données projet'!$A$61:$I$81,9,0)</f>
        <v>20</v>
      </c>
      <c r="AH24" s="13">
        <f t="array" ref="AH24">INDEX(AG:AG,MIN(IF(ISNUMBER(AG24:AG220),ROW(AG24:AG220),"")))</f>
        <v>20</v>
      </c>
      <c r="AI24" s="14">
        <f>IF('Données projet'!$A$62&gt;35,AI23+AH24-AQ23,IF(A24&lt;'Données projet'!$A$62,$AF$205^A24,IF(A24='Données projet'!$A$62,'Données projet'!$B$62,AI23+AH24-AQ23)))</f>
        <v>111</v>
      </c>
      <c r="AJ24" s="14">
        <f>AI24*VLOOKUP('Données projet'!$B$10,Paramètres!$A$1:$I$89,3,0)*VLOOKUP('Données projet'!$B$10,Paramètres!$A$1:$I$89,5,0)</f>
        <v>95.238000000000014</v>
      </c>
      <c r="AK24" s="14">
        <f t="shared" si="35"/>
        <v>25.824315354051141</v>
      </c>
      <c r="AL24" s="22">
        <f t="shared" si="4"/>
        <v>210.85019924163907</v>
      </c>
      <c r="AM24" s="62">
        <f t="shared" si="5"/>
        <v>493.18353257497239</v>
      </c>
      <c r="AN24" s="62">
        <f ca="1">AVERAGE(OFFSET($AM$3,0,0,'Données projet'!$E$10+1,1))-AVERAGE(OFFSET($H$3,0,0,'Données projet'!$E$10+1,1))</f>
        <v>625.17723604265689</v>
      </c>
      <c r="AO24" s="62">
        <f t="shared" si="36"/>
        <v>462.33909258902241</v>
      </c>
      <c r="AP24" s="16">
        <f>IF(ISNA(VLOOKUP(A24,'Données projet'!$A$61:$I$81,3,0)),0,VLOOKUP(A24,'Données projet'!$A$61:$I$81,3,0))</f>
        <v>2</v>
      </c>
      <c r="AQ24" s="16">
        <f>IF(ISNA(VLOOKUP(A24,'Données projet'!$A$61:$I$81,4,0)),0,VLOOKUP(A24,'Données projet'!$A$61:$I$81,4,0))</f>
        <v>8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7.5641025641025639</v>
      </c>
      <c r="BD24" s="13">
        <f>IF('Données projet'!$A$88&gt;35,BD23+BC24-BL23,IF(A24&lt;'Données projet'!$A$88,$BA$205^A24,IF(A24='Données projet'!$A$88,'Données projet'!$B$88,BD23+BC24-BL23)))</f>
        <v>92.179487179487168</v>
      </c>
      <c r="BE24" s="14">
        <f>BD24*VLOOKUP('Données projet'!$B$11,Paramètres!$A$1:$I$89,3,0)*VLOOKUP('Données projet'!$B$11,Paramètres!$A$1:$I$89,5,0)</f>
        <v>87.717999999999989</v>
      </c>
      <c r="BF24" s="14">
        <f t="shared" si="37"/>
        <v>24.014041608889237</v>
      </c>
      <c r="BG24" s="22">
        <f t="shared" si="7"/>
        <v>194.59997246881539</v>
      </c>
      <c r="BH24" s="62">
        <f t="shared" si="8"/>
        <v>476.93330580214871</v>
      </c>
      <c r="BI24" s="62">
        <f ca="1">AVERAGE(OFFSET($BH$3,0,0,'Données projet'!$E$11+1,1))-AVERAGE(OFFSET($H$3,0,0,'Données projet'!$E$11+1,1))</f>
        <v>406.24139966722936</v>
      </c>
      <c r="BJ24" s="62">
        <f t="shared" si="38"/>
        <v>295.95724296920577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80.2</v>
      </c>
      <c r="BZ24" s="14">
        <f>BY24*VLOOKUP('Données projet'!$B$12,Paramètres!$A$1:$I$89,3,0)*VLOOKUP('Données projet'!$B$12,Paramètres!$A$1:$I$89,5,0)</f>
        <v>81.322800000000001</v>
      </c>
      <c r="CA24" s="14">
        <f t="shared" si="39"/>
        <v>22.460306254032997</v>
      </c>
      <c r="CB24" s="22">
        <f t="shared" si="10"/>
        <v>180.75557672577415</v>
      </c>
      <c r="CC24" s="62">
        <f t="shared" si="11"/>
        <v>463.08891005910743</v>
      </c>
      <c r="CD24" s="62">
        <f ca="1">AVERAGE(OFFSET($CC$3,0,0,'Données projet'!$E$12+1,1))-AVERAGE(OFFSET($H$3,0,0,'Données projet'!$E$12+1,1))</f>
        <v>565.72091871734051</v>
      </c>
      <c r="CE24" s="62">
        <f t="shared" si="40"/>
        <v>306.61893266146666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15.8</v>
      </c>
      <c r="CT24" s="13">
        <f>IF('Données projet'!$A$140&gt;35,CT23+CS24-DB23,IF(A24&lt;'Données projet'!$A$140,$CQ$205^A24,IF(A24='Données projet'!$A$140,'Données projet'!$B$140,CT23+CS24-DB23)))</f>
        <v>119.79999999999998</v>
      </c>
      <c r="CU24" s="18">
        <f>CT24*VLOOKUP('Données projet'!$B$13,Paramètres!$A$1:$I$89,3,0)*VLOOKUP('Données projet'!$B$13,Paramètres!$A$1:$I$89,5,0)</f>
        <v>104.65728</v>
      </c>
      <c r="CV24" s="14">
        <f t="shared" si="41"/>
        <v>28.068573730915457</v>
      </c>
      <c r="CW24" s="22">
        <f t="shared" si="13"/>
        <v>231.16419524801108</v>
      </c>
      <c r="CX24" s="62">
        <f t="shared" si="14"/>
        <v>513.49752858134434</v>
      </c>
      <c r="CY24" s="62">
        <f ca="1">AVERAGE(OFFSET($CX$3,0,0,'Données projet'!$E$13+1,1))-AVERAGE(OFFSET($H$3,0,0,'Données projet'!$E$13+1,1))</f>
        <v>333.56306908115238</v>
      </c>
      <c r="CZ24" s="62">
        <f t="shared" si="42"/>
        <v>523.65456887919618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16.760000000000005</v>
      </c>
      <c r="DO24" s="13">
        <f>IF('Données projet'!$A$166&gt;35,DO23+DN24-DW23,IF(A24&lt;'Données projet'!$A$166,$DL$205^A24,IF(A24='Données projet'!$A$166,'Données projet'!$B$166,DO23+DN24-DW23)))</f>
        <v>97.960000000000022</v>
      </c>
      <c r="DP24" s="18">
        <f>DO24*VLOOKUP('Données projet'!$B$14,Paramètres!$A$1:$I$89,3,0)*VLOOKUP('Données projet'!$B$14,Paramètres!$A$1:$I$89,5,0)</f>
        <v>71.824272000000022</v>
      </c>
      <c r="DQ24" s="14">
        <f t="shared" si="43"/>
        <v>20.125808042283108</v>
      </c>
      <c r="DR24" s="22">
        <f t="shared" si="16"/>
        <v>160.14638940697645</v>
      </c>
      <c r="DS24" s="62">
        <f t="shared" si="17"/>
        <v>442.47972274030974</v>
      </c>
      <c r="DT24" s="62">
        <f ca="1">AVERAGE(OFFSET($DS$3,0,0,'Données projet'!$E$14+1,1))-AVERAGE(OFFSET($H$3,0,0,'Données projet'!$E$14+1,1))</f>
        <v>397.24714625007675</v>
      </c>
      <c r="DU24" s="62">
        <f t="shared" si="44"/>
        <v>431.75775520200608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9">
        <f t="shared" si="1"/>
        <v>256.66666666666669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2">
        <f t="shared" si="0"/>
        <v>459.44906838783072</v>
      </c>
      <c r="S25" s="62">
        <f ca="1">AVERAGE(OFFSET($R$3,0,0,'Données projet'!$E$9+1,1))-AVERAGE(OFFSET($H$3,0,0,'Données projet'!$E$9+1,1))</f>
        <v>509.56241660612449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23.333333333333332</v>
      </c>
      <c r="AI25" s="14">
        <f>IF('Données projet'!$A$62&gt;35,AI24+AH25-AQ24,IF(A25&lt;'Données projet'!$A$62,$AF$205^A25,IF(A25='Données projet'!$A$62,'Données projet'!$B$62,AI24+AH25-AQ24)))</f>
        <v>126.33333333333334</v>
      </c>
      <c r="AJ25" s="14">
        <f>AI25*VLOOKUP('Données projet'!$B$10,Paramètres!$A$1:$I$89,3,0)*VLOOKUP('Données projet'!$B$10,Paramètres!$A$1:$I$89,5,0)</f>
        <v>108.39400000000003</v>
      </c>
      <c r="AK25" s="14">
        <f t="shared" si="35"/>
        <v>28.952275163466386</v>
      </c>
      <c r="AL25" s="22">
        <f t="shared" si="4"/>
        <v>239.21142924303732</v>
      </c>
      <c r="AM25" s="62">
        <f t="shared" si="5"/>
        <v>522.76698479859283</v>
      </c>
      <c r="AN25" s="62">
        <f ca="1">AVERAGE(OFFSET($AM$3,0,0,'Données projet'!$E$10+1,1))-AVERAGE(OFFSET($H$3,0,0,'Données projet'!$E$10+1,1))</f>
        <v>625.17723604265689</v>
      </c>
      <c r="AO25" s="62">
        <f t="shared" si="36"/>
        <v>462.33909258902241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7.5641025641025639</v>
      </c>
      <c r="BD25" s="13">
        <f>IF('Données projet'!$A$88&gt;35,BD24+BC25-BL24,IF(A25&lt;'Données projet'!$A$88,$BA$205^A25,IF(A25='Données projet'!$A$88,'Données projet'!$B$88,BD24+BC25-BL24)))</f>
        <v>99.743589743589737</v>
      </c>
      <c r="BE25" s="14">
        <f>BD25*VLOOKUP('Données projet'!$B$11,Paramètres!$A$1:$I$89,3,0)*VLOOKUP('Données projet'!$B$11,Paramètres!$A$1:$I$89,5,0)</f>
        <v>94.915999999999997</v>
      </c>
      <c r="BF25" s="14">
        <f t="shared" si="37"/>
        <v>25.747151184602235</v>
      </c>
      <c r="BG25" s="22">
        <f t="shared" si="7"/>
        <v>210.1549883131822</v>
      </c>
      <c r="BH25" s="62">
        <f t="shared" si="8"/>
        <v>493.71054386873777</v>
      </c>
      <c r="BI25" s="62">
        <f ca="1">AVERAGE(OFFSET($BH$3,0,0,'Données projet'!$E$11+1,1))-AVERAGE(OFFSET($H$3,0,0,'Données projet'!$E$11+1,1))</f>
        <v>406.24139966722936</v>
      </c>
      <c r="BJ25" s="62">
        <f t="shared" si="38"/>
        <v>295.95724296920577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87.4</v>
      </c>
      <c r="BZ25" s="14">
        <f>BY25*VLOOKUP('Données projet'!$B$12,Paramètres!$A$1:$I$89,3,0)*VLOOKUP('Données projet'!$B$12,Paramètres!$A$1:$I$89,5,0)</f>
        <v>88.62360000000001</v>
      </c>
      <c r="CA25" s="14">
        <f t="shared" si="39"/>
        <v>24.232973298845781</v>
      </c>
      <c r="CB25" s="22">
        <f t="shared" si="10"/>
        <v>196.55853182882308</v>
      </c>
      <c r="CC25" s="62">
        <f t="shared" si="11"/>
        <v>480.11408738437865</v>
      </c>
      <c r="CD25" s="62">
        <f ca="1">AVERAGE(OFFSET($CC$3,0,0,'Données projet'!$E$12+1,1))-AVERAGE(OFFSET($H$3,0,0,'Données projet'!$E$12+1,1))</f>
        <v>565.72091871734051</v>
      </c>
      <c r="CE25" s="62">
        <f t="shared" si="40"/>
        <v>306.61893266146666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15.8</v>
      </c>
      <c r="CT25" s="13">
        <f>IF('Données projet'!$A$140&gt;35,CT24+CS25-DB24,IF(A25&lt;'Données projet'!$A$140,$CQ$205^A25,IF(A25='Données projet'!$A$140,'Données projet'!$B$140,CT24+CS25-DB24)))</f>
        <v>135.6</v>
      </c>
      <c r="CU25" s="18">
        <f>CT25*VLOOKUP('Données projet'!$B$13,Paramètres!$A$1:$I$89,3,0)*VLOOKUP('Données projet'!$B$13,Paramètres!$A$1:$I$89,5,0)</f>
        <v>118.46016000000002</v>
      </c>
      <c r="CV25" s="14">
        <f t="shared" si="41"/>
        <v>31.315587396029674</v>
      </c>
      <c r="CW25" s="22">
        <f t="shared" si="13"/>
        <v>260.85942671475169</v>
      </c>
      <c r="CX25" s="62">
        <f t="shared" si="14"/>
        <v>544.41498227030729</v>
      </c>
      <c r="CY25" s="62">
        <f ca="1">AVERAGE(OFFSET($CX$3,0,0,'Données projet'!$E$13+1,1))-AVERAGE(OFFSET($H$3,0,0,'Données projet'!$E$13+1,1))</f>
        <v>333.56306908115238</v>
      </c>
      <c r="CZ25" s="62">
        <f t="shared" si="42"/>
        <v>523.65456887919618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16.760000000000005</v>
      </c>
      <c r="DO25" s="13">
        <f>IF('Données projet'!$A$166&gt;35,DO24+DN25-DW24,IF(A25&lt;'Données projet'!$A$166,$DL$205^A25,IF(A25='Données projet'!$A$166,'Données projet'!$B$166,DO24+DN25-DW24)))</f>
        <v>114.72000000000003</v>
      </c>
      <c r="DP25" s="18">
        <f>DO25*VLOOKUP('Données projet'!$B$14,Paramètres!$A$1:$I$89,3,0)*VLOOKUP('Données projet'!$B$14,Paramètres!$A$1:$I$89,5,0)</f>
        <v>84.112704000000022</v>
      </c>
      <c r="DQ25" s="14">
        <f t="shared" si="43"/>
        <v>23.139808999036042</v>
      </c>
      <c r="DR25" s="22">
        <f t="shared" si="16"/>
        <v>186.79812680665449</v>
      </c>
      <c r="DS25" s="62">
        <f t="shared" si="17"/>
        <v>470.35368236221007</v>
      </c>
      <c r="DT25" s="62">
        <f ca="1">AVERAGE(OFFSET($DS$3,0,0,'Données projet'!$E$14+1,1))-AVERAGE(OFFSET($H$3,0,0,'Données projet'!$E$14+1,1))</f>
        <v>397.24714625007675</v>
      </c>
      <c r="DU25" s="62">
        <f t="shared" si="44"/>
        <v>431.75775520200608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9">
        <f t="shared" si="1"/>
        <v>256.66666666666669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2">
        <f t="shared" si="0"/>
        <v>474.78249759155403</v>
      </c>
      <c r="S26" s="62">
        <f ca="1">AVERAGE(OFFSET($R$3,0,0,'Données projet'!$E$9+1,1))-AVERAGE(OFFSET($H$3,0,0,'Données projet'!$E$9+1,1))</f>
        <v>509.56241660612449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23.333333333333332</v>
      </c>
      <c r="AI26" s="14">
        <f>IF('Données projet'!$A$62&gt;35,AI25+AH26-AQ25,IF(A26&lt;'Données projet'!$A$62,$AF$205^A26,IF(A26='Données projet'!$A$62,'Données projet'!$B$62,AI25+AH26-AQ25)))</f>
        <v>149.66666666666669</v>
      </c>
      <c r="AJ26" s="14">
        <f>AI26*VLOOKUP('Données projet'!$B$10,Paramètres!$A$1:$I$89,3,0)*VLOOKUP('Données projet'!$B$10,Paramètres!$A$1:$I$89,5,0)</f>
        <v>128.41400000000002</v>
      </c>
      <c r="AK26" s="14">
        <f t="shared" si="35"/>
        <v>33.629619895329526</v>
      </c>
      <c r="AL26" s="22">
        <f t="shared" si="4"/>
        <v>282.22597131769891</v>
      </c>
      <c r="AM26" s="62">
        <f t="shared" si="5"/>
        <v>567.00374909547668</v>
      </c>
      <c r="AN26" s="62">
        <f ca="1">AVERAGE(OFFSET($AM$3,0,0,'Données projet'!$E$10+1,1))-AVERAGE(OFFSET($H$3,0,0,'Données projet'!$E$10+1,1))</f>
        <v>625.17723604265689</v>
      </c>
      <c r="AO26" s="62">
        <f t="shared" si="36"/>
        <v>462.33909258902241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7.5641025641025639</v>
      </c>
      <c r="BD26" s="13">
        <f>IF('Données projet'!$A$88&gt;35,BD25+BC26-BL25,IF(A26&lt;'Données projet'!$A$88,$BA$205^A26,IF(A26='Données projet'!$A$88,'Données projet'!$B$88,BD25+BC26-BL25)))</f>
        <v>107.30769230769231</v>
      </c>
      <c r="BE26" s="14">
        <f>BD26*VLOOKUP('Données projet'!$B$11,Paramètres!$A$1:$I$89,3,0)*VLOOKUP('Données projet'!$B$11,Paramètres!$A$1:$I$89,5,0)</f>
        <v>102.114</v>
      </c>
      <c r="BF26" s="14">
        <f t="shared" si="37"/>
        <v>27.465014076024996</v>
      </c>
      <c r="BG26" s="22">
        <f t="shared" si="7"/>
        <v>225.68344951574352</v>
      </c>
      <c r="BH26" s="62">
        <f t="shared" si="8"/>
        <v>510.46122729352129</v>
      </c>
      <c r="BI26" s="62">
        <f ca="1">AVERAGE(OFFSET($BH$3,0,0,'Données projet'!$E$11+1,1))-AVERAGE(OFFSET($H$3,0,0,'Données projet'!$E$11+1,1))</f>
        <v>406.24139966722936</v>
      </c>
      <c r="BJ26" s="62">
        <f t="shared" si="38"/>
        <v>295.95724296920577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94.600000000000009</v>
      </c>
      <c r="BZ26" s="14">
        <f>BY26*VLOOKUP('Données projet'!$B$12,Paramètres!$A$1:$I$89,3,0)*VLOOKUP('Données projet'!$B$12,Paramètres!$A$1:$I$89,5,0)</f>
        <v>95.92440000000002</v>
      </c>
      <c r="CA26" s="14">
        <f t="shared" si="39"/>
        <v>25.988703240473907</v>
      </c>
      <c r="CB26" s="22">
        <f t="shared" si="10"/>
        <v>212.33198814382544</v>
      </c>
      <c r="CC26" s="62">
        <f t="shared" si="11"/>
        <v>497.10976592160318</v>
      </c>
      <c r="CD26" s="62">
        <f ca="1">AVERAGE(OFFSET($CC$3,0,0,'Données projet'!$E$12+1,1))-AVERAGE(OFFSET($H$3,0,0,'Données projet'!$E$12+1,1))</f>
        <v>565.72091871734051</v>
      </c>
      <c r="CE26" s="62">
        <f t="shared" si="40"/>
        <v>306.61893266146666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15.8</v>
      </c>
      <c r="CT26" s="13">
        <f>IF('Données projet'!$A$140&gt;35,CT25+CS26-DB25,IF(A26&lt;'Données projet'!$A$140,$CQ$205^A26,IF(A26='Données projet'!$A$140,'Données projet'!$B$140,CT25+CS26-DB25)))</f>
        <v>151.4</v>
      </c>
      <c r="CU26" s="18">
        <f>CT26*VLOOKUP('Données projet'!$B$13,Paramètres!$A$1:$I$89,3,0)*VLOOKUP('Données projet'!$B$13,Paramètres!$A$1:$I$89,5,0)</f>
        <v>132.26304000000002</v>
      </c>
      <c r="CV26" s="14">
        <f t="shared" si="41"/>
        <v>34.518755036434833</v>
      </c>
      <c r="CW26" s="22">
        <f t="shared" si="13"/>
        <v>290.47829302179071</v>
      </c>
      <c r="CX26" s="62">
        <f t="shared" si="14"/>
        <v>575.25607079956853</v>
      </c>
      <c r="CY26" s="62">
        <f ca="1">AVERAGE(OFFSET($CX$3,0,0,'Données projet'!$E$13+1,1))-AVERAGE(OFFSET($H$3,0,0,'Données projet'!$E$13+1,1))</f>
        <v>333.56306908115238</v>
      </c>
      <c r="CZ26" s="62">
        <f t="shared" si="42"/>
        <v>523.65456887919618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16.760000000000005</v>
      </c>
      <c r="DO26" s="13">
        <f>IF('Données projet'!$A$166&gt;35,DO25+DN26-DW25,IF(A26&lt;'Données projet'!$A$166,$DL$205^A26,IF(A26='Données projet'!$A$166,'Données projet'!$B$166,DO25+DN26-DW25)))</f>
        <v>131.48000000000002</v>
      </c>
      <c r="DP26" s="18">
        <f>DO26*VLOOKUP('Données projet'!$B$14,Paramètres!$A$1:$I$89,3,0)*VLOOKUP('Données projet'!$B$14,Paramètres!$A$1:$I$89,5,0)</f>
        <v>96.401136000000008</v>
      </c>
      <c r="DQ26" s="14">
        <f t="shared" si="43"/>
        <v>26.102797493260166</v>
      </c>
      <c r="DR26" s="22">
        <f t="shared" si="16"/>
        <v>213.36101750076148</v>
      </c>
      <c r="DS26" s="62">
        <f t="shared" si="17"/>
        <v>498.13879527853925</v>
      </c>
      <c r="DT26" s="62">
        <f ca="1">AVERAGE(OFFSET($DS$3,0,0,'Données projet'!$E$14+1,1))-AVERAGE(OFFSET($H$3,0,0,'Données projet'!$E$14+1,1))</f>
        <v>397.24714625007675</v>
      </c>
      <c r="DU26" s="62">
        <f t="shared" si="44"/>
        <v>431.75775520200608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9">
        <f t="shared" si="1"/>
        <v>256.66666666666669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2">
        <f t="shared" si="0"/>
        <v>490.09151430529414</v>
      </c>
      <c r="S27" s="62">
        <f ca="1">AVERAGE(OFFSET($R$3,0,0,'Données projet'!$E$9+1,1))-AVERAGE(OFFSET($H$3,0,0,'Données projet'!$E$9+1,1))</f>
        <v>509.56241660612449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173</v>
      </c>
      <c r="AG27" s="13">
        <f>VLOOKUP(A27,'Données projet'!$A$61:$I$81,9,0)</f>
        <v>23.333333333333332</v>
      </c>
      <c r="AH27" s="13">
        <f t="array" ref="AH27">INDEX(AG:AG,MIN(IF(ISNUMBER(AG27:AG223),ROW(AG27:AG223),"")))</f>
        <v>23.333333333333332</v>
      </c>
      <c r="AI27" s="14">
        <f>IF('Données projet'!$A$62&gt;35,AI26+AH27-AQ26,IF(A27&lt;'Données projet'!$A$62,$AF$205^A27,IF(A27='Données projet'!$A$62,'Données projet'!$B$62,AI26+AH27-AQ26)))</f>
        <v>173.00000000000003</v>
      </c>
      <c r="AJ27" s="14">
        <f>AI27*VLOOKUP('Données projet'!$B$10,Paramètres!$A$1:$I$89,3,0)*VLOOKUP('Données projet'!$B$10,Paramètres!$A$1:$I$89,5,0)</f>
        <v>148.43400000000003</v>
      </c>
      <c r="AK27" s="14">
        <f t="shared" si="35"/>
        <v>38.222489421716382</v>
      </c>
      <c r="AL27" s="22">
        <f t="shared" si="4"/>
        <v>325.0933857428227</v>
      </c>
      <c r="AM27" s="62">
        <f t="shared" si="5"/>
        <v>611.09338574282265</v>
      </c>
      <c r="AN27" s="62">
        <f ca="1">AVERAGE(OFFSET($AM$3,0,0,'Données projet'!$E$10+1,1))-AVERAGE(OFFSET($H$3,0,0,'Données projet'!$E$10+1,1))</f>
        <v>625.17723604265689</v>
      </c>
      <c r="AO27" s="62">
        <f t="shared" si="36"/>
        <v>462.33909258902241</v>
      </c>
      <c r="AP27" s="16">
        <f>IF(ISNA(VLOOKUP(A27,'Données projet'!$A$61:$I$81,3,0)),0,VLOOKUP(A27,'Données projet'!$A$61:$I$81,3,0))</f>
        <v>3</v>
      </c>
      <c r="AQ27" s="16">
        <f>IF(ISNA(VLOOKUP(A27,'Données projet'!$A$61:$I$81,4,0)),0,VLOOKUP(A27,'Données projet'!$A$61:$I$81,4,0))</f>
        <v>47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7.5641025641025639</v>
      </c>
      <c r="BD27" s="13">
        <f>IF('Données projet'!$A$88&gt;35,BD26+BC27-BL26,IF(A27&lt;'Données projet'!$A$88,$BA$205^A27,IF(A27='Données projet'!$A$88,'Données projet'!$B$88,BD26+BC27-BL26)))</f>
        <v>114.87179487179488</v>
      </c>
      <c r="BE27" s="14">
        <f>BD27*VLOOKUP('Données projet'!$B$11,Paramètres!$A$1:$I$89,3,0)*VLOOKUP('Données projet'!$B$11,Paramètres!$A$1:$I$89,5,0)</f>
        <v>109.31200000000001</v>
      </c>
      <c r="BF27" s="14">
        <f t="shared" si="37"/>
        <v>29.168827262472544</v>
      </c>
      <c r="BG27" s="22">
        <f t="shared" si="7"/>
        <v>241.18744081547302</v>
      </c>
      <c r="BH27" s="62">
        <f t="shared" si="8"/>
        <v>527.187440815473</v>
      </c>
      <c r="BI27" s="62">
        <f ca="1">AVERAGE(OFFSET($BH$3,0,0,'Données projet'!$E$11+1,1))-AVERAGE(OFFSET($H$3,0,0,'Données projet'!$E$11+1,1))</f>
        <v>406.24139966722936</v>
      </c>
      <c r="BJ27" s="62">
        <f t="shared" si="38"/>
        <v>295.95724296920577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101.80000000000001</v>
      </c>
      <c r="BZ27" s="14">
        <f>BY27*VLOOKUP('Données projet'!$B$12,Paramètres!$A$1:$I$89,3,0)*VLOOKUP('Données projet'!$B$12,Paramètres!$A$1:$I$89,5,0)</f>
        <v>103.22520000000003</v>
      </c>
      <c r="CA27" s="14">
        <f t="shared" si="39"/>
        <v>27.728931732779014</v>
      </c>
      <c r="CB27" s="22">
        <f t="shared" si="10"/>
        <v>228.07844610125684</v>
      </c>
      <c r="CC27" s="62">
        <f t="shared" si="11"/>
        <v>514.07844610125687</v>
      </c>
      <c r="CD27" s="62">
        <f ca="1">AVERAGE(OFFSET($CC$3,0,0,'Données projet'!$E$12+1,1))-AVERAGE(OFFSET($H$3,0,0,'Données projet'!$E$12+1,1))</f>
        <v>565.72091871734051</v>
      </c>
      <c r="CE27" s="62">
        <f t="shared" si="40"/>
        <v>306.61893266146666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15.8</v>
      </c>
      <c r="CT27" s="13">
        <f>IF('Données projet'!$A$140&gt;35,CT26+CS27-DB26,IF(A27&lt;'Données projet'!$A$140,$CQ$205^A27,IF(A27='Données projet'!$A$140,'Données projet'!$B$140,CT26+CS27-DB26)))</f>
        <v>167.20000000000002</v>
      </c>
      <c r="CU27" s="18">
        <f>CT27*VLOOKUP('Données projet'!$B$13,Paramètres!$A$1:$I$89,3,0)*VLOOKUP('Données projet'!$B$13,Paramètres!$A$1:$I$89,5,0)</f>
        <v>146.06592000000003</v>
      </c>
      <c r="CV27" s="14">
        <f t="shared" si="41"/>
        <v>37.683173643014399</v>
      </c>
      <c r="CW27" s="22">
        <f t="shared" si="13"/>
        <v>320.02967142825008</v>
      </c>
      <c r="CX27" s="62">
        <f t="shared" si="14"/>
        <v>606.02967142825014</v>
      </c>
      <c r="CY27" s="62">
        <f ca="1">AVERAGE(OFFSET($CX$3,0,0,'Données projet'!$E$13+1,1))-AVERAGE(OFFSET($H$3,0,0,'Données projet'!$E$13+1,1))</f>
        <v>333.56306908115238</v>
      </c>
      <c r="CZ27" s="62">
        <f t="shared" si="42"/>
        <v>523.65456887919618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16.760000000000005</v>
      </c>
      <c r="DO27" s="13">
        <f>IF('Données projet'!$A$166&gt;35,DO26+DN27-DW26,IF(A27&lt;'Données projet'!$A$166,$DL$205^A27,IF(A27='Données projet'!$A$166,'Données projet'!$B$166,DO26+DN27-DW26)))</f>
        <v>148.24</v>
      </c>
      <c r="DP27" s="18">
        <f>DO27*VLOOKUP('Données projet'!$B$14,Paramètres!$A$1:$I$89,3,0)*VLOOKUP('Données projet'!$B$14,Paramètres!$A$1:$I$89,5,0)</f>
        <v>108.68956799999999</v>
      </c>
      <c r="DQ27" s="14">
        <f t="shared" si="43"/>
        <v>29.022021550718165</v>
      </c>
      <c r="DR27" s="22">
        <f t="shared" si="16"/>
        <v>239.84768513416745</v>
      </c>
      <c r="DS27" s="62">
        <f t="shared" si="17"/>
        <v>525.84768513416748</v>
      </c>
      <c r="DT27" s="62">
        <f ca="1">AVERAGE(OFFSET($DS$3,0,0,'Données projet'!$E$14+1,1))-AVERAGE(OFFSET($H$3,0,0,'Données projet'!$E$14+1,1))</f>
        <v>397.24714625007675</v>
      </c>
      <c r="DU27" s="62">
        <f t="shared" si="44"/>
        <v>431.75775520200608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9">
        <f t="shared" si="1"/>
        <v>256.66666666666669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2">
        <f t="shared" si="0"/>
        <v>505.37804153496802</v>
      </c>
      <c r="S28" s="62">
        <f ca="1">AVERAGE(OFFSET($R$3,0,0,'Données projet'!$E$9+1,1))-AVERAGE(OFFSET($H$3,0,0,'Données projet'!$E$9+1,1))</f>
        <v>509.56241660612449</v>
      </c>
      <c r="T28" s="62">
        <f t="shared" si="34"/>
        <v>278.21741231699929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24</v>
      </c>
      <c r="AI28" s="14">
        <f>IF('Données projet'!$A$62&gt;35,AI27+AH28-AQ27,IF(A28&lt;'Données projet'!$A$62,$AF$205^A28,IF(A28='Données projet'!$A$62,'Données projet'!$B$62,AI27+AH28-AQ27)))</f>
        <v>150.00000000000003</v>
      </c>
      <c r="AJ28" s="14">
        <f>AI28*VLOOKUP('Données projet'!$B$10,Paramètres!$A$1:$I$89,3,0)*VLOOKUP('Données projet'!$B$10,Paramètres!$A$1:$I$89,5,0)</f>
        <v>128.70000000000005</v>
      </c>
      <c r="AK28" s="14">
        <f t="shared" si="35"/>
        <v>33.695792019186115</v>
      </c>
      <c r="AL28" s="22">
        <f t="shared" si="4"/>
        <v>282.83933776674922</v>
      </c>
      <c r="AM28" s="62">
        <f t="shared" si="5"/>
        <v>570.06155998897145</v>
      </c>
      <c r="AN28" s="62">
        <f ca="1">AVERAGE(OFFSET($AM$3,0,0,'Données projet'!$E$10+1,1))-AVERAGE(OFFSET($H$3,0,0,'Données projet'!$E$10+1,1))</f>
        <v>625.17723604265689</v>
      </c>
      <c r="AO28" s="62">
        <f t="shared" si="36"/>
        <v>462.33909258902241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122.43589743589743</v>
      </c>
      <c r="BB28" s="13">
        <f>VLOOKUP(A28,'Données projet'!$A$87:$I$107,9,0)</f>
        <v>7.5641025641025639</v>
      </c>
      <c r="BC28" s="13">
        <f t="array" ref="BC28">INDEX(BB:BB,MIN(IF(ISNUMBER(BB28:BB224),ROW(BB28:BB224),"")))</f>
        <v>7.5641025641025639</v>
      </c>
      <c r="BD28" s="13">
        <f>IF('Données projet'!$A$88&gt;35,BD27+BC28-BL27,IF(A28&lt;'Données projet'!$A$88,$BA$205^A28,IF(A28='Données projet'!$A$88,'Données projet'!$B$88,BD27+BC28-BL27)))</f>
        <v>122.43589743589745</v>
      </c>
      <c r="BE28" s="14">
        <f>BD28*VLOOKUP('Données projet'!$B$11,Paramètres!$A$1:$I$89,3,0)*VLOOKUP('Données projet'!$B$11,Paramètres!$A$1:$I$89,5,0)</f>
        <v>116.51000000000002</v>
      </c>
      <c r="BF28" s="14">
        <f t="shared" si="37"/>
        <v>30.859621169021747</v>
      </c>
      <c r="BG28" s="22">
        <f t="shared" si="7"/>
        <v>256.66875686937959</v>
      </c>
      <c r="BH28" s="62">
        <f t="shared" si="8"/>
        <v>543.89097909160182</v>
      </c>
      <c r="BI28" s="62">
        <f ca="1">AVERAGE(OFFSET($BH$3,0,0,'Données projet'!$E$11+1,1))-AVERAGE(OFFSET($H$3,0,0,'Données projet'!$E$11+1,1))</f>
        <v>406.24139966722936</v>
      </c>
      <c r="BJ28" s="62">
        <f t="shared" si="38"/>
        <v>295.95724296920577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35.897435897435898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109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109.00000000000001</v>
      </c>
      <c r="BZ28" s="14">
        <f>BY28*VLOOKUP('Données projet'!$B$12,Paramètres!$A$1:$I$89,3,0)*VLOOKUP('Données projet'!$B$12,Paramètres!$A$1:$I$89,5,0)</f>
        <v>110.52600000000001</v>
      </c>
      <c r="CA28" s="14">
        <f t="shared" si="39"/>
        <v>29.454879846564946</v>
      </c>
      <c r="CB28" s="22">
        <f t="shared" si="10"/>
        <v>243.80003239943395</v>
      </c>
      <c r="CC28" s="62">
        <f t="shared" si="11"/>
        <v>531.0222546216562</v>
      </c>
      <c r="CD28" s="62">
        <f ca="1">AVERAGE(OFFSET($CC$3,0,0,'Données projet'!$E$12+1,1))-AVERAGE(OFFSET($H$3,0,0,'Données projet'!$E$12+1,1))</f>
        <v>565.72091871734051</v>
      </c>
      <c r="CE28" s="62">
        <f t="shared" si="40"/>
        <v>306.61893266146666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34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183</v>
      </c>
      <c r="CR28" s="13">
        <f>VLOOKUP(A28,'Données projet'!$A$139:$I$159,9,0)</f>
        <v>15.8</v>
      </c>
      <c r="CS28" s="13">
        <f t="array" ref="CS28">INDEX(CR:CR,MIN(IF(ISNUMBER(CR28:CR224),ROW(CR28:CR224),"")))</f>
        <v>15.8</v>
      </c>
      <c r="CT28" s="13">
        <f>IF('Données projet'!$A$140&gt;35,CT27+CS28-DB27,IF(A28&lt;'Données projet'!$A$140,$CQ$205^A28,IF(A28='Données projet'!$A$140,'Données projet'!$B$140,CT27+CS28-DB27)))</f>
        <v>183.00000000000003</v>
      </c>
      <c r="CU28" s="18">
        <f>CT28*VLOOKUP('Données projet'!$B$13,Paramètres!$A$1:$I$89,3,0)*VLOOKUP('Données projet'!$B$13,Paramètres!$A$1:$I$89,5,0)</f>
        <v>159.86880000000005</v>
      </c>
      <c r="CV28" s="14">
        <f t="shared" si="41"/>
        <v>40.812921467768035</v>
      </c>
      <c r="CW28" s="22">
        <f t="shared" si="13"/>
        <v>349.52066488969604</v>
      </c>
      <c r="CX28" s="62">
        <f t="shared" si="14"/>
        <v>636.74288711191821</v>
      </c>
      <c r="CY28" s="62">
        <f ca="1">AVERAGE(OFFSET($CX$3,0,0,'Données projet'!$E$13+1,1))-AVERAGE(OFFSET($H$3,0,0,'Données projet'!$E$13+1,1))</f>
        <v>333.56306908115238</v>
      </c>
      <c r="CZ28" s="62">
        <f t="shared" si="42"/>
        <v>523.65456887919618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165</v>
      </c>
      <c r="DM28" s="13">
        <f>VLOOKUP(A28,'Données projet'!$A$165:$I$185,9,0)</f>
        <v>16.760000000000005</v>
      </c>
      <c r="DN28" s="13">
        <f t="array" ref="DN28">INDEX(DM:DM,MIN(IF(ISNUMBER(DM28:DM224),ROW(DM28:DM224),"")))</f>
        <v>16.760000000000005</v>
      </c>
      <c r="DO28" s="13">
        <f>IF('Données projet'!$A$166&gt;35,DO27+DN28-DW27,IF(A28&lt;'Données projet'!$A$166,$DL$205^A28,IF(A28='Données projet'!$A$166,'Données projet'!$B$166,DO27+DN28-DW27)))</f>
        <v>165</v>
      </c>
      <c r="DP28" s="18">
        <f>DO28*VLOOKUP('Données projet'!$B$14,Paramètres!$A$1:$I$89,3,0)*VLOOKUP('Données projet'!$B$14,Paramètres!$A$1:$I$89,5,0)</f>
        <v>120.97799999999999</v>
      </c>
      <c r="DQ28" s="14">
        <f t="shared" si="43"/>
        <v>31.902993864447502</v>
      </c>
      <c r="DR28" s="22">
        <f t="shared" si="16"/>
        <v>266.26773098057942</v>
      </c>
      <c r="DS28" s="62">
        <f t="shared" si="17"/>
        <v>553.48995320280164</v>
      </c>
      <c r="DT28" s="62">
        <f ca="1">AVERAGE(OFFSET($DS$3,0,0,'Données projet'!$E$14+1,1))-AVERAGE(OFFSET($H$3,0,0,'Données projet'!$E$14+1,1))</f>
        <v>397.24714625007675</v>
      </c>
      <c r="DU28" s="62">
        <f t="shared" si="44"/>
        <v>431.75775520200608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9">
        <f t="shared" si="1"/>
        <v>256.66666666666669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509.56241660612449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24</v>
      </c>
      <c r="AI29" s="14">
        <f>IF('Données projet'!$A$62&gt;35,AI28+AH29-AQ28,IF(A29&lt;'Données projet'!$A$62,$AF$205^A29,IF(A29='Données projet'!$A$62,'Données projet'!$B$62,AI28+AH29-AQ28)))</f>
        <v>174.00000000000003</v>
      </c>
      <c r="AJ29" s="14">
        <f>AI29*VLOOKUP('Données projet'!$B$10,Paramètres!$A$1:$I$89,3,0)*VLOOKUP('Données projet'!$B$10,Paramètres!$A$1:$I$89,5,0)</f>
        <v>149.29200000000003</v>
      </c>
      <c r="AK29" s="14">
        <f t="shared" si="35"/>
        <v>38.417645803815446</v>
      </c>
      <c r="AL29" s="22">
        <f t="shared" si="4"/>
        <v>326.92763310831191</v>
      </c>
      <c r="AM29" s="62">
        <f t="shared" si="5"/>
        <v>615.37207755275631</v>
      </c>
      <c r="AN29" s="62">
        <f ca="1">AVERAGE(OFFSET($AM$3,0,0,'Données projet'!$E$10+1,1))-AVERAGE(OFFSET($H$3,0,0,'Données projet'!$E$10+1,1))</f>
        <v>625.17723604265689</v>
      </c>
      <c r="AO29" s="62">
        <f t="shared" si="36"/>
        <v>462.33909258902241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7.4358974358974361</v>
      </c>
      <c r="BD29" s="13">
        <f>IF('Données projet'!$A$88&gt;35,BD28+BC29-BL28,IF(A29&lt;'Données projet'!$A$88,$BA$205^A29,IF(A29='Données projet'!$A$88,'Données projet'!$B$88,BD28+BC29-BL28)))</f>
        <v>93.974358974358992</v>
      </c>
      <c r="BE29" s="14">
        <f>BD29*VLOOKUP('Données projet'!$B$11,Paramètres!$A$1:$I$89,3,0)*VLOOKUP('Données projet'!$B$11,Paramètres!$A$1:$I$89,5,0)</f>
        <v>89.426000000000016</v>
      </c>
      <c r="BF29" s="14">
        <f t="shared" si="37"/>
        <v>24.426738508211891</v>
      </c>
      <c r="BG29" s="22">
        <f t="shared" si="7"/>
        <v>198.29351956846904</v>
      </c>
      <c r="BH29" s="62">
        <f t="shared" si="8"/>
        <v>486.73796401291349</v>
      </c>
      <c r="BI29" s="62">
        <f ca="1">AVERAGE(OFFSET($BH$3,0,0,'Données projet'!$E$11+1,1))-AVERAGE(OFFSET($H$3,0,0,'Données projet'!$E$11+1,1))</f>
        <v>406.24139966722936</v>
      </c>
      <c r="BJ29" s="62">
        <f t="shared" si="38"/>
        <v>295.95724296920577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85.378800000000027</v>
      </c>
      <c r="CA29" s="14">
        <f t="shared" si="39"/>
        <v>23.447306793896516</v>
      </c>
      <c r="CB29" s="22">
        <f t="shared" si="10"/>
        <v>189.53880266603645</v>
      </c>
      <c r="CC29" s="62">
        <f t="shared" si="11"/>
        <v>477.98324711048087</v>
      </c>
      <c r="CD29" s="62">
        <f ca="1">AVERAGE(OFFSET($CC$3,0,0,'Données projet'!$E$12+1,1))-AVERAGE(OFFSET($H$3,0,0,'Données projet'!$E$12+1,1))</f>
        <v>565.72091871734051</v>
      </c>
      <c r="CE29" s="62">
        <f t="shared" si="40"/>
        <v>306.61893266146666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14.8</v>
      </c>
      <c r="CT29" s="13">
        <f>IF('Données projet'!$A$140&gt;35,CT28+CS29-DB28,IF(A29&lt;'Données projet'!$A$140,$CQ$205^A29,IF(A29='Données projet'!$A$140,'Données projet'!$B$140,CT28+CS29-DB28)))</f>
        <v>197.80000000000004</v>
      </c>
      <c r="CU29" s="18">
        <f>CT29*VLOOKUP('Données projet'!$B$13,Paramètres!$A$1:$I$89,3,0)*VLOOKUP('Données projet'!$B$13,Paramètres!$A$1:$I$89,5,0)</f>
        <v>172.79808000000006</v>
      </c>
      <c r="CV29" s="14">
        <f t="shared" si="41"/>
        <v>43.716103757502459</v>
      </c>
      <c r="CW29" s="22">
        <f t="shared" si="13"/>
        <v>377.09553671098348</v>
      </c>
      <c r="CX29" s="62">
        <f t="shared" si="14"/>
        <v>665.53998115542799</v>
      </c>
      <c r="CY29" s="62">
        <f ca="1">AVERAGE(OFFSET($CX$3,0,0,'Données projet'!$E$13+1,1))-AVERAGE(OFFSET($H$3,0,0,'Données projet'!$E$13+1,1))</f>
        <v>333.56306908115238</v>
      </c>
      <c r="CZ29" s="62">
        <f t="shared" si="42"/>
        <v>523.65456887919618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16.439999999999998</v>
      </c>
      <c r="DO29" s="13">
        <f>IF('Données projet'!$A$166&gt;35,DO28+DN29-DW28,IF(A29&lt;'Données projet'!$A$166,$DL$205^A29,IF(A29='Données projet'!$A$166,'Données projet'!$B$166,DO28+DN29-DW28)))</f>
        <v>181.44</v>
      </c>
      <c r="DP29" s="18">
        <f>DO29*VLOOKUP('Données projet'!$B$14,Paramètres!$A$1:$I$89,3,0)*VLOOKUP('Données projet'!$B$14,Paramètres!$A$1:$I$89,5,0)</f>
        <v>133.03180799999998</v>
      </c>
      <c r="DQ29" s="14">
        <f t="shared" si="43"/>
        <v>34.69597841264406</v>
      </c>
      <c r="DR29" s="22">
        <f t="shared" si="16"/>
        <v>292.12589466868832</v>
      </c>
      <c r="DS29" s="62">
        <f t="shared" si="17"/>
        <v>580.57033911313283</v>
      </c>
      <c r="DT29" s="62">
        <f ca="1">AVERAGE(OFFSET($DS$3,0,0,'Données projet'!$E$14+1,1))-AVERAGE(OFFSET($H$3,0,0,'Données projet'!$E$14+1,1))</f>
        <v>397.24714625007675</v>
      </c>
      <c r="DU29" s="62">
        <f t="shared" si="44"/>
        <v>431.75775520200608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9">
        <f t="shared" si="1"/>
        <v>256.66666666666669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509.56241660612449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>
        <f>VLOOKUP(A30,'Données projet'!$A$61:$I$81,2,0)</f>
        <v>198</v>
      </c>
      <c r="AG30" s="13">
        <f>VLOOKUP(A30,'Données projet'!$A$61:$I$81,9,0)</f>
        <v>24</v>
      </c>
      <c r="AH30" s="13">
        <f t="array" ref="AH30">INDEX(AG:AG,MIN(IF(ISNUMBER(AG30:AG226),ROW(AG30:AG226),"")))</f>
        <v>24</v>
      </c>
      <c r="AI30" s="14">
        <f>IF('Données projet'!$A$62&gt;35,AI29+AH30-AQ29,IF(A30&lt;'Données projet'!$A$62,$AF$205^A30,IF(A30='Données projet'!$A$62,'Données projet'!$B$62,AI29+AH30-AQ29)))</f>
        <v>198.00000000000003</v>
      </c>
      <c r="AJ30" s="14">
        <f>AI30*VLOOKUP('Données projet'!$B$10,Paramètres!$A$1:$I$89,3,0)*VLOOKUP('Données projet'!$B$10,Paramètres!$A$1:$I$89,5,0)</f>
        <v>169.88400000000004</v>
      </c>
      <c r="AK30" s="14">
        <f t="shared" si="35"/>
        <v>43.064042412117296</v>
      </c>
      <c r="AL30" s="22">
        <f t="shared" si="4"/>
        <v>370.88450720110433</v>
      </c>
      <c r="AM30" s="62">
        <f t="shared" si="5"/>
        <v>660.55117386777101</v>
      </c>
      <c r="AN30" s="62">
        <f ca="1">AVERAGE(OFFSET($AM$3,0,0,'Données projet'!$E$10+1,1))-AVERAGE(OFFSET($H$3,0,0,'Données projet'!$E$10+1,1))</f>
        <v>625.17723604265689</v>
      </c>
      <c r="AO30" s="62">
        <f t="shared" si="36"/>
        <v>462.33909258902241</v>
      </c>
      <c r="AP30" s="16">
        <f>IF(ISNA(VLOOKUP(A30,'Données projet'!$A$61:$I$81,3,0)),0,VLOOKUP(A30,'Données projet'!$A$61:$I$81,3,0))</f>
        <v>4</v>
      </c>
      <c r="AQ30" s="16">
        <f>IF(ISNA(VLOOKUP(A30,'Données projet'!$A$61:$I$81,4,0)),0,VLOOKUP(A30,'Données projet'!$A$61:$I$81,4,0))</f>
        <v>43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7.4358974358974361</v>
      </c>
      <c r="BD30" s="13">
        <f>IF('Données projet'!$A$88&gt;35,BD29+BC30-BL29,IF(A30&lt;'Données projet'!$A$88,$BA$205^A30,IF(A30='Données projet'!$A$88,'Données projet'!$B$88,BD29+BC30-BL29)))</f>
        <v>101.41025641025642</v>
      </c>
      <c r="BE30" s="14">
        <f>BD30*VLOOKUP('Données projet'!$B$11,Paramètres!$A$1:$I$89,3,0)*VLOOKUP('Données projet'!$B$11,Paramètres!$A$1:$I$89,5,0)</f>
        <v>96.50200000000001</v>
      </c>
      <c r="BF30" s="14">
        <f t="shared" si="37"/>
        <v>26.126928217693919</v>
      </c>
      <c r="BG30" s="22">
        <f t="shared" si="7"/>
        <v>213.57871664581691</v>
      </c>
      <c r="BH30" s="62">
        <f t="shared" si="8"/>
        <v>503.24538331248357</v>
      </c>
      <c r="BI30" s="62">
        <f ca="1">AVERAGE(OFFSET($BH$3,0,0,'Données projet'!$E$11+1,1))-AVERAGE(OFFSET($H$3,0,0,'Données projet'!$E$11+1,1))</f>
        <v>406.24139966722936</v>
      </c>
      <c r="BJ30" s="62">
        <f t="shared" si="38"/>
        <v>295.95724296920577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94.707600000000028</v>
      </c>
      <c r="CA30" s="14">
        <f t="shared" si="39"/>
        <v>25.697193912523566</v>
      </c>
      <c r="CB30" s="22">
        <f t="shared" si="10"/>
        <v>209.70501606431188</v>
      </c>
      <c r="CC30" s="62">
        <f t="shared" si="11"/>
        <v>499.37168273097859</v>
      </c>
      <c r="CD30" s="62">
        <f ca="1">AVERAGE(OFFSET($CC$3,0,0,'Données projet'!$E$12+1,1))-AVERAGE(OFFSET($H$3,0,0,'Données projet'!$E$12+1,1))</f>
        <v>565.72091871734051</v>
      </c>
      <c r="CE30" s="62">
        <f t="shared" si="40"/>
        <v>306.61893266146666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14.8</v>
      </c>
      <c r="CT30" s="13">
        <f>IF('Données projet'!$A$140&gt;35,CT29+CS30-DB29,IF(A30&lt;'Données projet'!$A$140,$CQ$205^A30,IF(A30='Données projet'!$A$140,'Données projet'!$B$140,CT29+CS30-DB29)))</f>
        <v>212.60000000000005</v>
      </c>
      <c r="CU30" s="18">
        <f>CT30*VLOOKUP('Données projet'!$B$13,Paramètres!$A$1:$I$89,3,0)*VLOOKUP('Données projet'!$B$13,Paramètres!$A$1:$I$89,5,0)</f>
        <v>185.72736000000006</v>
      </c>
      <c r="CV30" s="14">
        <f t="shared" si="41"/>
        <v>46.594086043363802</v>
      </c>
      <c r="CW30" s="22">
        <f t="shared" si="13"/>
        <v>404.6265185255254</v>
      </c>
      <c r="CX30" s="62">
        <f t="shared" si="14"/>
        <v>694.29318519219214</v>
      </c>
      <c r="CY30" s="62">
        <f ca="1">AVERAGE(OFFSET($CX$3,0,0,'Données projet'!$E$13+1,1))-AVERAGE(OFFSET($H$3,0,0,'Données projet'!$E$13+1,1))</f>
        <v>333.56306908115238</v>
      </c>
      <c r="CZ30" s="62">
        <f t="shared" si="42"/>
        <v>523.65456887919618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16.439999999999998</v>
      </c>
      <c r="DO30" s="13">
        <f>IF('Données projet'!$A$166&gt;35,DO29+DN30-DW29,IF(A30&lt;'Données projet'!$A$166,$DL$205^A30,IF(A30='Données projet'!$A$166,'Données projet'!$B$166,DO29+DN30-DW29)))</f>
        <v>197.88</v>
      </c>
      <c r="DP30" s="18">
        <f>DO30*VLOOKUP('Données projet'!$B$14,Paramètres!$A$1:$I$89,3,0)*VLOOKUP('Données projet'!$B$14,Paramètres!$A$1:$I$89,5,0)</f>
        <v>145.08561599999999</v>
      </c>
      <c r="DQ30" s="14">
        <f t="shared" si="43"/>
        <v>37.459618284914292</v>
      </c>
      <c r="DR30" s="22">
        <f t="shared" si="16"/>
        <v>317.93294971289237</v>
      </c>
      <c r="DS30" s="62">
        <f t="shared" si="17"/>
        <v>607.59961637955905</v>
      </c>
      <c r="DT30" s="62">
        <f ca="1">AVERAGE(OFFSET($DS$3,0,0,'Données projet'!$E$14+1,1))-AVERAGE(OFFSET($H$3,0,0,'Données projet'!$E$14+1,1))</f>
        <v>397.24714625007675</v>
      </c>
      <c r="DU30" s="62">
        <f t="shared" si="44"/>
        <v>431.75775520200608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9">
        <f t="shared" si="1"/>
        <v>256.66666666666669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509.56241660612449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24.333333333333332</v>
      </c>
      <c r="AI31" s="14">
        <f>IF('Données projet'!$A$62&gt;35,AI30+AH31-AQ30,IF(A31&lt;'Données projet'!$A$62,$AF$205^A31,IF(A31='Données projet'!$A$62,'Données projet'!$B$62,AI30+AH31-AQ30)))</f>
        <v>179.33333333333337</v>
      </c>
      <c r="AJ31" s="14">
        <f>AI31*VLOOKUP('Données projet'!$B$10,Paramètres!$A$1:$I$89,3,0)*VLOOKUP('Données projet'!$B$10,Paramètres!$A$1:$I$89,5,0)</f>
        <v>153.86800000000005</v>
      </c>
      <c r="AK31" s="14">
        <f t="shared" si="35"/>
        <v>39.456295775469606</v>
      </c>
      <c r="AL31" s="22">
        <f t="shared" si="4"/>
        <v>336.70648180894301</v>
      </c>
      <c r="AM31" s="62">
        <f t="shared" si="5"/>
        <v>627.59537069783187</v>
      </c>
      <c r="AN31" s="62">
        <f ca="1">AVERAGE(OFFSET($AM$3,0,0,'Données projet'!$E$10+1,1))-AVERAGE(OFFSET($H$3,0,0,'Données projet'!$E$10+1,1))</f>
        <v>625.17723604265689</v>
      </c>
      <c r="AO31" s="62">
        <f t="shared" si="36"/>
        <v>462.33909258902241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7.4358974358974361</v>
      </c>
      <c r="BD31" s="13">
        <f>IF('Données projet'!$A$88&gt;35,BD30+BC31-BL30,IF(A31&lt;'Données projet'!$A$88,$BA$205^A31,IF(A31='Données projet'!$A$88,'Données projet'!$B$88,BD30+BC31-BL30)))</f>
        <v>108.84615384615385</v>
      </c>
      <c r="BE31" s="14">
        <f>BD31*VLOOKUP('Données projet'!$B$11,Paramètres!$A$1:$I$89,3,0)*VLOOKUP('Données projet'!$B$11,Paramètres!$A$1:$I$89,5,0)</f>
        <v>103.57800000000002</v>
      </c>
      <c r="BF31" s="14">
        <f t="shared" si="37"/>
        <v>27.812654852530578</v>
      </c>
      <c r="BG31" s="22">
        <f t="shared" si="7"/>
        <v>228.83872386815744</v>
      </c>
      <c r="BH31" s="62">
        <f t="shared" si="8"/>
        <v>519.72761275704624</v>
      </c>
      <c r="BI31" s="62">
        <f ca="1">AVERAGE(OFFSET($BH$3,0,0,'Données projet'!$E$11+1,1))-AVERAGE(OFFSET($H$3,0,0,'Données projet'!$E$11+1,1))</f>
        <v>406.24139966722936</v>
      </c>
      <c r="BJ31" s="62">
        <f t="shared" si="38"/>
        <v>295.95724296920577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104.03640000000003</v>
      </c>
      <c r="CA31" s="14">
        <f t="shared" si="39"/>
        <v>27.921388397820998</v>
      </c>
      <c r="CB31" s="22">
        <f t="shared" si="10"/>
        <v>229.82648145953826</v>
      </c>
      <c r="CC31" s="62">
        <f t="shared" si="11"/>
        <v>520.71537034842709</v>
      </c>
      <c r="CD31" s="62">
        <f ca="1">AVERAGE(OFFSET($CC$3,0,0,'Données projet'!$E$12+1,1))-AVERAGE(OFFSET($H$3,0,0,'Données projet'!$E$12+1,1))</f>
        <v>565.72091871734051</v>
      </c>
      <c r="CE31" s="62">
        <f t="shared" si="40"/>
        <v>306.61893266146666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14.8</v>
      </c>
      <c r="CT31" s="13">
        <f>IF('Données projet'!$A$140&gt;35,CT30+CS31-DB30,IF(A31&lt;'Données projet'!$A$140,$CQ$205^A31,IF(A31='Données projet'!$A$140,'Données projet'!$B$140,CT30+CS31-DB30)))</f>
        <v>227.40000000000006</v>
      </c>
      <c r="CU31" s="18">
        <f>CT31*VLOOKUP('Données projet'!$B$13,Paramètres!$A$1:$I$89,3,0)*VLOOKUP('Données projet'!$B$13,Paramètres!$A$1:$I$89,5,0)</f>
        <v>198.6566400000001</v>
      </c>
      <c r="CV31" s="14">
        <f t="shared" si="41"/>
        <v>49.448822156743468</v>
      </c>
      <c r="CW31" s="22">
        <f t="shared" si="13"/>
        <v>432.11701325632833</v>
      </c>
      <c r="CX31" s="62">
        <f t="shared" si="14"/>
        <v>723.00590214521719</v>
      </c>
      <c r="CY31" s="62">
        <f ca="1">AVERAGE(OFFSET($CX$3,0,0,'Données projet'!$E$13+1,1))-AVERAGE(OFFSET($H$3,0,0,'Données projet'!$E$13+1,1))</f>
        <v>333.56306908115238</v>
      </c>
      <c r="CZ31" s="62">
        <f t="shared" si="42"/>
        <v>523.65456887919618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16.439999999999998</v>
      </c>
      <c r="DO31" s="13">
        <f>IF('Données projet'!$A$166&gt;35,DO30+DN31-DW30,IF(A31&lt;'Données projet'!$A$166,$DL$205^A31,IF(A31='Données projet'!$A$166,'Données projet'!$B$166,DO30+DN31-DW30)))</f>
        <v>214.32</v>
      </c>
      <c r="DP31" s="18">
        <f>DO31*VLOOKUP('Données projet'!$B$14,Paramètres!$A$1:$I$89,3,0)*VLOOKUP('Données projet'!$B$14,Paramètres!$A$1:$I$89,5,0)</f>
        <v>157.13942399999999</v>
      </c>
      <c r="DQ31" s="14">
        <f t="shared" si="43"/>
        <v>40.1966286313925</v>
      </c>
      <c r="DR31" s="22">
        <f t="shared" si="16"/>
        <v>343.69362499967519</v>
      </c>
      <c r="DS31" s="62">
        <f t="shared" si="17"/>
        <v>634.58251388856411</v>
      </c>
      <c r="DT31" s="62">
        <f ca="1">AVERAGE(OFFSET($DS$3,0,0,'Données projet'!$E$14+1,1))-AVERAGE(OFFSET($H$3,0,0,'Données projet'!$E$14+1,1))</f>
        <v>397.24714625007675</v>
      </c>
      <c r="DU31" s="62">
        <f t="shared" si="44"/>
        <v>431.75775520200608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9">
        <f t="shared" si="1"/>
        <v>256.66666666666669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509.56241660612449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24.333333333333332</v>
      </c>
      <c r="AI32" s="14">
        <f>IF('Données projet'!$A$62&gt;35,AI31+AH32-AQ31,IF(A32&lt;'Données projet'!$A$62,$AF$205^A32,IF(A32='Données projet'!$A$62,'Données projet'!$B$62,AI31+AH32-AQ31)))</f>
        <v>203.66666666666671</v>
      </c>
      <c r="AJ32" s="14">
        <f>AI32*VLOOKUP('Données projet'!$B$10,Paramètres!$A$1:$I$89,3,0)*VLOOKUP('Données projet'!$B$10,Paramètres!$A$1:$I$89,5,0)</f>
        <v>174.74600000000007</v>
      </c>
      <c r="AK32" s="14">
        <f t="shared" si="35"/>
        <v>44.151260306486655</v>
      </c>
      <c r="AL32" s="22">
        <f t="shared" si="4"/>
        <v>381.24606170046428</v>
      </c>
      <c r="AM32" s="62">
        <f t="shared" si="5"/>
        <v>673.35717281157542</v>
      </c>
      <c r="AN32" s="62">
        <f ca="1">AVERAGE(OFFSET($AM$3,0,0,'Données projet'!$E$10+1,1))-AVERAGE(OFFSET($H$3,0,0,'Données projet'!$E$10+1,1))</f>
        <v>625.17723604265689</v>
      </c>
      <c r="AO32" s="62">
        <f t="shared" si="36"/>
        <v>462.33909258902241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7.4358974358974361</v>
      </c>
      <c r="BD32" s="13">
        <f>IF('Données projet'!$A$88&gt;35,BD31+BC32-BL31,IF(A32&lt;'Données projet'!$A$88,$BA$205^A32,IF(A32='Données projet'!$A$88,'Données projet'!$B$88,BD31+BC32-BL31)))</f>
        <v>116.28205128205128</v>
      </c>
      <c r="BE32" s="14">
        <f>BD32*VLOOKUP('Données projet'!$B$11,Paramètres!$A$1:$I$89,3,0)*VLOOKUP('Données projet'!$B$11,Paramètres!$A$1:$I$89,5,0)</f>
        <v>110.654</v>
      </c>
      <c r="BF32" s="14">
        <f t="shared" si="37"/>
        <v>29.48501887296996</v>
      </c>
      <c r="BG32" s="22">
        <f t="shared" si="7"/>
        <v>244.0754578704227</v>
      </c>
      <c r="BH32" s="62">
        <f t="shared" si="8"/>
        <v>536.18656898153381</v>
      </c>
      <c r="BI32" s="62">
        <f ca="1">AVERAGE(OFFSET($BH$3,0,0,'Données projet'!$E$11+1,1))-AVERAGE(OFFSET($H$3,0,0,'Données projet'!$E$11+1,1))</f>
        <v>406.24139966722936</v>
      </c>
      <c r="BJ32" s="62">
        <f t="shared" si="38"/>
        <v>295.95724296920577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113.36520000000003</v>
      </c>
      <c r="CA32" s="14">
        <f t="shared" si="39"/>
        <v>30.122456058687614</v>
      </c>
      <c r="CB32" s="22">
        <f t="shared" si="10"/>
        <v>249.9076676355476</v>
      </c>
      <c r="CC32" s="62">
        <f t="shared" si="11"/>
        <v>542.01877874665877</v>
      </c>
      <c r="CD32" s="62">
        <f ca="1">AVERAGE(OFFSET($CC$3,0,0,'Données projet'!$E$12+1,1))-AVERAGE(OFFSET($H$3,0,0,'Données projet'!$E$12+1,1))</f>
        <v>565.72091871734051</v>
      </c>
      <c r="CE32" s="62">
        <f t="shared" si="40"/>
        <v>306.61893266146666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14.8</v>
      </c>
      <c r="CT32" s="13">
        <f>IF('Données projet'!$A$140&gt;35,CT31+CS32-DB31,IF(A32&lt;'Données projet'!$A$140,$CQ$205^A32,IF(A32='Données projet'!$A$140,'Données projet'!$B$140,CT31+CS32-DB31)))</f>
        <v>242.20000000000007</v>
      </c>
      <c r="CU32" s="18">
        <f>CT32*VLOOKUP('Données projet'!$B$13,Paramètres!$A$1:$I$89,3,0)*VLOOKUP('Données projet'!$B$13,Paramètres!$A$1:$I$89,5,0)</f>
        <v>211.5859200000001</v>
      </c>
      <c r="CV32" s="14">
        <f t="shared" si="41"/>
        <v>52.281997222074672</v>
      </c>
      <c r="CW32" s="22">
        <f t="shared" si="13"/>
        <v>459.56995582844689</v>
      </c>
      <c r="CX32" s="62">
        <f t="shared" si="14"/>
        <v>751.68106693955804</v>
      </c>
      <c r="CY32" s="62">
        <f ca="1">AVERAGE(OFFSET($CX$3,0,0,'Données projet'!$E$13+1,1))-AVERAGE(OFFSET($H$3,0,0,'Données projet'!$E$13+1,1))</f>
        <v>333.56306908115238</v>
      </c>
      <c r="CZ32" s="62">
        <f t="shared" si="42"/>
        <v>523.65456887919618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16.439999999999998</v>
      </c>
      <c r="DO32" s="13">
        <f>IF('Données projet'!$A$166&gt;35,DO31+DN32-DW31,IF(A32&lt;'Données projet'!$A$166,$DL$205^A32,IF(A32='Données projet'!$A$166,'Données projet'!$B$166,DO31+DN32-DW31)))</f>
        <v>230.76</v>
      </c>
      <c r="DP32" s="18">
        <f>DO32*VLOOKUP('Données projet'!$B$14,Paramètres!$A$1:$I$89,3,0)*VLOOKUP('Données projet'!$B$14,Paramètres!$A$1:$I$89,5,0)</f>
        <v>169.19323199999999</v>
      </c>
      <c r="DQ32" s="14">
        <f t="shared" si="43"/>
        <v>42.909284396367191</v>
      </c>
      <c r="DR32" s="22">
        <f t="shared" si="16"/>
        <v>369.41188272367282</v>
      </c>
      <c r="DS32" s="62">
        <f t="shared" si="17"/>
        <v>661.52299383478396</v>
      </c>
      <c r="DT32" s="62">
        <f ca="1">AVERAGE(OFFSET($DS$3,0,0,'Données projet'!$E$14+1,1))-AVERAGE(OFFSET($H$3,0,0,'Données projet'!$E$14+1,1))</f>
        <v>397.24714625007675</v>
      </c>
      <c r="DU32" s="62">
        <f t="shared" si="44"/>
        <v>431.75775520200608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9">
        <f t="shared" si="1"/>
        <v>256.66666666666669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509.56241660612449</v>
      </c>
      <c r="T33" s="62">
        <f t="shared" si="34"/>
        <v>278.21741231699929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228</v>
      </c>
      <c r="AG33" s="13">
        <f>VLOOKUP(A33,'Données projet'!$A$61:$I$81,9,0)</f>
        <v>24.333333333333332</v>
      </c>
      <c r="AH33" s="13">
        <f t="array" ref="AH33">INDEX(AG:AG,MIN(IF(ISNUMBER(AG33:AG229),ROW(AG33:AG229),"")))</f>
        <v>24.333333333333332</v>
      </c>
      <c r="AI33" s="14">
        <f>IF('Données projet'!$A$62&gt;35,AI32+AH33-AQ32,IF(A33&lt;'Données projet'!$A$62,$AF$205^A33,IF(A33='Données projet'!$A$62,'Données projet'!$B$62,AI32+AH33-AQ32)))</f>
        <v>228.00000000000006</v>
      </c>
      <c r="AJ33" s="14">
        <f>AI33*VLOOKUP('Données projet'!$B$10,Paramètres!$A$1:$I$89,3,0)*VLOOKUP('Données projet'!$B$10,Paramètres!$A$1:$I$89,5,0)</f>
        <v>195.62400000000008</v>
      </c>
      <c r="AK33" s="14">
        <f t="shared" si="35"/>
        <v>48.781220625276006</v>
      </c>
      <c r="AL33" s="22">
        <f t="shared" si="4"/>
        <v>425.67242592235584</v>
      </c>
      <c r="AM33" s="62">
        <f t="shared" si="5"/>
        <v>719.0057592556891</v>
      </c>
      <c r="AN33" s="62">
        <f ca="1">AVERAGE(OFFSET($AM$3,0,0,'Données projet'!$E$10+1,1))-AVERAGE(OFFSET($H$3,0,0,'Données projet'!$E$10+1,1))</f>
        <v>625.17723604265689</v>
      </c>
      <c r="AO33" s="62">
        <f t="shared" si="36"/>
        <v>462.33909258902241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48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123.71794871794872</v>
      </c>
      <c r="BB33" s="13">
        <f>VLOOKUP(A33,'Données projet'!$A$87:$I$107,9,0)</f>
        <v>7.4358974358974361</v>
      </c>
      <c r="BC33" s="13">
        <f t="array" ref="BC33">INDEX(BB:BB,MIN(IF(ISNUMBER(BB33:BB229),ROW(BB33:BB229),"")))</f>
        <v>7.4358974358974361</v>
      </c>
      <c r="BD33" s="13">
        <f>IF('Données projet'!$A$88&gt;35,BD32+BC33-BL32,IF(A33&lt;'Données projet'!$A$88,$BA$205^A33,IF(A33='Données projet'!$A$88,'Données projet'!$B$88,BD32+BC33-BL32)))</f>
        <v>123.71794871794872</v>
      </c>
      <c r="BE33" s="14">
        <f>BD33*VLOOKUP('Données projet'!$B$11,Paramètres!$A$1:$I$89,3,0)*VLOOKUP('Données projet'!$B$11,Paramètres!$A$1:$I$89,5,0)</f>
        <v>117.73</v>
      </c>
      <c r="BF33" s="14">
        <f t="shared" si="37"/>
        <v>31.144972039735432</v>
      </c>
      <c r="BG33" s="22">
        <f t="shared" si="7"/>
        <v>259.29057630253919</v>
      </c>
      <c r="BH33" s="62">
        <f t="shared" si="8"/>
        <v>552.62390963587245</v>
      </c>
      <c r="BI33" s="62">
        <f ca="1">AVERAGE(OFFSET($BH$3,0,0,'Données projet'!$E$11+1,1))-AVERAGE(OFFSET($H$3,0,0,'Données projet'!$E$11+1,1))</f>
        <v>406.24139966722936</v>
      </c>
      <c r="BJ33" s="62">
        <f t="shared" si="38"/>
        <v>295.95724296920577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122.69400000000003</v>
      </c>
      <c r="CA33" s="14">
        <f t="shared" si="39"/>
        <v>32.302516360650685</v>
      </c>
      <c r="CB33" s="22">
        <f t="shared" si="10"/>
        <v>269.95226599480003</v>
      </c>
      <c r="CC33" s="62">
        <f t="shared" si="11"/>
        <v>563.28559932813334</v>
      </c>
      <c r="CD33" s="62">
        <f ca="1">AVERAGE(OFFSET($CC$3,0,0,'Données projet'!$E$12+1,1))-AVERAGE(OFFSET($H$3,0,0,'Données projet'!$E$12+1,1))</f>
        <v>565.72091871734051</v>
      </c>
      <c r="CE33" s="62">
        <f t="shared" si="40"/>
        <v>306.61893266146666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257</v>
      </c>
      <c r="CR33" s="13">
        <f>VLOOKUP(A33,'Données projet'!$A$139:$I$159,9,0)</f>
        <v>14.8</v>
      </c>
      <c r="CS33" s="13">
        <f t="array" ref="CS33">INDEX(CR:CR,MIN(IF(ISNUMBER(CR33:CR229),ROW(CR33:CR229),"")))</f>
        <v>14.8</v>
      </c>
      <c r="CT33" s="13">
        <f>IF('Données projet'!$A$140&gt;35,CT32+CS33-DB32,IF(A33&lt;'Données projet'!$A$140,$CQ$205^A33,IF(A33='Données projet'!$A$140,'Données projet'!$B$140,CT32+CS33-DB32)))</f>
        <v>257.00000000000006</v>
      </c>
      <c r="CU33" s="18">
        <f>CT33*VLOOKUP('Données projet'!$B$13,Paramètres!$A$1:$I$89,3,0)*VLOOKUP('Données projet'!$B$13,Paramètres!$A$1:$I$89,5,0)</f>
        <v>224.51520000000008</v>
      </c>
      <c r="CV33" s="14">
        <f t="shared" si="41"/>
        <v>55.095078782313593</v>
      </c>
      <c r="CW33" s="22">
        <f t="shared" si="13"/>
        <v>486.9879022125296</v>
      </c>
      <c r="CX33" s="62">
        <f t="shared" si="14"/>
        <v>780.32123554586292</v>
      </c>
      <c r="CY33" s="62">
        <f ca="1">AVERAGE(OFFSET($CX$3,0,0,'Données projet'!$E$13+1,1))-AVERAGE(OFFSET($H$3,0,0,'Données projet'!$E$13+1,1))</f>
        <v>333.56306908115238</v>
      </c>
      <c r="CZ33" s="62">
        <f t="shared" si="42"/>
        <v>523.65456887919618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103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247.2</v>
      </c>
      <c r="DM33" s="13">
        <f>VLOOKUP(A33,'Données projet'!$A$165:$I$185,9,0)</f>
        <v>16.439999999999998</v>
      </c>
      <c r="DN33" s="13">
        <f t="array" ref="DN33">INDEX(DM:DM,MIN(IF(ISNUMBER(DM33:DM229),ROW(DM33:DM229),"")))</f>
        <v>16.439999999999998</v>
      </c>
      <c r="DO33" s="13">
        <f>IF('Données projet'!$A$166&gt;35,DO32+DN33-DW32,IF(A33&lt;'Données projet'!$A$166,$DL$205^A33,IF(A33='Données projet'!$A$166,'Données projet'!$B$166,DO32+DN33-DW32)))</f>
        <v>247.2</v>
      </c>
      <c r="DP33" s="18">
        <f>DO33*VLOOKUP('Données projet'!$B$14,Paramètres!$A$1:$I$89,3,0)*VLOOKUP('Données projet'!$B$14,Paramètres!$A$1:$I$89,5,0)</f>
        <v>181.24703999999997</v>
      </c>
      <c r="DQ33" s="14">
        <f t="shared" si="43"/>
        <v>45.59951801072129</v>
      </c>
      <c r="DR33" s="22">
        <f t="shared" si="16"/>
        <v>395.09108853533945</v>
      </c>
      <c r="DS33" s="62">
        <f t="shared" si="17"/>
        <v>688.42442186867277</v>
      </c>
      <c r="DT33" s="62">
        <f ca="1">AVERAGE(OFFSET($DS$3,0,0,'Données projet'!$E$14+1,1))-AVERAGE(OFFSET($H$3,0,0,'Données projet'!$E$14+1,1))</f>
        <v>397.24714625007675</v>
      </c>
      <c r="DU33" s="62">
        <f t="shared" si="44"/>
        <v>431.75775520200608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84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9">
        <f t="shared" si="1"/>
        <v>256.66666666666669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2">
        <f t="shared" si="0"/>
        <v>555.8952725195021</v>
      </c>
      <c r="S34" s="62">
        <f ca="1">AVERAGE(OFFSET($R$3,0,0,'Données projet'!$E$9+1,1))-AVERAGE(OFFSET($H$3,0,0,'Données projet'!$E$9+1,1))</f>
        <v>509.56241660612449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24.333333333333332</v>
      </c>
      <c r="AI34" s="14">
        <f>IF('Données projet'!$A$62&gt;35,AI33+AH34-AQ33,IF(A34&lt;'Données projet'!$A$62,$AF$205^A34,IF(A34='Données projet'!$A$62,'Données projet'!$B$62,AI33+AH34-AQ33)))</f>
        <v>204.3333333333334</v>
      </c>
      <c r="AJ34" s="14">
        <f>AI34*VLOOKUP('Données projet'!$B$10,Paramètres!$A$1:$I$89,3,0)*VLOOKUP('Données projet'!$B$10,Paramètres!$A$1:$I$89,5,0)</f>
        <v>175.31800000000007</v>
      </c>
      <c r="AK34" s="14">
        <f t="shared" si="35"/>
        <v>44.27893503827304</v>
      </c>
      <c r="AL34" s="22">
        <f t="shared" si="4"/>
        <v>382.4646618583256</v>
      </c>
      <c r="AM34" s="62">
        <f t="shared" si="5"/>
        <v>675.79799519165886</v>
      </c>
      <c r="AN34" s="62">
        <f ca="1">AVERAGE(OFFSET($AM$3,0,0,'Données projet'!$E$10+1,1))-AVERAGE(OFFSET($H$3,0,0,'Données projet'!$E$10+1,1))</f>
        <v>625.17723604265689</v>
      </c>
      <c r="AO34" s="62">
        <f t="shared" si="36"/>
        <v>462.33909258902241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7.1794871794871797</v>
      </c>
      <c r="BD34" s="13">
        <f>IF('Données projet'!$A$88&gt;35,BD33+BC34-BL33,IF(A34&lt;'Données projet'!$A$88,$BA$205^A34,IF(A34='Données projet'!$A$88,'Données projet'!$B$88,BD33+BC34-BL33)))</f>
        <v>130.89743589743588</v>
      </c>
      <c r="BE34" s="14">
        <f>BD34*VLOOKUP('Données projet'!$B$11,Paramètres!$A$1:$I$89,3,0)*VLOOKUP('Données projet'!$B$11,Paramètres!$A$1:$I$89,5,0)</f>
        <v>124.56199999999998</v>
      </c>
      <c r="BF34" s="14">
        <f t="shared" si="37"/>
        <v>32.736689328514629</v>
      </c>
      <c r="BG34" s="22">
        <f t="shared" si="7"/>
        <v>273.96188391382958</v>
      </c>
      <c r="BH34" s="62">
        <f t="shared" si="8"/>
        <v>567.2952172471629</v>
      </c>
      <c r="BI34" s="62">
        <f ca="1">AVERAGE(OFFSET($BH$3,0,0,'Données projet'!$E$11+1,1))-AVERAGE(OFFSET($H$3,0,0,'Données projet'!$E$11+1,1))</f>
        <v>406.24139966722936</v>
      </c>
      <c r="BJ34" s="62">
        <f t="shared" si="38"/>
        <v>295.95724296920577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131.80000000000004</v>
      </c>
      <c r="BZ34" s="14">
        <f>BY34*VLOOKUP('Données projet'!$B$12,Paramètres!$A$1:$I$89,3,0)*VLOOKUP('Données projet'!$B$12,Paramètres!$A$1:$I$89,5,0)</f>
        <v>133.64520000000005</v>
      </c>
      <c r="CA34" s="14">
        <f t="shared" si="39"/>
        <v>34.837297589797402</v>
      </c>
      <c r="CB34" s="22">
        <f t="shared" si="10"/>
        <v>293.44034996889724</v>
      </c>
      <c r="CC34" s="62">
        <f t="shared" si="11"/>
        <v>586.77368330223055</v>
      </c>
      <c r="CD34" s="62">
        <f ca="1">AVERAGE(OFFSET($CC$3,0,0,'Données projet'!$E$12+1,1))-AVERAGE(OFFSET($H$3,0,0,'Données projet'!$E$12+1,1))</f>
        <v>565.72091871734051</v>
      </c>
      <c r="CE34" s="62">
        <f t="shared" si="40"/>
        <v>306.61893266146666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13.6</v>
      </c>
      <c r="CT34" s="13">
        <f>IF('Données projet'!$A$140&gt;35,CT33+CS34-DB33,IF(A34&lt;'Données projet'!$A$140,$CQ$205^A34,IF(A34='Données projet'!$A$140,'Données projet'!$B$140,CT33+CS34-DB33)))</f>
        <v>167.60000000000008</v>
      </c>
      <c r="CU34" s="18">
        <f>CT34*VLOOKUP('Données projet'!$B$13,Paramètres!$A$1:$I$89,3,0)*VLOOKUP('Données projet'!$B$13,Paramètres!$A$1:$I$89,5,0)</f>
        <v>146.41536000000008</v>
      </c>
      <c r="CV34" s="14">
        <f t="shared" si="41"/>
        <v>37.762820103024467</v>
      </c>
      <c r="CW34" s="22">
        <f t="shared" si="13"/>
        <v>320.77699701276771</v>
      </c>
      <c r="CX34" s="62">
        <f t="shared" si="14"/>
        <v>614.11033034610102</v>
      </c>
      <c r="CY34" s="62">
        <f ca="1">AVERAGE(OFFSET($CX$3,0,0,'Données projet'!$E$13+1,1))-AVERAGE(OFFSET($H$3,0,0,'Données projet'!$E$13+1,1))</f>
        <v>333.56306908115238</v>
      </c>
      <c r="CZ34" s="62">
        <f t="shared" si="42"/>
        <v>523.65456887919618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15.160000000000002</v>
      </c>
      <c r="DO34" s="13">
        <f>IF('Données projet'!$A$166&gt;35,DO33+DN34-DW33,IF(A34&lt;'Données projet'!$A$166,$DL$205^A34,IF(A34='Données projet'!$A$166,'Données projet'!$B$166,DO33+DN34-DW33)))</f>
        <v>178.36</v>
      </c>
      <c r="DP34" s="18">
        <f>DO34*VLOOKUP('Données projet'!$B$14,Paramètres!$A$1:$I$89,3,0)*VLOOKUP('Données projet'!$B$14,Paramètres!$A$1:$I$89,5,0)</f>
        <v>130.773552</v>
      </c>
      <c r="DQ34" s="14">
        <f t="shared" si="43"/>
        <v>34.175042722324982</v>
      </c>
      <c r="DR34" s="22">
        <f t="shared" si="16"/>
        <v>287.28546914138263</v>
      </c>
      <c r="DS34" s="62">
        <f t="shared" si="17"/>
        <v>580.61880247471595</v>
      </c>
      <c r="DT34" s="62">
        <f ca="1">AVERAGE(OFFSET($DS$3,0,0,'Données projet'!$E$14+1,1))-AVERAGE(OFFSET($H$3,0,0,'Données projet'!$E$14+1,1))</f>
        <v>397.24714625007675</v>
      </c>
      <c r="DU34" s="62">
        <f t="shared" si="44"/>
        <v>431.75775520200608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9">
        <f t="shared" si="1"/>
        <v>256.66666666666669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2">
        <f t="shared" si="0"/>
        <v>576.86852712790665</v>
      </c>
      <c r="S35" s="62">
        <f ca="1">AVERAGE(OFFSET($R$3,0,0,'Données projet'!$E$9+1,1))-AVERAGE(OFFSET($H$3,0,0,'Données projet'!$E$9+1,1))</f>
        <v>509.56241660612449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24.333333333333332</v>
      </c>
      <c r="AI35" s="14">
        <f>IF('Données projet'!$A$62&gt;35,AI34+AH35-AQ34,IF(A35&lt;'Données projet'!$A$62,$AF$205^A35,IF(A35='Données projet'!$A$62,'Données projet'!$B$62,AI34+AH35-AQ34)))</f>
        <v>228.66666666666674</v>
      </c>
      <c r="AJ35" s="14">
        <f>AI35*VLOOKUP('Données projet'!$B$10,Paramètres!$A$1:$I$89,3,0)*VLOOKUP('Données projet'!$B$10,Paramètres!$A$1:$I$89,5,0)</f>
        <v>196.19600000000008</v>
      </c>
      <c r="AK35" s="14">
        <f t="shared" si="35"/>
        <v>48.907231617752288</v>
      </c>
      <c r="AL35" s="22">
        <f t="shared" si="4"/>
        <v>426.88812840091873</v>
      </c>
      <c r="AM35" s="62">
        <f t="shared" si="5"/>
        <v>720.22146173425199</v>
      </c>
      <c r="AN35" s="62">
        <f ca="1">AVERAGE(OFFSET($AM$3,0,0,'Données projet'!$E$10+1,1))-AVERAGE(OFFSET($H$3,0,0,'Données projet'!$E$10+1,1))</f>
        <v>625.17723604265689</v>
      </c>
      <c r="AO35" s="62">
        <f t="shared" si="36"/>
        <v>462.33909258902241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7.1794871794871797</v>
      </c>
      <c r="BD35" s="13">
        <f>IF('Données projet'!$A$88&gt;35,BD34+BC35-BL34,IF(A35&lt;'Données projet'!$A$88,$BA$205^A35,IF(A35='Données projet'!$A$88,'Données projet'!$B$88,BD34+BC35-BL34)))</f>
        <v>138.07692307692307</v>
      </c>
      <c r="BE35" s="14">
        <f>BD35*VLOOKUP('Données projet'!$B$11,Paramètres!$A$1:$I$89,3,0)*VLOOKUP('Données projet'!$B$11,Paramètres!$A$1:$I$89,5,0)</f>
        <v>131.39400000000001</v>
      </c>
      <c r="BF35" s="14">
        <f t="shared" si="37"/>
        <v>34.318271576212204</v>
      </c>
      <c r="BG35" s="22">
        <f t="shared" si="7"/>
        <v>288.61553966190291</v>
      </c>
      <c r="BH35" s="62">
        <f t="shared" si="8"/>
        <v>581.94887299523623</v>
      </c>
      <c r="BI35" s="62">
        <f ca="1">AVERAGE(OFFSET($BH$3,0,0,'Données projet'!$E$11+1,1))-AVERAGE(OFFSET($H$3,0,0,'Données projet'!$E$11+1,1))</f>
        <v>406.24139966722936</v>
      </c>
      <c r="BJ35" s="62">
        <f t="shared" si="38"/>
        <v>295.95724296920577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142.60000000000005</v>
      </c>
      <c r="BZ35" s="14">
        <f>BY35*VLOOKUP('Données projet'!$B$12,Paramètres!$A$1:$I$89,3,0)*VLOOKUP('Données projet'!$B$12,Paramètres!$A$1:$I$89,5,0)</f>
        <v>144.59640000000007</v>
      </c>
      <c r="CA35" s="14">
        <f t="shared" si="39"/>
        <v>37.347988348805558</v>
      </c>
      <c r="CB35" s="22">
        <f t="shared" si="10"/>
        <v>316.88647637416977</v>
      </c>
      <c r="CC35" s="62">
        <f t="shared" si="11"/>
        <v>610.21980970750315</v>
      </c>
      <c r="CD35" s="62">
        <f ca="1">AVERAGE(OFFSET($CC$3,0,0,'Données projet'!$E$12+1,1))-AVERAGE(OFFSET($H$3,0,0,'Données projet'!$E$12+1,1))</f>
        <v>565.72091871734051</v>
      </c>
      <c r="CE35" s="62">
        <f t="shared" si="40"/>
        <v>306.61893266146666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13.6</v>
      </c>
      <c r="CT35" s="13">
        <f>IF('Données projet'!$A$140&gt;35,CT34+CS35-DB34,IF(A35&lt;'Données projet'!$A$140,$CQ$205^A35,IF(A35='Données projet'!$A$140,'Données projet'!$B$140,CT34+CS35-DB34)))</f>
        <v>181.20000000000007</v>
      </c>
      <c r="CU35" s="18">
        <f>CT35*VLOOKUP('Données projet'!$B$13,Paramètres!$A$1:$I$89,3,0)*VLOOKUP('Données projet'!$B$13,Paramètres!$A$1:$I$89,5,0)</f>
        <v>158.29632000000009</v>
      </c>
      <c r="CV35" s="14">
        <f t="shared" si="41"/>
        <v>40.458006540983739</v>
      </c>
      <c r="CW35" s="22">
        <f t="shared" si="13"/>
        <v>346.16378539221347</v>
      </c>
      <c r="CX35" s="62">
        <f t="shared" si="14"/>
        <v>639.49711872554678</v>
      </c>
      <c r="CY35" s="62">
        <f ca="1">AVERAGE(OFFSET($CX$3,0,0,'Données projet'!$E$13+1,1))-AVERAGE(OFFSET($H$3,0,0,'Données projet'!$E$13+1,1))</f>
        <v>333.56306908115238</v>
      </c>
      <c r="CZ35" s="62">
        <f t="shared" si="42"/>
        <v>523.65456887919618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15.160000000000002</v>
      </c>
      <c r="DO35" s="13">
        <f>IF('Données projet'!$A$166&gt;35,DO34+DN35-DW34,IF(A35&lt;'Données projet'!$A$166,$DL$205^A35,IF(A35='Données projet'!$A$166,'Données projet'!$B$166,DO34+DN35-DW34)))</f>
        <v>193.52</v>
      </c>
      <c r="DP35" s="18">
        <f>DO35*VLOOKUP('Données projet'!$B$14,Paramètres!$A$1:$I$89,3,0)*VLOOKUP('Données projet'!$B$14,Paramètres!$A$1:$I$89,5,0)</f>
        <v>141.88886399999998</v>
      </c>
      <c r="DQ35" s="14">
        <f t="shared" si="43"/>
        <v>36.729379629339569</v>
      </c>
      <c r="DR35" s="22">
        <f t="shared" si="16"/>
        <v>311.09344098776637</v>
      </c>
      <c r="DS35" s="62">
        <f t="shared" si="17"/>
        <v>604.42677432109963</v>
      </c>
      <c r="DT35" s="62">
        <f ca="1">AVERAGE(OFFSET($DS$3,0,0,'Données projet'!$E$14+1,1))-AVERAGE(OFFSET($H$3,0,0,'Données projet'!$E$14+1,1))</f>
        <v>397.24714625007675</v>
      </c>
      <c r="DU35" s="62">
        <f t="shared" si="44"/>
        <v>431.75775520200608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9">
        <f t="shared" si="1"/>
        <v>256.66666666666669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2">
        <f t="shared" si="0"/>
        <v>597.80704287706772</v>
      </c>
      <c r="S36" s="62">
        <f ca="1">AVERAGE(OFFSET($R$3,0,0,'Données projet'!$E$9+1,1))-AVERAGE(OFFSET($H$3,0,0,'Données projet'!$E$9+1,1))</f>
        <v>509.56241660612449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24.333333333333332</v>
      </c>
      <c r="AI36" s="14">
        <f>IF('Données projet'!$A$62&gt;35,AI35+AH36-AQ35,IF(A36&lt;'Données projet'!$A$62,$AF$205^A36,IF(A36='Données projet'!$A$62,'Données projet'!$B$62,AI35+AH36-AQ35)))</f>
        <v>253.00000000000009</v>
      </c>
      <c r="AJ36" s="14">
        <f>AI36*VLOOKUP('Données projet'!$B$10,Paramètres!$A$1:$I$89,3,0)*VLOOKUP('Données projet'!$B$10,Paramètres!$A$1:$I$89,5,0)</f>
        <v>217.0740000000001</v>
      </c>
      <c r="AK36" s="14">
        <f t="shared" si="35"/>
        <v>53.478439358974512</v>
      </c>
      <c r="AL36" s="22">
        <f t="shared" si="4"/>
        <v>471.21216521688075</v>
      </c>
      <c r="AM36" s="62">
        <f t="shared" si="5"/>
        <v>764.54549855021401</v>
      </c>
      <c r="AN36" s="62">
        <f ca="1">AVERAGE(OFFSET($AM$3,0,0,'Données projet'!$E$10+1,1))-AVERAGE(OFFSET($H$3,0,0,'Données projet'!$E$10+1,1))</f>
        <v>625.17723604265689</v>
      </c>
      <c r="AO36" s="62">
        <f t="shared" si="36"/>
        <v>462.33909258902241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7.1794871794871797</v>
      </c>
      <c r="BD36" s="13">
        <f>IF('Données projet'!$A$88&gt;35,BD35+BC36-BL35,IF(A36&lt;'Données projet'!$A$88,$BA$205^A36,IF(A36='Données projet'!$A$88,'Données projet'!$B$88,BD35+BC36-BL35)))</f>
        <v>145.25641025641025</v>
      </c>
      <c r="BE36" s="14">
        <f>BD36*VLOOKUP('Données projet'!$B$11,Paramètres!$A$1:$I$89,3,0)*VLOOKUP('Données projet'!$B$11,Paramètres!$A$1:$I$89,5,0)</f>
        <v>138.22599999999997</v>
      </c>
      <c r="BF36" s="14">
        <f t="shared" si="37"/>
        <v>35.890305873918834</v>
      </c>
      <c r="BG36" s="22">
        <f t="shared" si="7"/>
        <v>303.25256606374194</v>
      </c>
      <c r="BH36" s="62">
        <f t="shared" si="8"/>
        <v>596.58589939707531</v>
      </c>
      <c r="BI36" s="62">
        <f ca="1">AVERAGE(OFFSET($BH$3,0,0,'Données projet'!$E$11+1,1))-AVERAGE(OFFSET($H$3,0,0,'Données projet'!$E$11+1,1))</f>
        <v>406.24139966722936</v>
      </c>
      <c r="BJ36" s="62">
        <f t="shared" si="38"/>
        <v>295.95724296920577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153.40000000000006</v>
      </c>
      <c r="BZ36" s="14">
        <f>BY36*VLOOKUP('Données projet'!$B$12,Paramètres!$A$1:$I$89,3,0)*VLOOKUP('Données projet'!$B$12,Paramètres!$A$1:$I$89,5,0)</f>
        <v>155.54760000000007</v>
      </c>
      <c r="CA36" s="14">
        <f t="shared" si="39"/>
        <v>39.836620617816237</v>
      </c>
      <c r="CB36" s="22">
        <f t="shared" si="10"/>
        <v>340.2941842426967</v>
      </c>
      <c r="CC36" s="62">
        <f t="shared" si="11"/>
        <v>633.62751757602996</v>
      </c>
      <c r="CD36" s="62">
        <f ca="1">AVERAGE(OFFSET($CC$3,0,0,'Données projet'!$E$12+1,1))-AVERAGE(OFFSET($H$3,0,0,'Données projet'!$E$12+1,1))</f>
        <v>565.72091871734051</v>
      </c>
      <c r="CE36" s="62">
        <f t="shared" si="40"/>
        <v>306.61893266146666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13.6</v>
      </c>
      <c r="CT36" s="13">
        <f>IF('Données projet'!$A$140&gt;35,CT35+CS36-DB35,IF(A36&lt;'Données projet'!$A$140,$CQ$205^A36,IF(A36='Données projet'!$A$140,'Données projet'!$B$140,CT35+CS36-DB35)))</f>
        <v>194.80000000000007</v>
      </c>
      <c r="CU36" s="18">
        <f>CT36*VLOOKUP('Données projet'!$B$13,Paramètres!$A$1:$I$89,3,0)*VLOOKUP('Données projet'!$B$13,Paramètres!$A$1:$I$89,5,0)</f>
        <v>170.17728000000008</v>
      </c>
      <c r="CV36" s="14">
        <f t="shared" si="41"/>
        <v>43.129725999134671</v>
      </c>
      <c r="CW36" s="22">
        <f t="shared" si="13"/>
        <v>371.50970211515966</v>
      </c>
      <c r="CX36" s="62">
        <f t="shared" si="14"/>
        <v>664.84303544849297</v>
      </c>
      <c r="CY36" s="62">
        <f ca="1">AVERAGE(OFFSET($CX$3,0,0,'Données projet'!$E$13+1,1))-AVERAGE(OFFSET($H$3,0,0,'Données projet'!$E$13+1,1))</f>
        <v>333.56306908115238</v>
      </c>
      <c r="CZ36" s="62">
        <f t="shared" si="42"/>
        <v>523.65456887919618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15.160000000000002</v>
      </c>
      <c r="DO36" s="13">
        <f>IF('Données projet'!$A$166&gt;35,DO35+DN36-DW35,IF(A36&lt;'Données projet'!$A$166,$DL$205^A36,IF(A36='Données projet'!$A$166,'Données projet'!$B$166,DO35+DN36-DW35)))</f>
        <v>208.68</v>
      </c>
      <c r="DP36" s="18">
        <f>DO36*VLOOKUP('Données projet'!$B$14,Paramètres!$A$1:$I$89,3,0)*VLOOKUP('Données projet'!$B$14,Paramètres!$A$1:$I$89,5,0)</f>
        <v>153.004176</v>
      </c>
      <c r="DQ36" s="14">
        <f t="shared" si="43"/>
        <v>39.260505485462048</v>
      </c>
      <c r="DR36" s="22">
        <f t="shared" si="16"/>
        <v>334.86098692051308</v>
      </c>
      <c r="DS36" s="62">
        <f t="shared" si="17"/>
        <v>628.1943202538464</v>
      </c>
      <c r="DT36" s="62">
        <f ca="1">AVERAGE(OFFSET($DS$3,0,0,'Données projet'!$E$14+1,1))-AVERAGE(OFFSET($H$3,0,0,'Données projet'!$E$14+1,1))</f>
        <v>397.24714625007675</v>
      </c>
      <c r="DU36" s="62">
        <f t="shared" si="44"/>
        <v>431.75775520200608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9">
        <f t="shared" si="1"/>
        <v>256.66666666666669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2">
        <f t="shared" si="0"/>
        <v>618.71354371583652</v>
      </c>
      <c r="S37" s="62">
        <f ca="1">AVERAGE(OFFSET($R$3,0,0,'Données projet'!$E$9+1,1))-AVERAGE(OFFSET($H$3,0,0,'Données projet'!$E$9+1,1))</f>
        <v>509.56241660612449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24.333333333333332</v>
      </c>
      <c r="AI37" s="14">
        <f>IF('Données projet'!$A$62&gt;35,AI36+AH37-AQ36,IF(A37&lt;'Données projet'!$A$62,$AF$205^A37,IF(A37='Données projet'!$A$62,'Données projet'!$B$62,AI36+AH37-AQ36)))</f>
        <v>277.33333333333343</v>
      </c>
      <c r="AJ37" s="14">
        <f>AI37*VLOOKUP('Données projet'!$B$10,Paramètres!$A$1:$I$89,3,0)*VLOOKUP('Données projet'!$B$10,Paramètres!$A$1:$I$89,5,0)</f>
        <v>237.95200000000008</v>
      </c>
      <c r="AK37" s="14">
        <f t="shared" si="35"/>
        <v>57.99867376947342</v>
      </c>
      <c r="AL37" s="22">
        <f t="shared" si="4"/>
        <v>515.44742348183297</v>
      </c>
      <c r="AM37" s="62">
        <f t="shared" si="5"/>
        <v>808.78075681516634</v>
      </c>
      <c r="AN37" s="62">
        <f ca="1">AVERAGE(OFFSET($AM$3,0,0,'Données projet'!$E$10+1,1))-AVERAGE(OFFSET($H$3,0,0,'Données projet'!$E$10+1,1))</f>
        <v>625.17723604265689</v>
      </c>
      <c r="AO37" s="62">
        <f t="shared" si="36"/>
        <v>462.33909258902241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7.1794871794871797</v>
      </c>
      <c r="BD37" s="13">
        <f>IF('Données projet'!$A$88&gt;35,BD36+BC37-BL36,IF(A37&lt;'Données projet'!$A$88,$BA$205^A37,IF(A37='Données projet'!$A$88,'Données projet'!$B$88,BD36+BC37-BL36)))</f>
        <v>152.43589743589743</v>
      </c>
      <c r="BE37" s="14">
        <f>BD37*VLOOKUP('Données projet'!$B$11,Paramètres!$A$1:$I$89,3,0)*VLOOKUP('Données projet'!$B$11,Paramètres!$A$1:$I$89,5,0)</f>
        <v>145.05799999999999</v>
      </c>
      <c r="BF37" s="14">
        <f t="shared" si="37"/>
        <v>37.453317998658314</v>
      </c>
      <c r="BG37" s="22">
        <f t="shared" si="7"/>
        <v>317.87387884766321</v>
      </c>
      <c r="BH37" s="62">
        <f t="shared" si="8"/>
        <v>611.20721218099652</v>
      </c>
      <c r="BI37" s="62">
        <f ca="1">AVERAGE(OFFSET($BH$3,0,0,'Données projet'!$E$11+1,1))-AVERAGE(OFFSET($H$3,0,0,'Données projet'!$E$11+1,1))</f>
        <v>406.24139966722936</v>
      </c>
      <c r="BJ37" s="62">
        <f t="shared" si="38"/>
        <v>295.95724296920577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164.20000000000007</v>
      </c>
      <c r="BZ37" s="14">
        <f>BY37*VLOOKUP('Données projet'!$B$12,Paramètres!$A$1:$I$89,3,0)*VLOOKUP('Données projet'!$B$12,Paramètres!$A$1:$I$89,5,0)</f>
        <v>166.49880000000007</v>
      </c>
      <c r="CA37" s="14">
        <f t="shared" si="39"/>
        <v>42.304924050589179</v>
      </c>
      <c r="CB37" s="22">
        <f t="shared" si="10"/>
        <v>363.66648605477627</v>
      </c>
      <c r="CC37" s="62">
        <f t="shared" si="11"/>
        <v>656.99981938810959</v>
      </c>
      <c r="CD37" s="62">
        <f ca="1">AVERAGE(OFFSET($CC$3,0,0,'Données projet'!$E$12+1,1))-AVERAGE(OFFSET($H$3,0,0,'Données projet'!$E$12+1,1))</f>
        <v>565.72091871734051</v>
      </c>
      <c r="CE37" s="62">
        <f t="shared" si="40"/>
        <v>306.61893266146666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13.6</v>
      </c>
      <c r="CT37" s="13">
        <f>IF('Données projet'!$A$140&gt;35,CT36+CS37-DB36,IF(A37&lt;'Données projet'!$A$140,$CQ$205^A37,IF(A37='Données projet'!$A$140,'Données projet'!$B$140,CT36+CS37-DB36)))</f>
        <v>208.40000000000006</v>
      </c>
      <c r="CU37" s="18">
        <f>CT37*VLOOKUP('Données projet'!$B$13,Paramètres!$A$1:$I$89,3,0)*VLOOKUP('Données projet'!$B$13,Paramètres!$A$1:$I$89,5,0)</f>
        <v>182.0582400000001</v>
      </c>
      <c r="CV37" s="14">
        <f t="shared" si="41"/>
        <v>45.779803189729343</v>
      </c>
      <c r="CW37" s="22">
        <f t="shared" si="13"/>
        <v>396.81792522211208</v>
      </c>
      <c r="CX37" s="62">
        <f t="shared" si="14"/>
        <v>690.15125855544534</v>
      </c>
      <c r="CY37" s="62">
        <f ca="1">AVERAGE(OFFSET($CX$3,0,0,'Données projet'!$E$13+1,1))-AVERAGE(OFFSET($H$3,0,0,'Données projet'!$E$13+1,1))</f>
        <v>333.56306908115238</v>
      </c>
      <c r="CZ37" s="62">
        <f t="shared" si="42"/>
        <v>523.65456887919618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15.160000000000002</v>
      </c>
      <c r="DO37" s="13">
        <f>IF('Données projet'!$A$166&gt;35,DO36+DN37-DW36,IF(A37&lt;'Données projet'!$A$166,$DL$205^A37,IF(A37='Données projet'!$A$166,'Données projet'!$B$166,DO36+DN37-DW36)))</f>
        <v>223.84</v>
      </c>
      <c r="DP37" s="18">
        <f>DO37*VLOOKUP('Données projet'!$B$14,Paramètres!$A$1:$I$89,3,0)*VLOOKUP('Données projet'!$B$14,Paramètres!$A$1:$I$89,5,0)</f>
        <v>164.11948799999999</v>
      </c>
      <c r="DQ37" s="14">
        <f t="shared" si="43"/>
        <v>41.770298269602335</v>
      </c>
      <c r="DR37" s="22">
        <f t="shared" si="16"/>
        <v>358.59137775289076</v>
      </c>
      <c r="DS37" s="62">
        <f t="shared" si="17"/>
        <v>651.92471108622408</v>
      </c>
      <c r="DT37" s="62">
        <f ca="1">AVERAGE(OFFSET($DS$3,0,0,'Données projet'!$E$14+1,1))-AVERAGE(OFFSET($H$3,0,0,'Données projet'!$E$14+1,1))</f>
        <v>397.24714625007675</v>
      </c>
      <c r="DU37" s="62">
        <f t="shared" si="44"/>
        <v>431.75775520200608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9">
        <f t="shared" si="1"/>
        <v>256.66666666666669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2">
        <f t="shared" si="0"/>
        <v>639.59037499870374</v>
      </c>
      <c r="S38" s="62">
        <f ca="1">AVERAGE(OFFSET($R$3,0,0,'Données projet'!$E$9+1,1))-AVERAGE(OFFSET($H$3,0,0,'Données projet'!$E$9+1,1))</f>
        <v>509.56241660612449</v>
      </c>
      <c r="T38" s="62">
        <f t="shared" si="34"/>
        <v>278.21741231699929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24.333333333333332</v>
      </c>
      <c r="AI38" s="14">
        <f>IF('Données projet'!$A$62&gt;35,AI37+AH38-AQ37,IF(A38&lt;'Données projet'!$A$62,$AF$205^A38,IF(A38='Données projet'!$A$62,'Données projet'!$B$62,AI37+AH38-AQ37)))</f>
        <v>301.66666666666674</v>
      </c>
      <c r="AJ38" s="14">
        <f>AI38*VLOOKUP('Données projet'!$B$10,Paramètres!$A$1:$I$89,3,0)*VLOOKUP('Données projet'!$B$10,Paramètres!$A$1:$I$89,5,0)</f>
        <v>258.8300000000001</v>
      </c>
      <c r="AK38" s="14">
        <f t="shared" si="35"/>
        <v>62.472915810291624</v>
      </c>
      <c r="AL38" s="22">
        <f t="shared" si="4"/>
        <v>559.60257836959147</v>
      </c>
      <c r="AM38" s="62">
        <f t="shared" si="5"/>
        <v>852.93591170292484</v>
      </c>
      <c r="AN38" s="62">
        <f ca="1">AVERAGE(OFFSET($AM$3,0,0,'Données projet'!$E$10+1,1))-AVERAGE(OFFSET($H$3,0,0,'Données projet'!$E$10+1,1))</f>
        <v>625.17723604265689</v>
      </c>
      <c r="AO38" s="62">
        <f t="shared" si="36"/>
        <v>462.33909258902241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159.61538461538461</v>
      </c>
      <c r="BB38" s="13">
        <f>VLOOKUP(A38,'Données projet'!$A$87:$I$107,9,0)</f>
        <v>7.1794871794871797</v>
      </c>
      <c r="BC38" s="13">
        <f t="array" ref="BC38">INDEX(BB:BB,MIN(IF(ISNUMBER(BB38:BB234),ROW(BB38:BB234),"")))</f>
        <v>7.1794871794871797</v>
      </c>
      <c r="BD38" s="13">
        <f>IF('Données projet'!$A$88&gt;35,BD37+BC38-BL37,IF(A38&lt;'Données projet'!$A$88,$BA$205^A38,IF(A38='Données projet'!$A$88,'Données projet'!$B$88,BD37+BC38-BL37)))</f>
        <v>159.61538461538461</v>
      </c>
      <c r="BE38" s="14">
        <f>BD38*VLOOKUP('Données projet'!$B$11,Paramètres!$A$1:$I$89,3,0)*VLOOKUP('Données projet'!$B$11,Paramètres!$A$1:$I$89,5,0)</f>
        <v>151.89000000000001</v>
      </c>
      <c r="BF38" s="14">
        <f t="shared" si="37"/>
        <v>39.007781402191782</v>
      </c>
      <c r="BG38" s="22">
        <f t="shared" si="7"/>
        <v>332.48030260881734</v>
      </c>
      <c r="BH38" s="62">
        <f t="shared" si="8"/>
        <v>625.81363594215065</v>
      </c>
      <c r="BI38" s="62">
        <f ca="1">AVERAGE(OFFSET($BH$3,0,0,'Données projet'!$E$11+1,1))-AVERAGE(OFFSET($H$3,0,0,'Données projet'!$E$11+1,1))</f>
        <v>406.24139966722936</v>
      </c>
      <c r="BJ38" s="62">
        <f t="shared" si="38"/>
        <v>295.95724296920577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33.333333333333336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175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175.00000000000009</v>
      </c>
      <c r="BZ38" s="14">
        <f>BY38*VLOOKUP('Données projet'!$B$12,Paramètres!$A$1:$I$89,3,0)*VLOOKUP('Données projet'!$B$12,Paramètres!$A$1:$I$89,5,0)</f>
        <v>177.4500000000001</v>
      </c>
      <c r="CA38" s="14">
        <f t="shared" si="39"/>
        <v>44.754387900936791</v>
      </c>
      <c r="CB38" s="22">
        <f t="shared" si="10"/>
        <v>387.00597559413177</v>
      </c>
      <c r="CC38" s="62">
        <f t="shared" si="11"/>
        <v>680.33930892746503</v>
      </c>
      <c r="CD38" s="62">
        <f ca="1">AVERAGE(OFFSET($CC$3,0,0,'Données projet'!$E$12+1,1))-AVERAGE(OFFSET($H$3,0,0,'Données projet'!$E$12+1,1))</f>
        <v>565.72091871734051</v>
      </c>
      <c r="CE38" s="62">
        <f t="shared" si="40"/>
        <v>306.61893266146666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56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222</v>
      </c>
      <c r="CR38" s="13">
        <f>VLOOKUP(A38,'Données projet'!$A$139:$I$159,9,0)</f>
        <v>13.6</v>
      </c>
      <c r="CS38" s="13">
        <f t="array" ref="CS38">INDEX(CR:CR,MIN(IF(ISNUMBER(CR38:CR234),ROW(CR38:CR234),"")))</f>
        <v>13.6</v>
      </c>
      <c r="CT38" s="13">
        <f>IF('Données projet'!$A$140&gt;35,CT37+CS38-DB37,IF(A38&lt;'Données projet'!$A$140,$CQ$205^A38,IF(A38='Données projet'!$A$140,'Données projet'!$B$140,CT37+CS38-DB37)))</f>
        <v>222.00000000000006</v>
      </c>
      <c r="CU38" s="18">
        <f>CT38*VLOOKUP('Données projet'!$B$13,Paramètres!$A$1:$I$89,3,0)*VLOOKUP('Données projet'!$B$13,Paramètres!$A$1:$I$89,5,0)</f>
        <v>193.93920000000008</v>
      </c>
      <c r="CV38" s="14">
        <f t="shared" si="41"/>
        <v>48.409811198069384</v>
      </c>
      <c r="CW38" s="22">
        <f t="shared" si="13"/>
        <v>422.09119450330428</v>
      </c>
      <c r="CX38" s="62">
        <f t="shared" si="14"/>
        <v>715.42452783663759</v>
      </c>
      <c r="CY38" s="62">
        <f ca="1">AVERAGE(OFFSET($CX$3,0,0,'Données projet'!$E$13+1,1))-AVERAGE(OFFSET($H$3,0,0,'Données projet'!$E$13+1,1))</f>
        <v>333.56306908115238</v>
      </c>
      <c r="CZ38" s="62">
        <f t="shared" si="42"/>
        <v>523.65456887919618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239</v>
      </c>
      <c r="DM38" s="13">
        <f>VLOOKUP(A38,'Données projet'!$A$165:$I$185,9,0)</f>
        <v>15.160000000000002</v>
      </c>
      <c r="DN38" s="13">
        <f t="array" ref="DN38">INDEX(DM:DM,MIN(IF(ISNUMBER(DM38:DM234),ROW(DM38:DM234),"")))</f>
        <v>15.160000000000002</v>
      </c>
      <c r="DO38" s="13">
        <f>IF('Données projet'!$A$166&gt;35,DO37+DN38-DW37,IF(A38&lt;'Données projet'!$A$166,$DL$205^A38,IF(A38='Données projet'!$A$166,'Données projet'!$B$166,DO37+DN38-DW37)))</f>
        <v>239</v>
      </c>
      <c r="DP38" s="18">
        <f>DO38*VLOOKUP('Données projet'!$B$14,Paramètres!$A$1:$I$89,3,0)*VLOOKUP('Données projet'!$B$14,Paramètres!$A$1:$I$89,5,0)</f>
        <v>175.23480000000001</v>
      </c>
      <c r="DQ38" s="14">
        <f t="shared" si="43"/>
        <v>44.260367185241513</v>
      </c>
      <c r="DR38" s="22">
        <f t="shared" si="16"/>
        <v>382.28741618096228</v>
      </c>
      <c r="DS38" s="62">
        <f t="shared" si="17"/>
        <v>675.62074951429554</v>
      </c>
      <c r="DT38" s="62">
        <f ca="1">AVERAGE(OFFSET($DS$3,0,0,'Données projet'!$E$14+1,1))-AVERAGE(OFFSET($H$3,0,0,'Données projet'!$E$14+1,1))</f>
        <v>397.24714625007675</v>
      </c>
      <c r="DU38" s="62">
        <f t="shared" si="44"/>
        <v>431.75775520200608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9">
        <f t="shared" si="1"/>
        <v>256.66666666666669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509.56241660612449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326</v>
      </c>
      <c r="AG39" s="13">
        <f>VLOOKUP(A39,'Données projet'!$A$61:$I$81,9,0)</f>
        <v>24.333333333333332</v>
      </c>
      <c r="AH39" s="13">
        <f t="array" ref="AH39">INDEX(AG:AG,MIN(IF(ISNUMBER(AG39:AG235),ROW(AG39:AG235),"")))</f>
        <v>24.333333333333332</v>
      </c>
      <c r="AI39" s="14">
        <f>IF('Données projet'!$A$62&gt;35,AI38+AH39-AQ38,IF(A39&lt;'Données projet'!$A$62,$AF$205^A39,IF(A39='Données projet'!$A$62,'Données projet'!$B$62,AI38+AH39-AQ38)))</f>
        <v>326.00000000000006</v>
      </c>
      <c r="AJ39" s="14">
        <f>AI39*VLOOKUP('Données projet'!$B$10,Paramètres!$A$1:$I$89,3,0)*VLOOKUP('Données projet'!$B$10,Paramètres!$A$1:$I$89,5,0)</f>
        <v>279.70800000000008</v>
      </c>
      <c r="AK39" s="14">
        <f t="shared" si="35"/>
        <v>66.905297140324564</v>
      </c>
      <c r="AL39" s="22">
        <f t="shared" si="4"/>
        <v>603.68482585273216</v>
      </c>
      <c r="AM39" s="62">
        <f t="shared" si="5"/>
        <v>897.01815918606553</v>
      </c>
      <c r="AN39" s="62">
        <f ca="1">AVERAGE(OFFSET($AM$3,0,0,'Données projet'!$E$10+1,1))-AVERAGE(OFFSET($H$3,0,0,'Données projet'!$E$10+1,1))</f>
        <v>625.17723604265689</v>
      </c>
      <c r="AO39" s="62">
        <f t="shared" si="36"/>
        <v>462.33909258902241</v>
      </c>
      <c r="AP39" s="16">
        <f>IF(ISNA(VLOOKUP(A39,'Données projet'!$A$61:$I$81,3,0)),0,VLOOKUP(A39,'Données projet'!$A$61:$I$81,3,0))</f>
        <v>6</v>
      </c>
      <c r="AQ39" s="16">
        <f>IF(ISNA(VLOOKUP(A39,'Données projet'!$A$61:$I$81,4,0)),0,VLOOKUP(A39,'Données projet'!$A$61:$I$81,4,0))</f>
        <v>92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6.7948717948717956</v>
      </c>
      <c r="BD39" s="13">
        <f>IF('Données projet'!$A$88&gt;35,BD38+BC39-BL38,IF(A39&lt;'Données projet'!$A$88,$BA$205^A39,IF(A39='Données projet'!$A$88,'Données projet'!$B$88,BD38+BC39-BL38)))</f>
        <v>133.07692307692307</v>
      </c>
      <c r="BE39" s="14">
        <f>BD39*VLOOKUP('Données projet'!$B$11,Paramètres!$A$1:$I$89,3,0)*VLOOKUP('Données projet'!$B$11,Paramètres!$A$1:$I$89,5,0)</f>
        <v>126.636</v>
      </c>
      <c r="BF39" s="14">
        <f t="shared" si="37"/>
        <v>33.217855596652925</v>
      </c>
      <c r="BG39" s="22">
        <f t="shared" si="7"/>
        <v>278.41213183083715</v>
      </c>
      <c r="BH39" s="62">
        <f t="shared" si="8"/>
        <v>571.74546516417047</v>
      </c>
      <c r="BI39" s="62">
        <f ca="1">AVERAGE(OFFSET($BH$3,0,0,'Données projet'!$E$11+1,1))-AVERAGE(OFFSET($H$3,0,0,'Données projet'!$E$11+1,1))</f>
        <v>406.24139966722936</v>
      </c>
      <c r="BJ39" s="62">
        <f t="shared" si="38"/>
        <v>295.95724296920577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130.20000000000007</v>
      </c>
      <c r="BZ39" s="14">
        <f>BY39*VLOOKUP('Données projet'!$B$12,Paramètres!$A$1:$I$89,3,0)*VLOOKUP('Données projet'!$B$12,Paramètres!$A$1:$I$89,5,0)</f>
        <v>132.02280000000007</v>
      </c>
      <c r="CA39" s="14">
        <f t="shared" si="39"/>
        <v>34.463348169992798</v>
      </c>
      <c r="CB39" s="22">
        <f t="shared" si="10"/>
        <v>289.96337472940422</v>
      </c>
      <c r="CC39" s="62">
        <f t="shared" si="11"/>
        <v>583.29670806273748</v>
      </c>
      <c r="CD39" s="62">
        <f ca="1">AVERAGE(OFFSET($CC$3,0,0,'Données projet'!$E$12+1,1))-AVERAGE(OFFSET($H$3,0,0,'Données projet'!$E$12+1,1))</f>
        <v>565.72091871734051</v>
      </c>
      <c r="CE39" s="62">
        <f t="shared" si="40"/>
        <v>306.61893266146666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12.4</v>
      </c>
      <c r="CT39" s="13">
        <f>IF('Données projet'!$A$140&gt;35,CT38+CS39-DB38,IF(A39&lt;'Données projet'!$A$140,$CQ$205^A39,IF(A39='Données projet'!$A$140,'Données projet'!$B$140,CT38+CS39-DB38)))</f>
        <v>234.40000000000006</v>
      </c>
      <c r="CU39" s="18">
        <f>CT39*VLOOKUP('Données projet'!$B$13,Paramètres!$A$1:$I$89,3,0)*VLOOKUP('Données projet'!$B$13,Paramètres!$A$1:$I$89,5,0)</f>
        <v>204.77184000000005</v>
      </c>
      <c r="CV39" s="14">
        <f t="shared" si="41"/>
        <v>50.791430258117089</v>
      </c>
      <c r="CW39" s="22">
        <f t="shared" si="13"/>
        <v>445.10602903288731</v>
      </c>
      <c r="CX39" s="62">
        <f t="shared" si="14"/>
        <v>738.43936236622062</v>
      </c>
      <c r="CY39" s="62">
        <f ca="1">AVERAGE(OFFSET($CX$3,0,0,'Données projet'!$E$13+1,1))-AVERAGE(OFFSET($H$3,0,0,'Données projet'!$E$13+1,1))</f>
        <v>333.56306908115238</v>
      </c>
      <c r="CZ39" s="62">
        <f t="shared" si="42"/>
        <v>523.65456887919618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13.280000000000006</v>
      </c>
      <c r="DO39" s="13">
        <f>IF('Données projet'!$A$166&gt;35,DO38+DN39-DW38,IF(A39&lt;'Données projet'!$A$166,$DL$205^A39,IF(A39='Données projet'!$A$166,'Données projet'!$B$166,DO38+DN39-DW38)))</f>
        <v>252.28</v>
      </c>
      <c r="DP39" s="18">
        <f>DO39*VLOOKUP('Données projet'!$B$14,Paramètres!$A$1:$I$89,3,0)*VLOOKUP('Données projet'!$B$14,Paramètres!$A$1:$I$89,5,0)</f>
        <v>184.97169599999998</v>
      </c>
      <c r="DQ39" s="14">
        <f t="shared" si="43"/>
        <v>46.426536852371711</v>
      </c>
      <c r="DR39" s="22">
        <f t="shared" si="16"/>
        <v>403.01858888454734</v>
      </c>
      <c r="DS39" s="62">
        <f t="shared" si="17"/>
        <v>696.35192221788066</v>
      </c>
      <c r="DT39" s="62">
        <f ca="1">AVERAGE(OFFSET($DS$3,0,0,'Données projet'!$E$14+1,1))-AVERAGE(OFFSET($H$3,0,0,'Données projet'!$E$14+1,1))</f>
        <v>397.24714625007675</v>
      </c>
      <c r="DU39" s="62">
        <f t="shared" si="44"/>
        <v>431.75775520200608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9">
        <f t="shared" si="1"/>
        <v>256.66666666666669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509.56241660612449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22.166666666666668</v>
      </c>
      <c r="AI40" s="14">
        <f>IF('Données projet'!$A$62&gt;35,AI39+AH40-AQ39,IF(A40&lt;'Données projet'!$A$62,$AF$205^A40,IF(A40='Données projet'!$A$62,'Données projet'!$B$62,AI39+AH40-AQ39)))</f>
        <v>256.16666666666674</v>
      </c>
      <c r="AJ40" s="14">
        <f>AI40*VLOOKUP('Données projet'!$B$10,Paramètres!$A$1:$I$89,3,0)*VLOOKUP('Données projet'!$B$10,Paramètres!$A$1:$I$89,5,0)</f>
        <v>219.79100000000008</v>
      </c>
      <c r="AK40" s="14">
        <f t="shared" si="35"/>
        <v>54.069458090781318</v>
      </c>
      <c r="AL40" s="22">
        <f t="shared" si="4"/>
        <v>476.97363117477761</v>
      </c>
      <c r="AM40" s="62">
        <f t="shared" si="5"/>
        <v>770.30696450811092</v>
      </c>
      <c r="AN40" s="62">
        <f ca="1">AVERAGE(OFFSET($AM$3,0,0,'Données projet'!$E$10+1,1))-AVERAGE(OFFSET($H$3,0,0,'Données projet'!$E$10+1,1))</f>
        <v>625.17723604265689</v>
      </c>
      <c r="AO40" s="62">
        <f t="shared" si="36"/>
        <v>462.33909258902241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6.7948717948717956</v>
      </c>
      <c r="BD40" s="13">
        <f>IF('Données projet'!$A$88&gt;35,BD39+BC40-BL39,IF(A40&lt;'Données projet'!$A$88,$BA$205^A40,IF(A40='Données projet'!$A$88,'Données projet'!$B$88,BD39+BC40-BL39)))</f>
        <v>139.87179487179486</v>
      </c>
      <c r="BE40" s="14">
        <f>BD40*VLOOKUP('Données projet'!$B$11,Paramètres!$A$1:$I$89,3,0)*VLOOKUP('Données projet'!$B$11,Paramètres!$A$1:$I$89,5,0)</f>
        <v>133.102</v>
      </c>
      <c r="BF40" s="14">
        <f t="shared" si="37"/>
        <v>34.712153760745615</v>
      </c>
      <c r="BG40" s="22">
        <f t="shared" si="7"/>
        <v>292.27631779996528</v>
      </c>
      <c r="BH40" s="62">
        <f t="shared" si="8"/>
        <v>585.6096511332986</v>
      </c>
      <c r="BI40" s="62">
        <f ca="1">AVERAGE(OFFSET($BH$3,0,0,'Données projet'!$E$11+1,1))-AVERAGE(OFFSET($H$3,0,0,'Données projet'!$E$11+1,1))</f>
        <v>406.24139966722936</v>
      </c>
      <c r="BJ40" s="62">
        <f t="shared" si="38"/>
        <v>295.95724296920577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141.40000000000006</v>
      </c>
      <c r="BZ40" s="14">
        <f>BY40*VLOOKUP('Données projet'!$B$12,Paramètres!$A$1:$I$89,3,0)*VLOOKUP('Données projet'!$B$12,Paramètres!$A$1:$I$89,5,0)</f>
        <v>143.37960000000007</v>
      </c>
      <c r="CA40" s="14">
        <f t="shared" si="39"/>
        <v>37.070146308317504</v>
      </c>
      <c r="CB40" s="22">
        <f t="shared" si="10"/>
        <v>314.28330815365308</v>
      </c>
      <c r="CC40" s="62">
        <f t="shared" si="11"/>
        <v>607.6166414869864</v>
      </c>
      <c r="CD40" s="62">
        <f ca="1">AVERAGE(OFFSET($CC$3,0,0,'Données projet'!$E$12+1,1))-AVERAGE(OFFSET($H$3,0,0,'Données projet'!$E$12+1,1))</f>
        <v>565.72091871734051</v>
      </c>
      <c r="CE40" s="62">
        <f t="shared" si="40"/>
        <v>306.61893266146666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12.4</v>
      </c>
      <c r="CT40" s="13">
        <f>IF('Données projet'!$A$140&gt;35,CT39+CS40-DB39,IF(A40&lt;'Données projet'!$A$140,$CQ$205^A40,IF(A40='Données projet'!$A$140,'Données projet'!$B$140,CT39+CS40-DB39)))</f>
        <v>246.80000000000007</v>
      </c>
      <c r="CU40" s="18">
        <f>CT40*VLOOKUP('Données projet'!$B$13,Paramètres!$A$1:$I$89,3,0)*VLOOKUP('Données projet'!$B$13,Paramètres!$A$1:$I$89,5,0)</f>
        <v>215.60448000000008</v>
      </c>
      <c r="CV40" s="14">
        <f t="shared" si="41"/>
        <v>53.158421929211947</v>
      </c>
      <c r="CW40" s="22">
        <f t="shared" si="13"/>
        <v>468.09538752671097</v>
      </c>
      <c r="CX40" s="62">
        <f t="shared" si="14"/>
        <v>761.42872086004422</v>
      </c>
      <c r="CY40" s="62">
        <f ca="1">AVERAGE(OFFSET($CX$3,0,0,'Données projet'!$E$13+1,1))-AVERAGE(OFFSET($H$3,0,0,'Données projet'!$E$13+1,1))</f>
        <v>333.56306908115238</v>
      </c>
      <c r="CZ40" s="62">
        <f t="shared" si="42"/>
        <v>523.65456887919618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13.280000000000006</v>
      </c>
      <c r="DO40" s="13">
        <f>IF('Données projet'!$A$166&gt;35,DO39+DN40-DW39,IF(A40&lt;'Données projet'!$A$166,$DL$205^A40,IF(A40='Données projet'!$A$166,'Données projet'!$B$166,DO39+DN40-DW39)))</f>
        <v>265.56</v>
      </c>
      <c r="DP40" s="18">
        <f>DO40*VLOOKUP('Données projet'!$B$14,Paramètres!$A$1:$I$89,3,0)*VLOOKUP('Données projet'!$B$14,Paramètres!$A$1:$I$89,5,0)</f>
        <v>194.70859200000001</v>
      </c>
      <c r="DQ40" s="14">
        <f t="shared" si="43"/>
        <v>48.579467901667009</v>
      </c>
      <c r="DR40" s="22">
        <f t="shared" si="16"/>
        <v>423.72670432873673</v>
      </c>
      <c r="DS40" s="62">
        <f t="shared" si="17"/>
        <v>717.06003766207004</v>
      </c>
      <c r="DT40" s="62">
        <f ca="1">AVERAGE(OFFSET($DS$3,0,0,'Données projet'!$E$14+1,1))-AVERAGE(OFFSET($H$3,0,0,'Données projet'!$E$14+1,1))</f>
        <v>397.24714625007675</v>
      </c>
      <c r="DU40" s="62">
        <f t="shared" si="44"/>
        <v>431.75775520200608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9">
        <f t="shared" si="1"/>
        <v>256.66666666666669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2">
        <f t="shared" si="0"/>
        <v>596.25717061705507</v>
      </c>
      <c r="S41" s="62">
        <f ca="1">AVERAGE(OFFSET($R$3,0,0,'Données projet'!$E$9+1,1))-AVERAGE(OFFSET($H$3,0,0,'Données projet'!$E$9+1,1))</f>
        <v>509.56241660612449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22.166666666666668</v>
      </c>
      <c r="AI41" s="14">
        <f>IF('Données projet'!$A$62&gt;35,AI40+AH41-AQ40,IF(A41&lt;'Données projet'!$A$62,$AF$205^A41,IF(A41='Données projet'!$A$62,'Données projet'!$B$62,AI40+AH41-AQ40)))</f>
        <v>278.33333333333343</v>
      </c>
      <c r="AJ41" s="14">
        <f>AI41*VLOOKUP('Données projet'!$B$10,Paramètres!$A$1:$I$89,3,0)*VLOOKUP('Données projet'!$B$10,Paramètres!$A$1:$I$89,5,0)</f>
        <v>238.81000000000012</v>
      </c>
      <c r="AK41" s="14">
        <f t="shared" si="35"/>
        <v>58.183422163472152</v>
      </c>
      <c r="AL41" s="22">
        <f t="shared" si="4"/>
        <v>517.26354360138077</v>
      </c>
      <c r="AM41" s="62">
        <f t="shared" si="5"/>
        <v>810.59687693471415</v>
      </c>
      <c r="AN41" s="62">
        <f ca="1">AVERAGE(OFFSET($AM$3,0,0,'Données projet'!$E$10+1,1))-AVERAGE(OFFSET($H$3,0,0,'Données projet'!$E$10+1,1))</f>
        <v>625.17723604265689</v>
      </c>
      <c r="AO41" s="62">
        <f t="shared" si="36"/>
        <v>462.33909258902241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6.7948717948717956</v>
      </c>
      <c r="BD41" s="13">
        <f>IF('Données projet'!$A$88&gt;35,BD40+BC41-BL40,IF(A41&lt;'Données projet'!$A$88,$BA$205^A41,IF(A41='Données projet'!$A$88,'Données projet'!$B$88,BD40+BC41-BL40)))</f>
        <v>146.66666666666666</v>
      </c>
      <c r="BE41" s="14">
        <f>BD41*VLOOKUP('Données projet'!$B$11,Paramètres!$A$1:$I$89,3,0)*VLOOKUP('Données projet'!$B$11,Paramètres!$A$1:$I$89,5,0)</f>
        <v>139.56799999999998</v>
      </c>
      <c r="BF41" s="14">
        <f t="shared" si="37"/>
        <v>36.198022567902299</v>
      </c>
      <c r="BG41" s="22">
        <f t="shared" si="7"/>
        <v>306.12582263909644</v>
      </c>
      <c r="BH41" s="62">
        <f t="shared" si="8"/>
        <v>599.4591559724297</v>
      </c>
      <c r="BI41" s="62">
        <f ca="1">AVERAGE(OFFSET($BH$3,0,0,'Données projet'!$E$11+1,1))-AVERAGE(OFFSET($H$3,0,0,'Données projet'!$E$11+1,1))</f>
        <v>406.24139966722936</v>
      </c>
      <c r="BJ41" s="62">
        <f t="shared" si="38"/>
        <v>295.95724296920577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152.60000000000005</v>
      </c>
      <c r="BZ41" s="14">
        <f>BY41*VLOOKUP('Données projet'!$B$12,Paramètres!$A$1:$I$89,3,0)*VLOOKUP('Données projet'!$B$12,Paramètres!$A$1:$I$89,5,0)</f>
        <v>154.73640000000006</v>
      </c>
      <c r="CA41" s="14">
        <f t="shared" si="39"/>
        <v>39.652994320183701</v>
      </c>
      <c r="CB41" s="22">
        <f t="shared" si="10"/>
        <v>338.56152844098671</v>
      </c>
      <c r="CC41" s="62">
        <f t="shared" si="11"/>
        <v>631.89486177432002</v>
      </c>
      <c r="CD41" s="62">
        <f ca="1">AVERAGE(OFFSET($CC$3,0,0,'Données projet'!$E$12+1,1))-AVERAGE(OFFSET($H$3,0,0,'Données projet'!$E$12+1,1))</f>
        <v>565.72091871734051</v>
      </c>
      <c r="CE41" s="62">
        <f t="shared" si="40"/>
        <v>306.61893266146666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12.4</v>
      </c>
      <c r="CT41" s="13">
        <f>IF('Données projet'!$A$140&gt;35,CT40+CS41-DB40,IF(A41&lt;'Données projet'!$A$140,$CQ$205^A41,IF(A41='Données projet'!$A$140,'Données projet'!$B$140,CT40+CS41-DB40)))</f>
        <v>259.20000000000005</v>
      </c>
      <c r="CU41" s="18">
        <f>CT41*VLOOKUP('Données projet'!$B$13,Paramètres!$A$1:$I$89,3,0)*VLOOKUP('Données projet'!$B$13,Paramètres!$A$1:$I$89,5,0)</f>
        <v>226.43712000000008</v>
      </c>
      <c r="CV41" s="14">
        <f t="shared" si="41"/>
        <v>55.51160499337535</v>
      </c>
      <c r="CW41" s="22">
        <f t="shared" si="13"/>
        <v>491.0606960301289</v>
      </c>
      <c r="CX41" s="62">
        <f t="shared" si="14"/>
        <v>784.39402936346221</v>
      </c>
      <c r="CY41" s="62">
        <f ca="1">AVERAGE(OFFSET($CX$3,0,0,'Données projet'!$E$13+1,1))-AVERAGE(OFFSET($H$3,0,0,'Données projet'!$E$13+1,1))</f>
        <v>333.56306908115238</v>
      </c>
      <c r="CZ41" s="62">
        <f t="shared" si="42"/>
        <v>523.65456887919618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13.280000000000006</v>
      </c>
      <c r="DO41" s="13">
        <f>IF('Données projet'!$A$166&gt;35,DO40+DN41-DW40,IF(A41&lt;'Données projet'!$A$166,$DL$205^A41,IF(A41='Données projet'!$A$166,'Données projet'!$B$166,DO40+DN41-DW40)))</f>
        <v>278.84000000000003</v>
      </c>
      <c r="DP41" s="18">
        <f>DO41*VLOOKUP('Données projet'!$B$14,Paramètres!$A$1:$I$89,3,0)*VLOOKUP('Données projet'!$B$14,Paramètres!$A$1:$I$89,5,0)</f>
        <v>204.44548800000001</v>
      </c>
      <c r="DQ41" s="14">
        <f t="shared" si="43"/>
        <v>50.719897906819689</v>
      </c>
      <c r="DR41" s="22">
        <f t="shared" si="16"/>
        <v>444.41304712104426</v>
      </c>
      <c r="DS41" s="62">
        <f t="shared" si="17"/>
        <v>737.74638045437757</v>
      </c>
      <c r="DT41" s="62">
        <f ca="1">AVERAGE(OFFSET($DS$3,0,0,'Données projet'!$E$14+1,1))-AVERAGE(OFFSET($H$3,0,0,'Données projet'!$E$14+1,1))</f>
        <v>397.24714625007675</v>
      </c>
      <c r="DU41" s="62">
        <f t="shared" si="44"/>
        <v>431.75775520200608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9">
        <f t="shared" si="1"/>
        <v>256.66666666666669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509.56241660612449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22.166666666666668</v>
      </c>
      <c r="AI42" s="14">
        <f>IF('Données projet'!$A$62&gt;35,AI41+AH42-AQ41,IF(A42&lt;'Données projet'!$A$62,$AF$205^A42,IF(A42='Données projet'!$A$62,'Données projet'!$B$62,AI41+AH42-AQ41)))</f>
        <v>300.50000000000011</v>
      </c>
      <c r="AJ42" s="14">
        <f>AI42*VLOOKUP('Données projet'!$B$10,Paramètres!$A$1:$I$89,3,0)*VLOOKUP('Données projet'!$B$10,Paramètres!$A$1:$I$89,5,0)</f>
        <v>257.82900000000012</v>
      </c>
      <c r="AK42" s="14">
        <f t="shared" si="35"/>
        <v>62.259382894267475</v>
      </c>
      <c r="AL42" s="22">
        <f t="shared" si="4"/>
        <v>557.48726687418275</v>
      </c>
      <c r="AM42" s="62">
        <f t="shared" si="5"/>
        <v>850.82060020751601</v>
      </c>
      <c r="AN42" s="62">
        <f ca="1">AVERAGE(OFFSET($AM$3,0,0,'Données projet'!$E$10+1,1))-AVERAGE(OFFSET($H$3,0,0,'Données projet'!$E$10+1,1))</f>
        <v>625.17723604265689</v>
      </c>
      <c r="AO42" s="62">
        <f t="shared" si="36"/>
        <v>462.33909258902241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6.7948717948717956</v>
      </c>
      <c r="BD42" s="13">
        <f>IF('Données projet'!$A$88&gt;35,BD41+BC42-BL41,IF(A42&lt;'Données projet'!$A$88,$BA$205^A42,IF(A42='Données projet'!$A$88,'Données projet'!$B$88,BD41+BC42-BL41)))</f>
        <v>153.46153846153845</v>
      </c>
      <c r="BE42" s="14">
        <f>BD42*VLOOKUP('Données projet'!$B$11,Paramètres!$A$1:$I$89,3,0)*VLOOKUP('Données projet'!$B$11,Paramètres!$A$1:$I$89,5,0)</f>
        <v>146.03399999999999</v>
      </c>
      <c r="BF42" s="14">
        <f t="shared" si="37"/>
        <v>37.675897140446111</v>
      </c>
      <c r="BG42" s="22">
        <f t="shared" si="7"/>
        <v>319.96140418627698</v>
      </c>
      <c r="BH42" s="62">
        <f t="shared" si="8"/>
        <v>613.29473751961029</v>
      </c>
      <c r="BI42" s="62">
        <f ca="1">AVERAGE(OFFSET($BH$3,0,0,'Données projet'!$E$11+1,1))-AVERAGE(OFFSET($H$3,0,0,'Données projet'!$E$11+1,1))</f>
        <v>406.24139966722936</v>
      </c>
      <c r="BJ42" s="62">
        <f t="shared" si="38"/>
        <v>295.95724296920577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163.80000000000004</v>
      </c>
      <c r="BZ42" s="14">
        <f>BY42*VLOOKUP('Données projet'!$B$12,Paramètres!$A$1:$I$89,3,0)*VLOOKUP('Données projet'!$B$12,Paramètres!$A$1:$I$89,5,0)</f>
        <v>166.09320000000005</v>
      </c>
      <c r="CA42" s="14">
        <f t="shared" si="39"/>
        <v>42.213849908165905</v>
      </c>
      <c r="CB42" s="22">
        <f t="shared" si="10"/>
        <v>362.80144525672239</v>
      </c>
      <c r="CC42" s="62">
        <f t="shared" si="11"/>
        <v>656.1347785900557</v>
      </c>
      <c r="CD42" s="62">
        <f ca="1">AVERAGE(OFFSET($CC$3,0,0,'Données projet'!$E$12+1,1))-AVERAGE(OFFSET($H$3,0,0,'Données projet'!$E$12+1,1))</f>
        <v>565.72091871734051</v>
      </c>
      <c r="CE42" s="62">
        <f t="shared" si="40"/>
        <v>306.61893266146666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12.4</v>
      </c>
      <c r="CT42" s="13">
        <f>IF('Données projet'!$A$140&gt;35,CT41+CS42-DB41,IF(A42&lt;'Données projet'!$A$140,$CQ$205^A42,IF(A42='Données projet'!$A$140,'Données projet'!$B$140,CT41+CS42-DB41)))</f>
        <v>271.60000000000002</v>
      </c>
      <c r="CU42" s="18">
        <f>CT42*VLOOKUP('Données projet'!$B$13,Paramètres!$A$1:$I$89,3,0)*VLOOKUP('Données projet'!$B$13,Paramètres!$A$1:$I$89,5,0)</f>
        <v>237.26976000000005</v>
      </c>
      <c r="CV42" s="14">
        <f t="shared" si="41"/>
        <v>57.851715465848002</v>
      </c>
      <c r="CW42" s="22">
        <f t="shared" si="13"/>
        <v>514.00323643635204</v>
      </c>
      <c r="CX42" s="62">
        <f t="shared" si="14"/>
        <v>807.33656976968541</v>
      </c>
      <c r="CY42" s="62">
        <f ca="1">AVERAGE(OFFSET($CX$3,0,0,'Données projet'!$E$13+1,1))-AVERAGE(OFFSET($H$3,0,0,'Données projet'!$E$13+1,1))</f>
        <v>333.56306908115238</v>
      </c>
      <c r="CZ42" s="62">
        <f t="shared" si="42"/>
        <v>523.65456887919618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13.280000000000006</v>
      </c>
      <c r="DO42" s="13">
        <f>IF('Données projet'!$A$166&gt;35,DO41+DN42-DW41,IF(A42&lt;'Données projet'!$A$166,$DL$205^A42,IF(A42='Données projet'!$A$166,'Données projet'!$B$166,DO41+DN42-DW41)))</f>
        <v>292.12000000000006</v>
      </c>
      <c r="DP42" s="18">
        <f>DO42*VLOOKUP('Données projet'!$B$14,Paramètres!$A$1:$I$89,3,0)*VLOOKUP('Données projet'!$B$14,Paramètres!$A$1:$I$89,5,0)</f>
        <v>214.18238400000007</v>
      </c>
      <c r="DQ42" s="14">
        <f t="shared" si="43"/>
        <v>52.848490216521647</v>
      </c>
      <c r="DR42" s="22">
        <f t="shared" si="16"/>
        <v>465.07877259377534</v>
      </c>
      <c r="DS42" s="62">
        <f t="shared" si="17"/>
        <v>758.41210592710866</v>
      </c>
      <c r="DT42" s="62">
        <f ca="1">AVERAGE(OFFSET($DS$3,0,0,'Données projet'!$E$14+1,1))-AVERAGE(OFFSET($H$3,0,0,'Données projet'!$E$14+1,1))</f>
        <v>397.24714625007675</v>
      </c>
      <c r="DU42" s="62">
        <f t="shared" si="44"/>
        <v>431.75775520200608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9">
        <f t="shared" si="1"/>
        <v>256.66666666666669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2">
        <f t="shared" si="0"/>
        <v>639.59037499870374</v>
      </c>
      <c r="S43" s="62">
        <f ca="1">AVERAGE(OFFSET($R$3,0,0,'Données projet'!$E$9+1,1))-AVERAGE(OFFSET($H$3,0,0,'Données projet'!$E$9+1,1))</f>
        <v>509.56241660612449</v>
      </c>
      <c r="T43" s="62">
        <f t="shared" si="34"/>
        <v>278.21741231699929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22.166666666666668</v>
      </c>
      <c r="AI43" s="14">
        <f>IF('Données projet'!$A$62&gt;35,AI42+AH43-AQ42,IF(A43&lt;'Données projet'!$A$62,$AF$205^A43,IF(A43='Données projet'!$A$62,'Données projet'!$B$62,AI42+AH43-AQ42)))</f>
        <v>322.6666666666668</v>
      </c>
      <c r="AJ43" s="14">
        <f>AI43*VLOOKUP('Données projet'!$B$10,Paramètres!$A$1:$I$89,3,0)*VLOOKUP('Données projet'!$B$10,Paramètres!$A$1:$I$89,5,0)</f>
        <v>276.84800000000013</v>
      </c>
      <c r="AK43" s="14">
        <f t="shared" si="35"/>
        <v>66.300462421409705</v>
      </c>
      <c r="AL43" s="22">
        <f t="shared" si="4"/>
        <v>597.65023871728874</v>
      </c>
      <c r="AM43" s="62">
        <f t="shared" si="5"/>
        <v>890.98357205062212</v>
      </c>
      <c r="AN43" s="62">
        <f ca="1">AVERAGE(OFFSET($AM$3,0,0,'Données projet'!$E$10+1,1))-AVERAGE(OFFSET($H$3,0,0,'Données projet'!$E$10+1,1))</f>
        <v>625.17723604265689</v>
      </c>
      <c r="AO43" s="62">
        <f t="shared" si="36"/>
        <v>462.33909258902241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160.25641025641025</v>
      </c>
      <c r="BB43" s="13">
        <f>VLOOKUP(A43,'Données projet'!$A$87:$I$107,9,0)</f>
        <v>6.7948717948717956</v>
      </c>
      <c r="BC43" s="13">
        <f t="array" ref="BC43">INDEX(BB:BB,MIN(IF(ISNUMBER(BB43:BB239),ROW(BB43:BB239),"")))</f>
        <v>6.7948717948717956</v>
      </c>
      <c r="BD43" s="13">
        <f>IF('Données projet'!$A$88&gt;35,BD42+BC43-BL42,IF(A43&lt;'Données projet'!$A$88,$BA$205^A43,IF(A43='Données projet'!$A$88,'Données projet'!$B$88,BD42+BC43-BL42)))</f>
        <v>160.25641025641025</v>
      </c>
      <c r="BE43" s="14">
        <f>BD43*VLOOKUP('Données projet'!$B$11,Paramètres!$A$1:$I$89,3,0)*VLOOKUP('Données projet'!$B$11,Paramètres!$A$1:$I$89,5,0)</f>
        <v>152.5</v>
      </c>
      <c r="BF43" s="14">
        <f t="shared" si="37"/>
        <v>39.146171889962673</v>
      </c>
      <c r="BG43" s="22">
        <f t="shared" si="7"/>
        <v>333.78374937501832</v>
      </c>
      <c r="BH43" s="62">
        <f t="shared" si="8"/>
        <v>627.11708270835163</v>
      </c>
      <c r="BI43" s="62">
        <f ca="1">AVERAGE(OFFSET($BH$3,0,0,'Données projet'!$E$11+1,1))-AVERAGE(OFFSET($H$3,0,0,'Données projet'!$E$11+1,1))</f>
        <v>406.24139966722936</v>
      </c>
      <c r="BJ43" s="62">
        <f t="shared" si="38"/>
        <v>295.95724296920577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175.00000000000003</v>
      </c>
      <c r="BZ43" s="14">
        <f>BY43*VLOOKUP('Données projet'!$B$12,Paramètres!$A$1:$I$89,3,0)*VLOOKUP('Données projet'!$B$12,Paramètres!$A$1:$I$89,5,0)</f>
        <v>177.45000000000005</v>
      </c>
      <c r="CA43" s="14">
        <f t="shared" si="39"/>
        <v>44.754387900936791</v>
      </c>
      <c r="CB43" s="22">
        <f t="shared" si="10"/>
        <v>387.00597559413171</v>
      </c>
      <c r="CC43" s="62">
        <f t="shared" si="11"/>
        <v>680.33930892746503</v>
      </c>
      <c r="CD43" s="62">
        <f ca="1">AVERAGE(OFFSET($CC$3,0,0,'Données projet'!$E$12+1,1))-AVERAGE(OFFSET($H$3,0,0,'Données projet'!$E$12+1,1))</f>
        <v>565.72091871734051</v>
      </c>
      <c r="CE43" s="62">
        <f t="shared" si="40"/>
        <v>306.61893266146666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284</v>
      </c>
      <c r="CR43" s="13">
        <f>VLOOKUP(A43,'Données projet'!$A$139:$I$159,9,0)</f>
        <v>12.4</v>
      </c>
      <c r="CS43" s="13">
        <f t="array" ref="CS43">INDEX(CR:CR,MIN(IF(ISNUMBER(CR43:CR239),ROW(CR43:CR239),"")))</f>
        <v>12.4</v>
      </c>
      <c r="CT43" s="13">
        <f>IF('Données projet'!$A$140&gt;35,CT42+CS43-DB42,IF(A43&lt;'Données projet'!$A$140,$CQ$205^A43,IF(A43='Données projet'!$A$140,'Données projet'!$B$140,CT42+CS43-DB42)))</f>
        <v>284</v>
      </c>
      <c r="CU43" s="18">
        <f>CT43*VLOOKUP('Données projet'!$B$13,Paramètres!$A$1:$I$89,3,0)*VLOOKUP('Données projet'!$B$13,Paramètres!$A$1:$I$89,5,0)</f>
        <v>248.10240000000005</v>
      </c>
      <c r="CV43" s="14">
        <f t="shared" si="41"/>
        <v>60.179418356999925</v>
      </c>
      <c r="CW43" s="22">
        <f t="shared" si="13"/>
        <v>536.92416697177498</v>
      </c>
      <c r="CX43" s="62">
        <f t="shared" si="14"/>
        <v>830.25750030510835</v>
      </c>
      <c r="CY43" s="62">
        <f ca="1">AVERAGE(OFFSET($CX$3,0,0,'Données projet'!$E$13+1,1))-AVERAGE(OFFSET($H$3,0,0,'Données projet'!$E$13+1,1))</f>
        <v>333.56306908115238</v>
      </c>
      <c r="CZ43" s="62">
        <f t="shared" si="42"/>
        <v>523.65456887919618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94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305.40000000000003</v>
      </c>
      <c r="DM43" s="13">
        <f>VLOOKUP(A43,'Données projet'!$A$165:$I$185,9,0)</f>
        <v>13.280000000000006</v>
      </c>
      <c r="DN43" s="13">
        <f t="array" ref="DN43">INDEX(DM:DM,MIN(IF(ISNUMBER(DM43:DM239),ROW(DM43:DM239),"")))</f>
        <v>13.280000000000006</v>
      </c>
      <c r="DO43" s="13">
        <f>IF('Données projet'!$A$166&gt;35,DO42+DN43-DW42,IF(A43&lt;'Données projet'!$A$166,$DL$205^A43,IF(A43='Données projet'!$A$166,'Données projet'!$B$166,DO42+DN43-DW42)))</f>
        <v>305.40000000000009</v>
      </c>
      <c r="DP43" s="18">
        <f>DO43*VLOOKUP('Données projet'!$B$14,Paramètres!$A$1:$I$89,3,0)*VLOOKUP('Données projet'!$B$14,Paramètres!$A$1:$I$89,5,0)</f>
        <v>223.91928000000007</v>
      </c>
      <c r="DQ43" s="14">
        <f t="shared" si="43"/>
        <v>54.965844457533905</v>
      </c>
      <c r="DR43" s="22">
        <f t="shared" si="16"/>
        <v>485.72492509687157</v>
      </c>
      <c r="DS43" s="62">
        <f t="shared" si="17"/>
        <v>779.05825843020489</v>
      </c>
      <c r="DT43" s="62">
        <f ca="1">AVERAGE(OFFSET($DS$3,0,0,'Données projet'!$E$14+1,1))-AVERAGE(OFFSET($H$3,0,0,'Données projet'!$E$14+1,1))</f>
        <v>397.24714625007675</v>
      </c>
      <c r="DU43" s="62">
        <f t="shared" si="44"/>
        <v>431.75775520200608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82.1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9">
        <f t="shared" si="1"/>
        <v>256.66666666666669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2">
        <f t="shared" si="0"/>
        <v>661.59709205070442</v>
      </c>
      <c r="S44" s="62">
        <f ca="1">AVERAGE(OFFSET($R$3,0,0,'Données projet'!$E$9+1,1))-AVERAGE(OFFSET($H$3,0,0,'Données projet'!$E$9+1,1))</f>
        <v>509.56241660612449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22.166666666666668</v>
      </c>
      <c r="AI44" s="14">
        <f>IF('Données projet'!$A$62&gt;35,AI43+AH44-AQ43,IF(A44&lt;'Données projet'!$A$62,$AF$205^A44,IF(A44='Données projet'!$A$62,'Données projet'!$B$62,AI43+AH44-AQ43)))</f>
        <v>344.83333333333348</v>
      </c>
      <c r="AJ44" s="14">
        <f>AI44*VLOOKUP('Données projet'!$B$10,Paramètres!$A$1:$I$89,3,0)*VLOOKUP('Données projet'!$B$10,Paramètres!$A$1:$I$89,5,0)</f>
        <v>295.86700000000019</v>
      </c>
      <c r="AK44" s="14">
        <f t="shared" si="35"/>
        <v>70.30932962785549</v>
      </c>
      <c r="AL44" s="22">
        <f t="shared" si="4"/>
        <v>637.75710743518198</v>
      </c>
      <c r="AM44" s="62">
        <f t="shared" si="5"/>
        <v>931.09044076851524</v>
      </c>
      <c r="AN44" s="62">
        <f ca="1">AVERAGE(OFFSET($AM$3,0,0,'Données projet'!$E$10+1,1))-AVERAGE(OFFSET($H$3,0,0,'Données projet'!$E$10+1,1))</f>
        <v>625.17723604265689</v>
      </c>
      <c r="AO44" s="62">
        <f t="shared" si="36"/>
        <v>462.33909258902241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6.2820512820512819</v>
      </c>
      <c r="BD44" s="13">
        <f>IF('Données projet'!$A$88&gt;35,BD43+BC44-BL43,IF(A44&lt;'Données projet'!$A$88,$BA$205^A44,IF(A44='Données projet'!$A$88,'Données projet'!$B$88,BD43+BC44-BL43)))</f>
        <v>166.53846153846152</v>
      </c>
      <c r="BE44" s="14">
        <f>BD44*VLOOKUP('Données projet'!$B$11,Paramètres!$A$1:$I$89,3,0)*VLOOKUP('Données projet'!$B$11,Paramètres!$A$1:$I$89,5,0)</f>
        <v>158.47799999999998</v>
      </c>
      <c r="BF44" s="14">
        <f t="shared" si="37"/>
        <v>40.499033326567876</v>
      </c>
      <c r="BG44" s="22">
        <f t="shared" si="7"/>
        <v>346.55166637710568</v>
      </c>
      <c r="BH44" s="62">
        <f t="shared" si="8"/>
        <v>639.88499971043893</v>
      </c>
      <c r="BI44" s="62">
        <f ca="1">AVERAGE(OFFSET($BH$3,0,0,'Données projet'!$E$11+1,1))-AVERAGE(OFFSET($H$3,0,0,'Données projet'!$E$11+1,1))</f>
        <v>406.24139966722936</v>
      </c>
      <c r="BJ44" s="62">
        <f t="shared" si="38"/>
        <v>295.95724296920577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186.40000000000003</v>
      </c>
      <c r="BZ44" s="14">
        <f>BY44*VLOOKUP('Données projet'!$B$12,Paramètres!$A$1:$I$89,3,0)*VLOOKUP('Données projet'!$B$12,Paramètres!$A$1:$I$89,5,0)</f>
        <v>189.00960000000003</v>
      </c>
      <c r="CA44" s="14">
        <f t="shared" si="39"/>
        <v>47.320922915876508</v>
      </c>
      <c r="CB44" s="22">
        <f t="shared" si="10"/>
        <v>411.60899407848501</v>
      </c>
      <c r="CC44" s="62">
        <f t="shared" si="11"/>
        <v>704.94232741181827</v>
      </c>
      <c r="CD44" s="62">
        <f ca="1">AVERAGE(OFFSET($CC$3,0,0,'Données projet'!$E$12+1,1))-AVERAGE(OFFSET($H$3,0,0,'Données projet'!$E$12+1,1))</f>
        <v>565.72091871734051</v>
      </c>
      <c r="CE44" s="62">
        <f t="shared" si="40"/>
        <v>306.61893266146666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</v>
      </c>
      <c r="CT44" s="13">
        <f>IF('Données projet'!$A$140&gt;35,CT43+CS44-DB43,IF(A44&lt;'Données projet'!$A$140,$CQ$205^A44,IF(A44='Données projet'!$A$140,'Données projet'!$B$140,CT43+CS44-DB43)))</f>
        <v>201</v>
      </c>
      <c r="CU44" s="18">
        <f>CT44*VLOOKUP('Données projet'!$B$13,Paramètres!$A$1:$I$89,3,0)*VLOOKUP('Données projet'!$B$13,Paramètres!$A$1:$I$89,5,0)</f>
        <v>175.59360000000004</v>
      </c>
      <c r="CV44" s="14">
        <f t="shared" si="41"/>
        <v>44.340433728638573</v>
      </c>
      <c r="CW44" s="22">
        <f t="shared" si="13"/>
        <v>383.05177541071225</v>
      </c>
      <c r="CX44" s="62">
        <f t="shared" si="14"/>
        <v>676.38510874404551</v>
      </c>
      <c r="CY44" s="62">
        <f ca="1">AVERAGE(OFFSET($CX$3,0,0,'Données projet'!$E$13+1,1))-AVERAGE(OFFSET($H$3,0,0,'Données projet'!$E$13+1,1))</f>
        <v>333.56306908115238</v>
      </c>
      <c r="CZ44" s="62">
        <f t="shared" si="42"/>
        <v>523.65456887919618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11.37999999999999</v>
      </c>
      <c r="DO44" s="13">
        <f>IF('Données projet'!$A$166&gt;35,DO43+DN44-DW43,IF(A44&lt;'Données projet'!$A$166,$DL$205^A44,IF(A44='Données projet'!$A$166,'Données projet'!$B$166,DO43+DN44-DW43)))</f>
        <v>234.68000000000009</v>
      </c>
      <c r="DP44" s="18">
        <f>DO44*VLOOKUP('Données projet'!$B$14,Paramètres!$A$1:$I$89,3,0)*VLOOKUP('Données projet'!$B$14,Paramètres!$A$1:$I$89,5,0)</f>
        <v>172.06737600000008</v>
      </c>
      <c r="DQ44" s="14">
        <f t="shared" si="43"/>
        <v>43.552720795172277</v>
      </c>
      <c r="DR44" s="22">
        <f t="shared" si="16"/>
        <v>375.53833525159183</v>
      </c>
      <c r="DS44" s="62">
        <f t="shared" si="17"/>
        <v>668.87166858492515</v>
      </c>
      <c r="DT44" s="62">
        <f ca="1">AVERAGE(OFFSET($DS$3,0,0,'Données projet'!$E$14+1,1))-AVERAGE(OFFSET($H$3,0,0,'Données projet'!$E$14+1,1))</f>
        <v>397.24714625007675</v>
      </c>
      <c r="DU44" s="62">
        <f t="shared" si="44"/>
        <v>431.75775520200608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9">
        <f t="shared" si="1"/>
        <v>256.66666666666669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2">
        <f t="shared" si="0"/>
        <v>683.57511849201842</v>
      </c>
      <c r="S45" s="62">
        <f ca="1">AVERAGE(OFFSET($R$3,0,0,'Données projet'!$E$9+1,1))-AVERAGE(OFFSET($H$3,0,0,'Données projet'!$E$9+1,1))</f>
        <v>509.56241660612449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367</v>
      </c>
      <c r="AG45" s="13">
        <f>VLOOKUP(A45,'Données projet'!$A$61:$I$81,9,0)</f>
        <v>22.166666666666668</v>
      </c>
      <c r="AH45" s="13">
        <f t="array" ref="AH45">INDEX(AG:AG,MIN(IF(ISNUMBER(AG45:AG241),ROW(AG45:AG241),"")))</f>
        <v>22.166666666666668</v>
      </c>
      <c r="AI45" s="14">
        <f>IF('Données projet'!$A$62&gt;35,AI44+AH45-AQ44,IF(A45&lt;'Données projet'!$A$62,$AF$205^A45,IF(A45='Données projet'!$A$62,'Données projet'!$B$62,AI44+AH45-AQ44)))</f>
        <v>367.00000000000017</v>
      </c>
      <c r="AJ45" s="14">
        <f>AI45*VLOOKUP('Données projet'!$B$10,Paramètres!$A$1:$I$89,3,0)*VLOOKUP('Données projet'!$B$10,Paramètres!$A$1:$I$89,5,0)</f>
        <v>314.88600000000019</v>
      </c>
      <c r="AK45" s="14">
        <f t="shared" si="35"/>
        <v>74.288290872440228</v>
      </c>
      <c r="AL45" s="22">
        <f t="shared" si="4"/>
        <v>677.81188993616718</v>
      </c>
      <c r="AM45" s="62">
        <f t="shared" si="5"/>
        <v>971.14522326950055</v>
      </c>
      <c r="AN45" s="62">
        <f ca="1">AVERAGE(OFFSET($AM$3,0,0,'Données projet'!$E$10+1,1))-AVERAGE(OFFSET($H$3,0,0,'Données projet'!$E$10+1,1))</f>
        <v>625.17723604265689</v>
      </c>
      <c r="AO45" s="62">
        <f t="shared" si="36"/>
        <v>462.33909258902241</v>
      </c>
      <c r="AP45" s="16">
        <f>IF(ISNA(VLOOKUP(A45,'Données projet'!$A$61:$I$81,3,0)),0,VLOOKUP(A45,'Données projet'!$A$61:$I$81,3,0))</f>
        <v>7</v>
      </c>
      <c r="AQ45" s="16">
        <f>IF(ISNA(VLOOKUP(A45,'Données projet'!$A$61:$I$81,4,0)),0,VLOOKUP(A45,'Données projet'!$A$61:$I$81,4,0))</f>
        <v>90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6.2820512820512819</v>
      </c>
      <c r="BD45" s="13">
        <f>IF('Données projet'!$A$88&gt;35,BD44+BC45-BL44,IF(A45&lt;'Données projet'!$A$88,$BA$205^A45,IF(A45='Données projet'!$A$88,'Données projet'!$B$88,BD44+BC45-BL44)))</f>
        <v>172.82051282051279</v>
      </c>
      <c r="BE45" s="14">
        <f>BD45*VLOOKUP('Données projet'!$B$11,Paramètres!$A$1:$I$89,3,0)*VLOOKUP('Données projet'!$B$11,Paramètres!$A$1:$I$89,5,0)</f>
        <v>164.45599999999996</v>
      </c>
      <c r="BF45" s="14">
        <f t="shared" si="37"/>
        <v>41.84596620708853</v>
      </c>
      <c r="BG45" s="22">
        <f t="shared" si="7"/>
        <v>359.30925781067913</v>
      </c>
      <c r="BH45" s="62">
        <f t="shared" si="8"/>
        <v>652.64259114401239</v>
      </c>
      <c r="BI45" s="62">
        <f ca="1">AVERAGE(OFFSET($BH$3,0,0,'Données projet'!$E$11+1,1))-AVERAGE(OFFSET($H$3,0,0,'Données projet'!$E$11+1,1))</f>
        <v>406.24139966722936</v>
      </c>
      <c r="BJ45" s="62">
        <f t="shared" si="38"/>
        <v>295.95724296920577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197.80000000000004</v>
      </c>
      <c r="BZ45" s="14">
        <f>BY45*VLOOKUP('Données projet'!$B$12,Paramètres!$A$1:$I$89,3,0)*VLOOKUP('Données projet'!$B$12,Paramètres!$A$1:$I$89,5,0)</f>
        <v>200.56920000000005</v>
      </c>
      <c r="CA45" s="14">
        <f t="shared" si="39"/>
        <v>49.869239959281323</v>
      </c>
      <c r="CB45" s="22">
        <f t="shared" si="10"/>
        <v>436.18028292908167</v>
      </c>
      <c r="CC45" s="62">
        <f t="shared" si="11"/>
        <v>729.51361626241498</v>
      </c>
      <c r="CD45" s="62">
        <f ca="1">AVERAGE(OFFSET($CC$3,0,0,'Données projet'!$E$12+1,1))-AVERAGE(OFFSET($H$3,0,0,'Données projet'!$E$12+1,1))</f>
        <v>565.72091871734051</v>
      </c>
      <c r="CE45" s="62">
        <f t="shared" si="40"/>
        <v>306.61893266146666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</v>
      </c>
      <c r="CT45" s="13">
        <f>IF('Données projet'!$A$140&gt;35,CT44+CS45-DB44,IF(A45&lt;'Données projet'!$A$140,$CQ$205^A45,IF(A45='Données projet'!$A$140,'Données projet'!$B$140,CT44+CS45-DB44)))</f>
        <v>212</v>
      </c>
      <c r="CU45" s="18">
        <f>CT45*VLOOKUP('Données projet'!$B$13,Paramètres!$A$1:$I$89,3,0)*VLOOKUP('Données projet'!$B$13,Paramètres!$A$1:$I$89,5,0)</f>
        <v>185.20320000000004</v>
      </c>
      <c r="CV45" s="14">
        <f t="shared" si="41"/>
        <v>46.477875402099386</v>
      </c>
      <c r="CW45" s="22">
        <f t="shared" si="13"/>
        <v>403.51120632532314</v>
      </c>
      <c r="CX45" s="62">
        <f t="shared" si="14"/>
        <v>696.84453965865646</v>
      </c>
      <c r="CY45" s="62">
        <f ca="1">AVERAGE(OFFSET($CX$3,0,0,'Données projet'!$E$13+1,1))-AVERAGE(OFFSET($H$3,0,0,'Données projet'!$E$13+1,1))</f>
        <v>333.56306908115238</v>
      </c>
      <c r="CZ45" s="62">
        <f t="shared" si="42"/>
        <v>523.65456887919618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11.37999999999999</v>
      </c>
      <c r="DO45" s="13">
        <f>IF('Données projet'!$A$166&gt;35,DO44+DN45-DW44,IF(A45&lt;'Données projet'!$A$166,$DL$205^A45,IF(A45='Données projet'!$A$166,'Données projet'!$B$166,DO44+DN45-DW44)))</f>
        <v>246.06000000000009</v>
      </c>
      <c r="DP45" s="18">
        <f>DO45*VLOOKUP('Données projet'!$B$14,Paramètres!$A$1:$I$89,3,0)*VLOOKUP('Données projet'!$B$14,Paramètres!$A$1:$I$89,5,0)</f>
        <v>180.41119200000006</v>
      </c>
      <c r="DQ45" s="14">
        <f t="shared" si="43"/>
        <v>45.413656658320271</v>
      </c>
      <c r="DR45" s="22">
        <f t="shared" si="16"/>
        <v>393.31161141324122</v>
      </c>
      <c r="DS45" s="62">
        <f t="shared" si="17"/>
        <v>686.64494474657454</v>
      </c>
      <c r="DT45" s="62">
        <f ca="1">AVERAGE(OFFSET($DS$3,0,0,'Données projet'!$E$14+1,1))-AVERAGE(OFFSET($H$3,0,0,'Données projet'!$E$14+1,1))</f>
        <v>397.24714625007675</v>
      </c>
      <c r="DU45" s="62">
        <f t="shared" si="44"/>
        <v>431.75775520200608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9">
        <f t="shared" si="1"/>
        <v>256.66666666666669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2">
        <f t="shared" si="0"/>
        <v>705.52629626882026</v>
      </c>
      <c r="S46" s="62">
        <f ca="1">AVERAGE(OFFSET($R$3,0,0,'Données projet'!$E$9+1,1))-AVERAGE(OFFSET($H$3,0,0,'Données projet'!$E$9+1,1))</f>
        <v>509.56241660612449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19.777777777777779</v>
      </c>
      <c r="AI46" s="14">
        <f>IF('Données projet'!$A$62&gt;35,AI45+AH46-AQ45,IF(A46&lt;'Données projet'!$A$62,$AF$205^A46,IF(A46='Données projet'!$A$62,'Données projet'!$B$62,AI45+AH46-AQ45)))</f>
        <v>296.77777777777794</v>
      </c>
      <c r="AJ46" s="14">
        <f>AI46*VLOOKUP('Données projet'!$B$10,Paramètres!$A$1:$I$89,3,0)*VLOOKUP('Données projet'!$B$10,Paramètres!$A$1:$I$89,5,0)</f>
        <v>254.63533333333351</v>
      </c>
      <c r="AK46" s="14">
        <f t="shared" si="35"/>
        <v>61.577463933637681</v>
      </c>
      <c r="AL46" s="22">
        <f t="shared" si="4"/>
        <v>550.73728857330809</v>
      </c>
      <c r="AM46" s="62">
        <f t="shared" si="5"/>
        <v>844.07062190664146</v>
      </c>
      <c r="AN46" s="62">
        <f ca="1">AVERAGE(OFFSET($AM$3,0,0,'Données projet'!$E$10+1,1))-AVERAGE(OFFSET($H$3,0,0,'Données projet'!$E$10+1,1))</f>
        <v>625.17723604265689</v>
      </c>
      <c r="AO46" s="62">
        <f t="shared" si="36"/>
        <v>462.33909258902241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6.2820512820512819</v>
      </c>
      <c r="BD46" s="13">
        <f>IF('Données projet'!$A$88&gt;35,BD45+BC46-BL45,IF(A46&lt;'Données projet'!$A$88,$BA$205^A46,IF(A46='Données projet'!$A$88,'Données projet'!$B$88,BD45+BC46-BL45)))</f>
        <v>179.10256410256406</v>
      </c>
      <c r="BE46" s="14">
        <f>BD46*VLOOKUP('Données projet'!$B$11,Paramètres!$A$1:$I$89,3,0)*VLOOKUP('Données projet'!$B$11,Paramètres!$A$1:$I$89,5,0)</f>
        <v>170.43399999999997</v>
      </c>
      <c r="BF46" s="14">
        <f t="shared" si="37"/>
        <v>43.187210719400916</v>
      </c>
      <c r="BG46" s="22">
        <f t="shared" si="7"/>
        <v>372.05694200295653</v>
      </c>
      <c r="BH46" s="62">
        <f t="shared" si="8"/>
        <v>665.39027533628985</v>
      </c>
      <c r="BI46" s="62">
        <f ca="1">AVERAGE(OFFSET($BH$3,0,0,'Données projet'!$E$11+1,1))-AVERAGE(OFFSET($H$3,0,0,'Données projet'!$E$11+1,1))</f>
        <v>406.24139966722936</v>
      </c>
      <c r="BJ46" s="62">
        <f t="shared" si="38"/>
        <v>295.95724296920577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209.20000000000005</v>
      </c>
      <c r="BZ46" s="14">
        <f>BY46*VLOOKUP('Données projet'!$B$12,Paramètres!$A$1:$I$89,3,0)*VLOOKUP('Données projet'!$B$12,Paramètres!$A$1:$I$89,5,0)</f>
        <v>212.12880000000007</v>
      </c>
      <c r="CA46" s="14">
        <f t="shared" si="39"/>
        <v>52.400508630618717</v>
      </c>
      <c r="CB46" s="22">
        <f t="shared" si="10"/>
        <v>460.72187919832771</v>
      </c>
      <c r="CC46" s="62">
        <f t="shared" si="11"/>
        <v>754.05521253166103</v>
      </c>
      <c r="CD46" s="62">
        <f ca="1">AVERAGE(OFFSET($CC$3,0,0,'Données projet'!$E$12+1,1))-AVERAGE(OFFSET($H$3,0,0,'Données projet'!$E$12+1,1))</f>
        <v>565.72091871734051</v>
      </c>
      <c r="CE46" s="62">
        <f t="shared" si="40"/>
        <v>306.61893266146666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</v>
      </c>
      <c r="CT46" s="13">
        <f>IF('Données projet'!$A$140&gt;35,CT45+CS46-DB45,IF(A46&lt;'Données projet'!$A$140,$CQ$205^A46,IF(A46='Données projet'!$A$140,'Données projet'!$B$140,CT45+CS46-DB45)))</f>
        <v>223</v>
      </c>
      <c r="CU46" s="18">
        <f>CT46*VLOOKUP('Données projet'!$B$13,Paramètres!$A$1:$I$89,3,0)*VLOOKUP('Données projet'!$B$13,Paramètres!$A$1:$I$89,5,0)</f>
        <v>194.81280000000001</v>
      </c>
      <c r="CV46" s="14">
        <f t="shared" si="41"/>
        <v>48.602440540253859</v>
      </c>
      <c r="CW46" s="22">
        <f t="shared" si="13"/>
        <v>423.94821060760881</v>
      </c>
      <c r="CX46" s="62">
        <f t="shared" si="14"/>
        <v>717.28154394094213</v>
      </c>
      <c r="CY46" s="62">
        <f ca="1">AVERAGE(OFFSET($CX$3,0,0,'Données projet'!$E$13+1,1))-AVERAGE(OFFSET($H$3,0,0,'Données projet'!$E$13+1,1))</f>
        <v>333.56306908115238</v>
      </c>
      <c r="CZ46" s="62">
        <f t="shared" si="42"/>
        <v>523.65456887919618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11.37999999999999</v>
      </c>
      <c r="DO46" s="13">
        <f>IF('Données projet'!$A$166&gt;35,DO45+DN46-DW45,IF(A46&lt;'Données projet'!$A$166,$DL$205^A46,IF(A46='Données projet'!$A$166,'Données projet'!$B$166,DO45+DN46-DW45)))</f>
        <v>257.44000000000005</v>
      </c>
      <c r="DP46" s="18">
        <f>DO46*VLOOKUP('Données projet'!$B$14,Paramètres!$A$1:$I$89,3,0)*VLOOKUP('Données projet'!$B$14,Paramètres!$A$1:$I$89,5,0)</f>
        <v>188.75500800000003</v>
      </c>
      <c r="DQ46" s="14">
        <f t="shared" si="43"/>
        <v>47.264597570282653</v>
      </c>
      <c r="DR46" s="22">
        <f t="shared" si="16"/>
        <v>411.06747970157568</v>
      </c>
      <c r="DS46" s="62">
        <f t="shared" si="17"/>
        <v>704.40081303490899</v>
      </c>
      <c r="DT46" s="62">
        <f ca="1">AVERAGE(OFFSET($DS$3,0,0,'Données projet'!$E$14+1,1))-AVERAGE(OFFSET($H$3,0,0,'Données projet'!$E$14+1,1))</f>
        <v>397.24714625007675</v>
      </c>
      <c r="DU46" s="62">
        <f t="shared" si="44"/>
        <v>431.75775520200608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9">
        <f t="shared" si="1"/>
        <v>256.66666666666669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2">
        <f t="shared" si="0"/>
        <v>727.45225524198804</v>
      </c>
      <c r="S47" s="62">
        <f ca="1">AVERAGE(OFFSET($R$3,0,0,'Données projet'!$E$9+1,1))-AVERAGE(OFFSET($H$3,0,0,'Données projet'!$E$9+1,1))</f>
        <v>509.56241660612449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19.777777777777779</v>
      </c>
      <c r="AI47" s="14">
        <f>IF('Données projet'!$A$62&gt;35,AI46+AH47-AQ46,IF(A47&lt;'Données projet'!$A$62,$AF$205^A47,IF(A47='Données projet'!$A$62,'Données projet'!$B$62,AI46+AH47-AQ46)))</f>
        <v>316.55555555555571</v>
      </c>
      <c r="AJ47" s="14">
        <f>AI47*VLOOKUP('Données projet'!$B$10,Paramètres!$A$1:$I$89,3,0)*VLOOKUP('Données projet'!$B$10,Paramètres!$A$1:$I$89,5,0)</f>
        <v>271.60466666666684</v>
      </c>
      <c r="AK47" s="14">
        <f t="shared" si="35"/>
        <v>65.189702518536876</v>
      </c>
      <c r="AL47" s="22">
        <f t="shared" si="4"/>
        <v>586.58352633089646</v>
      </c>
      <c r="AM47" s="62">
        <f t="shared" si="5"/>
        <v>879.91685966422983</v>
      </c>
      <c r="AN47" s="62">
        <f ca="1">AVERAGE(OFFSET($AM$3,0,0,'Données projet'!$E$10+1,1))-AVERAGE(OFFSET($H$3,0,0,'Données projet'!$E$10+1,1))</f>
        <v>625.17723604265689</v>
      </c>
      <c r="AO47" s="62">
        <f t="shared" si="36"/>
        <v>462.33909258902241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6.2820512820512819</v>
      </c>
      <c r="BD47" s="13">
        <f>IF('Données projet'!$A$88&gt;35,BD46+BC47-BL46,IF(A47&lt;'Données projet'!$A$88,$BA$205^A47,IF(A47='Données projet'!$A$88,'Données projet'!$B$88,BD46+BC47-BL46)))</f>
        <v>185.38461538461533</v>
      </c>
      <c r="BE47" s="14">
        <f>BD47*VLOOKUP('Données projet'!$B$11,Paramètres!$A$1:$I$89,3,0)*VLOOKUP('Données projet'!$B$11,Paramètres!$A$1:$I$89,5,0)</f>
        <v>176.41199999999995</v>
      </c>
      <c r="BF47" s="14">
        <f t="shared" si="37"/>
        <v>44.522989246723967</v>
      </c>
      <c r="BG47" s="22">
        <f t="shared" si="7"/>
        <v>384.79510627137751</v>
      </c>
      <c r="BH47" s="62">
        <f t="shared" si="8"/>
        <v>678.12843960471082</v>
      </c>
      <c r="BI47" s="62">
        <f ca="1">AVERAGE(OFFSET($BH$3,0,0,'Données projet'!$E$11+1,1))-AVERAGE(OFFSET($H$3,0,0,'Données projet'!$E$11+1,1))</f>
        <v>406.24139966722936</v>
      </c>
      <c r="BJ47" s="62">
        <f t="shared" si="38"/>
        <v>295.95724296920577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220.60000000000005</v>
      </c>
      <c r="BZ47" s="14">
        <f>BY47*VLOOKUP('Données projet'!$B$12,Paramètres!$A$1:$I$89,3,0)*VLOOKUP('Données projet'!$B$12,Paramètres!$A$1:$I$89,5,0)</f>
        <v>223.68840000000009</v>
      </c>
      <c r="CA47" s="14">
        <f t="shared" si="39"/>
        <v>54.915763859378501</v>
      </c>
      <c r="CB47" s="22">
        <f t="shared" si="10"/>
        <v>485.23558538841758</v>
      </c>
      <c r="CC47" s="62">
        <f t="shared" si="11"/>
        <v>778.56891872175083</v>
      </c>
      <c r="CD47" s="62">
        <f ca="1">AVERAGE(OFFSET($CC$3,0,0,'Données projet'!$E$12+1,1))-AVERAGE(OFFSET($H$3,0,0,'Données projet'!$E$12+1,1))</f>
        <v>565.72091871734051</v>
      </c>
      <c r="CE47" s="62">
        <f t="shared" si="40"/>
        <v>306.61893266146666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</v>
      </c>
      <c r="CT47" s="13">
        <f>IF('Données projet'!$A$140&gt;35,CT46+CS47-DB46,IF(A47&lt;'Données projet'!$A$140,$CQ$205^A47,IF(A47='Données projet'!$A$140,'Données projet'!$B$140,CT46+CS47-DB46)))</f>
        <v>234</v>
      </c>
      <c r="CU47" s="18">
        <f>CT47*VLOOKUP('Données projet'!$B$13,Paramètres!$A$1:$I$89,3,0)*VLOOKUP('Données projet'!$B$13,Paramètres!$A$1:$I$89,5,0)</f>
        <v>204.42240000000004</v>
      </c>
      <c r="CV47" s="14">
        <f t="shared" si="41"/>
        <v>50.714836797527262</v>
      </c>
      <c r="CW47" s="22">
        <f t="shared" si="13"/>
        <v>444.36402075569339</v>
      </c>
      <c r="CX47" s="62">
        <f t="shared" si="14"/>
        <v>737.6973540890267</v>
      </c>
      <c r="CY47" s="62">
        <f ca="1">AVERAGE(OFFSET($CX$3,0,0,'Données projet'!$E$13+1,1))-AVERAGE(OFFSET($H$3,0,0,'Données projet'!$E$13+1,1))</f>
        <v>333.56306908115238</v>
      </c>
      <c r="CZ47" s="62">
        <f t="shared" si="42"/>
        <v>523.65456887919618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11.37999999999999</v>
      </c>
      <c r="DO47" s="13">
        <f>IF('Données projet'!$A$166&gt;35,DO46+DN47-DW46,IF(A47&lt;'Données projet'!$A$166,$DL$205^A47,IF(A47='Données projet'!$A$166,'Données projet'!$B$166,DO46+DN47-DW46)))</f>
        <v>268.82000000000005</v>
      </c>
      <c r="DP47" s="18">
        <f>DO47*VLOOKUP('Données projet'!$B$14,Paramètres!$A$1:$I$89,3,0)*VLOOKUP('Données projet'!$B$14,Paramètres!$A$1:$I$89,5,0)</f>
        <v>197.09882400000004</v>
      </c>
      <c r="DQ47" s="14">
        <f t="shared" si="43"/>
        <v>49.106035841270561</v>
      </c>
      <c r="DR47" s="22">
        <f t="shared" si="16"/>
        <v>428.80679755687964</v>
      </c>
      <c r="DS47" s="62">
        <f t="shared" si="17"/>
        <v>722.14013089021296</v>
      </c>
      <c r="DT47" s="62">
        <f ca="1">AVERAGE(OFFSET($DS$3,0,0,'Données projet'!$E$14+1,1))-AVERAGE(OFFSET($H$3,0,0,'Données projet'!$E$14+1,1))</f>
        <v>397.24714625007675</v>
      </c>
      <c r="DU47" s="62">
        <f t="shared" si="44"/>
        <v>431.75775520200608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9">
        <f t="shared" si="1"/>
        <v>256.66666666666669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2">
        <f t="shared" si="0"/>
        <v>749.35444730432789</v>
      </c>
      <c r="S48" s="62">
        <f ca="1">AVERAGE(OFFSET($R$3,0,0,'Données projet'!$E$9+1,1))-AVERAGE(OFFSET($H$3,0,0,'Données projet'!$E$9+1,1))</f>
        <v>509.56241660612449</v>
      </c>
      <c r="T48" s="62">
        <f t="shared" si="34"/>
        <v>278.21741231699929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19.777777777777779</v>
      </c>
      <c r="AI48" s="14">
        <f>IF('Données projet'!$A$62&gt;35,AI47+AH48-AQ47,IF(A48&lt;'Données projet'!$A$62,$AF$205^A48,IF(A48='Données projet'!$A$62,'Données projet'!$B$62,AI47+AH48-AQ47)))</f>
        <v>336.33333333333348</v>
      </c>
      <c r="AJ48" s="14">
        <f>AI48*VLOOKUP('Données projet'!$B$10,Paramètres!$A$1:$I$89,3,0)*VLOOKUP('Données projet'!$B$10,Paramètres!$A$1:$I$89,5,0)</f>
        <v>288.57400000000018</v>
      </c>
      <c r="AK48" s="14">
        <f t="shared" si="35"/>
        <v>68.775748599702908</v>
      </c>
      <c r="AL48" s="22">
        <f t="shared" si="4"/>
        <v>622.38414547781622</v>
      </c>
      <c r="AM48" s="62">
        <f t="shared" si="5"/>
        <v>915.71747881114948</v>
      </c>
      <c r="AN48" s="62">
        <f ca="1">AVERAGE(OFFSET($AM$3,0,0,'Données projet'!$E$10+1,1))-AVERAGE(OFFSET($H$3,0,0,'Données projet'!$E$10+1,1))</f>
        <v>625.17723604265689</v>
      </c>
      <c r="AO48" s="62">
        <f t="shared" si="36"/>
        <v>462.33909258902241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191.66666666666666</v>
      </c>
      <c r="BB48" s="13">
        <f>VLOOKUP(A48,'Données projet'!$A$87:$I$107,9,0)</f>
        <v>6.2820512820512819</v>
      </c>
      <c r="BC48" s="13">
        <f t="array" ref="BC48">INDEX(BB:BB,MIN(IF(ISNUMBER(BB48:BB244),ROW(BB48:BB244),"")))</f>
        <v>6.2820512820512819</v>
      </c>
      <c r="BD48" s="13">
        <f>IF('Données projet'!$A$88&gt;35,BD47+BC48-BL47,IF(A48&lt;'Données projet'!$A$88,$BA$205^A48,IF(A48='Données projet'!$A$88,'Données projet'!$B$88,BD47+BC48-BL47)))</f>
        <v>191.6666666666666</v>
      </c>
      <c r="BE48" s="14">
        <f>BD48*VLOOKUP('Données projet'!$B$11,Paramètres!$A$1:$I$89,3,0)*VLOOKUP('Données projet'!$B$11,Paramètres!$A$1:$I$89,5,0)</f>
        <v>182.38999999999996</v>
      </c>
      <c r="BF48" s="14">
        <f t="shared" si="37"/>
        <v>45.853508245632504</v>
      </c>
      <c r="BG48" s="22">
        <f t="shared" si="7"/>
        <v>397.52411019447646</v>
      </c>
      <c r="BH48" s="62">
        <f t="shared" si="8"/>
        <v>690.85744352780978</v>
      </c>
      <c r="BI48" s="62">
        <f ca="1">AVERAGE(OFFSET($BH$3,0,0,'Données projet'!$E$11+1,1))-AVERAGE(OFFSET($H$3,0,0,'Données projet'!$E$11+1,1))</f>
        <v>406.24139966722936</v>
      </c>
      <c r="BJ48" s="62">
        <f t="shared" si="38"/>
        <v>295.95724296920577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34.615384615384613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232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232.00000000000006</v>
      </c>
      <c r="BZ48" s="14">
        <f>BY48*VLOOKUP('Données projet'!$B$12,Paramètres!$A$1:$I$89,3,0)*VLOOKUP('Données projet'!$B$12,Paramètres!$A$1:$I$89,5,0)</f>
        <v>235.24800000000008</v>
      </c>
      <c r="CA48" s="14">
        <f t="shared" si="39"/>
        <v>57.41592756883739</v>
      </c>
      <c r="CB48" s="22">
        <f t="shared" si="10"/>
        <v>509.72300718239194</v>
      </c>
      <c r="CC48" s="62">
        <f t="shared" si="11"/>
        <v>803.0563405157252</v>
      </c>
      <c r="CD48" s="62">
        <f ca="1">AVERAGE(OFFSET($CC$3,0,0,'Données projet'!$E$12+1,1))-AVERAGE(OFFSET($H$3,0,0,'Données projet'!$E$12+1,1))</f>
        <v>565.72091871734051</v>
      </c>
      <c r="CE48" s="62">
        <f t="shared" si="40"/>
        <v>306.61893266146666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56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245</v>
      </c>
      <c r="CR48" s="13">
        <f>VLOOKUP(A48,'Données projet'!$A$139:$I$159,9,0)</f>
        <v>11</v>
      </c>
      <c r="CS48" s="13">
        <f t="array" ref="CS48">INDEX(CR:CR,MIN(IF(ISNUMBER(CR48:CR244),ROW(CR48:CR244),"")))</f>
        <v>11</v>
      </c>
      <c r="CT48" s="13">
        <f>IF('Données projet'!$A$140&gt;35,CT47+CS48-DB47,IF(A48&lt;'Données projet'!$A$140,$CQ$205^A48,IF(A48='Données projet'!$A$140,'Données projet'!$B$140,CT47+CS48-DB47)))</f>
        <v>245</v>
      </c>
      <c r="CU48" s="18">
        <f>CT48*VLOOKUP('Données projet'!$B$13,Paramètres!$A$1:$I$89,3,0)*VLOOKUP('Données projet'!$B$13,Paramètres!$A$1:$I$89,5,0)</f>
        <v>214.03200000000004</v>
      </c>
      <c r="CV48" s="14">
        <f t="shared" si="41"/>
        <v>52.815701536972242</v>
      </c>
      <c r="CW48" s="22">
        <f t="shared" si="13"/>
        <v>464.75974684356009</v>
      </c>
      <c r="CX48" s="62">
        <f t="shared" si="14"/>
        <v>758.09308017689341</v>
      </c>
      <c r="CY48" s="62">
        <f ca="1">AVERAGE(OFFSET($CX$3,0,0,'Données projet'!$E$13+1,1))-AVERAGE(OFFSET($H$3,0,0,'Données projet'!$E$13+1,1))</f>
        <v>333.56306908115238</v>
      </c>
      <c r="CZ48" s="62">
        <f t="shared" si="42"/>
        <v>523.65456887919618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280.2</v>
      </c>
      <c r="DM48" s="13">
        <f>VLOOKUP(A48,'Données projet'!$A$165:$I$185,9,0)</f>
        <v>11.37999999999999</v>
      </c>
      <c r="DN48" s="13">
        <f t="array" ref="DN48">INDEX(DM:DM,MIN(IF(ISNUMBER(DM48:DM244),ROW(DM48:DM244),"")))</f>
        <v>11.37999999999999</v>
      </c>
      <c r="DO48" s="13">
        <f>IF('Données projet'!$A$166&gt;35,DO47+DN48-DW47,IF(A48&lt;'Données projet'!$A$166,$DL$205^A48,IF(A48='Données projet'!$A$166,'Données projet'!$B$166,DO47+DN48-DW47)))</f>
        <v>280.20000000000005</v>
      </c>
      <c r="DP48" s="18">
        <f>DO48*VLOOKUP('Données projet'!$B$14,Paramètres!$A$1:$I$89,3,0)*VLOOKUP('Données projet'!$B$14,Paramètres!$A$1:$I$89,5,0)</f>
        <v>205.44264000000004</v>
      </c>
      <c r="DQ48" s="14">
        <f t="shared" si="43"/>
        <v>50.938419741613956</v>
      </c>
      <c r="DR48" s="22">
        <f t="shared" si="16"/>
        <v>446.53034571664426</v>
      </c>
      <c r="DS48" s="62">
        <f t="shared" si="17"/>
        <v>739.86367904997758</v>
      </c>
      <c r="DT48" s="62">
        <f ca="1">AVERAGE(OFFSET($DS$3,0,0,'Données projet'!$E$14+1,1))-AVERAGE(OFFSET($H$3,0,0,'Données projet'!$E$14+1,1))</f>
        <v>397.24714625007675</v>
      </c>
      <c r="DU48" s="62">
        <f t="shared" si="44"/>
        <v>431.75775520200608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9">
        <f t="shared" si="1"/>
        <v>256.66666666666669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2">
        <f t="shared" si="0"/>
        <v>662.75452844747895</v>
      </c>
      <c r="S49" s="62">
        <f ca="1">AVERAGE(OFFSET($R$3,0,0,'Données projet'!$E$9+1,1))-AVERAGE(OFFSET($H$3,0,0,'Données projet'!$E$9+1,1))</f>
        <v>509.56241660612449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19.777777777777779</v>
      </c>
      <c r="AI49" s="14">
        <f>IF('Données projet'!$A$62&gt;35,AI48+AH49-AQ48,IF(A49&lt;'Données projet'!$A$62,$AF$205^A49,IF(A49='Données projet'!$A$62,'Données projet'!$B$62,AI48+AH49-AQ48)))</f>
        <v>356.11111111111126</v>
      </c>
      <c r="AJ49" s="14">
        <f>AI49*VLOOKUP('Données projet'!$B$10,Paramètres!$A$1:$I$89,3,0)*VLOOKUP('Données projet'!$B$10,Paramètres!$A$1:$I$89,5,0)</f>
        <v>305.54333333333346</v>
      </c>
      <c r="AK49" s="14">
        <f t="shared" si="35"/>
        <v>72.337317849093495</v>
      </c>
      <c r="AL49" s="22">
        <f t="shared" si="4"/>
        <v>658.14213414272695</v>
      </c>
      <c r="AM49" s="62">
        <f t="shared" si="5"/>
        <v>951.4754674760602</v>
      </c>
      <c r="AN49" s="62">
        <f ca="1">AVERAGE(OFFSET($AM$3,0,0,'Données projet'!$E$10+1,1))-AVERAGE(OFFSET($H$3,0,0,'Données projet'!$E$10+1,1))</f>
        <v>625.17723604265689</v>
      </c>
      <c r="AO49" s="62">
        <f t="shared" si="36"/>
        <v>462.33909258902241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6.0256410256410273</v>
      </c>
      <c r="BD49" s="13">
        <f>IF('Données projet'!$A$88&gt;35,BD48+BC49-BL48,IF(A49&lt;'Données projet'!$A$88,$BA$205^A49,IF(A49='Données projet'!$A$88,'Données projet'!$B$88,BD48+BC49-BL48)))</f>
        <v>163.07692307692301</v>
      </c>
      <c r="BE49" s="14">
        <f>BD49*VLOOKUP('Données projet'!$B$11,Paramètres!$A$1:$I$89,3,0)*VLOOKUP('Données projet'!$B$11,Paramètres!$A$1:$I$89,5,0)</f>
        <v>155.18399999999994</v>
      </c>
      <c r="BF49" s="14">
        <f t="shared" si="37"/>
        <v>39.754328566553049</v>
      </c>
      <c r="BG49" s="22">
        <f t="shared" si="7"/>
        <v>339.51758892007979</v>
      </c>
      <c r="BH49" s="62">
        <f t="shared" si="8"/>
        <v>632.85092225341305</v>
      </c>
      <c r="BI49" s="62">
        <f ca="1">AVERAGE(OFFSET($BH$3,0,0,'Données projet'!$E$11+1,1))-AVERAGE(OFFSET($H$3,0,0,'Données projet'!$E$11+1,1))</f>
        <v>406.24139966722936</v>
      </c>
      <c r="BJ49" s="62">
        <f t="shared" si="38"/>
        <v>295.95724296920577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187.00000000000006</v>
      </c>
      <c r="BZ49" s="14">
        <f>BY49*VLOOKUP('Données projet'!$B$12,Paramètres!$A$1:$I$89,3,0)*VLOOKUP('Données projet'!$B$12,Paramètres!$A$1:$I$89,5,0)</f>
        <v>189.61800000000008</v>
      </c>
      <c r="CA49" s="14">
        <f t="shared" si="39"/>
        <v>47.455488185268543</v>
      </c>
      <c r="CB49" s="22">
        <f t="shared" si="10"/>
        <v>412.90299192267616</v>
      </c>
      <c r="CC49" s="62">
        <f t="shared" si="11"/>
        <v>706.23632525600942</v>
      </c>
      <c r="CD49" s="62">
        <f ca="1">AVERAGE(OFFSET($CC$3,0,0,'Données projet'!$E$12+1,1))-AVERAGE(OFFSET($H$3,0,0,'Données projet'!$E$12+1,1))</f>
        <v>565.72091871734051</v>
      </c>
      <c r="CE49" s="62">
        <f t="shared" si="40"/>
        <v>306.61893266146666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9.6</v>
      </c>
      <c r="CT49" s="13">
        <f>IF('Données projet'!$A$140&gt;35,CT48+CS49-DB48,IF(A49&lt;'Données projet'!$A$140,$CQ$205^A49,IF(A49='Données projet'!$A$140,'Données projet'!$B$140,CT48+CS49-DB48)))</f>
        <v>254.6</v>
      </c>
      <c r="CU49" s="18">
        <f>CT49*VLOOKUP('Données projet'!$B$13,Paramètres!$A$1:$I$89,3,0)*VLOOKUP('Données projet'!$B$13,Paramètres!$A$1:$I$89,5,0)</f>
        <v>222.41856000000004</v>
      </c>
      <c r="CV49" s="14">
        <f t="shared" si="41"/>
        <v>54.640212826336217</v>
      </c>
      <c r="CW49" s="22">
        <f t="shared" si="13"/>
        <v>482.54402933920232</v>
      </c>
      <c r="CX49" s="62">
        <f t="shared" si="14"/>
        <v>775.87736267253558</v>
      </c>
      <c r="CY49" s="62">
        <f ca="1">AVERAGE(OFFSET($CX$3,0,0,'Données projet'!$E$13+1,1))-AVERAGE(OFFSET($H$3,0,0,'Données projet'!$E$13+1,1))</f>
        <v>333.56306908115238</v>
      </c>
      <c r="CZ49" s="62">
        <f t="shared" si="42"/>
        <v>523.65456887919618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9.7800000000000065</v>
      </c>
      <c r="DO49" s="13">
        <f>IF('Données projet'!$A$166&gt;35,DO48+DN49-DW48,IF(A49&lt;'Données projet'!$A$166,$DL$205^A49,IF(A49='Données projet'!$A$166,'Données projet'!$B$166,DO48+DN49-DW48)))</f>
        <v>289.98000000000008</v>
      </c>
      <c r="DP49" s="18">
        <f>DO49*VLOOKUP('Données projet'!$B$14,Paramètres!$A$1:$I$89,3,0)*VLOOKUP('Données projet'!$B$14,Paramètres!$A$1:$I$89,5,0)</f>
        <v>212.61333600000006</v>
      </c>
      <c r="DQ49" s="14">
        <f t="shared" si="43"/>
        <v>52.506253653420259</v>
      </c>
      <c r="DR49" s="22">
        <f t="shared" si="16"/>
        <v>461.74995197970708</v>
      </c>
      <c r="DS49" s="62">
        <f t="shared" si="17"/>
        <v>755.08328531304039</v>
      </c>
      <c r="DT49" s="62">
        <f ca="1">AVERAGE(OFFSET($DS$3,0,0,'Données projet'!$E$14+1,1))-AVERAGE(OFFSET($H$3,0,0,'Données projet'!$E$14+1,1))</f>
        <v>397.24714625007675</v>
      </c>
      <c r="DU49" s="62">
        <f t="shared" si="44"/>
        <v>431.75775520200608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9">
        <f t="shared" si="1"/>
        <v>256.66666666666669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2">
        <f t="shared" si="0"/>
        <v>683.96045320765336</v>
      </c>
      <c r="S50" s="62">
        <f ca="1">AVERAGE(OFFSET($R$3,0,0,'Données projet'!$E$9+1,1))-AVERAGE(OFFSET($H$3,0,0,'Données projet'!$E$9+1,1))</f>
        <v>509.56241660612449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19.777777777777779</v>
      </c>
      <c r="AI50" s="14">
        <f>IF('Données projet'!$A$62&gt;35,AI49+AH50-AQ49,IF(A50&lt;'Données projet'!$A$62,$AF$205^A50,IF(A50='Données projet'!$A$62,'Données projet'!$B$62,AI49+AH50-AQ49)))</f>
        <v>375.88888888888903</v>
      </c>
      <c r="AJ50" s="14">
        <f>AI50*VLOOKUP('Données projet'!$B$10,Paramètres!$A$1:$I$89,3,0)*VLOOKUP('Données projet'!$B$10,Paramètres!$A$1:$I$89,5,0)</f>
        <v>322.51266666666686</v>
      </c>
      <c r="AK50" s="14">
        <f t="shared" si="35"/>
        <v>75.875924604698398</v>
      </c>
      <c r="AL50" s="22">
        <f t="shared" si="4"/>
        <v>693.86012979762791</v>
      </c>
      <c r="AM50" s="62">
        <f t="shared" si="5"/>
        <v>987.19346313096116</v>
      </c>
      <c r="AN50" s="62">
        <f ca="1">AVERAGE(OFFSET($AM$3,0,0,'Données projet'!$E$10+1,1))-AVERAGE(OFFSET($H$3,0,0,'Données projet'!$E$10+1,1))</f>
        <v>625.17723604265689</v>
      </c>
      <c r="AO50" s="62">
        <f t="shared" si="36"/>
        <v>462.33909258902241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6.0256410256410273</v>
      </c>
      <c r="BD50" s="13">
        <f>IF('Données projet'!$A$88&gt;35,BD49+BC50-BL49,IF(A50&lt;'Données projet'!$A$88,$BA$205^A50,IF(A50='Données projet'!$A$88,'Données projet'!$B$88,BD49+BC50-BL49)))</f>
        <v>169.10256410256403</v>
      </c>
      <c r="BE50" s="14">
        <f>BD50*VLOOKUP('Données projet'!$B$11,Paramètres!$A$1:$I$89,3,0)*VLOOKUP('Données projet'!$B$11,Paramètres!$A$1:$I$89,5,0)</f>
        <v>160.91799999999992</v>
      </c>
      <c r="BF50" s="14">
        <f t="shared" si="37"/>
        <v>41.049503875172206</v>
      </c>
      <c r="BG50" s="22">
        <f t="shared" si="7"/>
        <v>351.76006924925809</v>
      </c>
      <c r="BH50" s="62">
        <f t="shared" si="8"/>
        <v>645.09340258259135</v>
      </c>
      <c r="BI50" s="62">
        <f ca="1">AVERAGE(OFFSET($BH$3,0,0,'Données projet'!$E$11+1,1))-AVERAGE(OFFSET($H$3,0,0,'Données projet'!$E$11+1,1))</f>
        <v>406.24139966722936</v>
      </c>
      <c r="BJ50" s="62">
        <f t="shared" si="38"/>
        <v>295.95724296920577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198.00000000000006</v>
      </c>
      <c r="BZ50" s="14">
        <f>BY50*VLOOKUP('Données projet'!$B$12,Paramètres!$A$1:$I$89,3,0)*VLOOKUP('Données projet'!$B$12,Paramètres!$A$1:$I$89,5,0)</f>
        <v>200.77200000000008</v>
      </c>
      <c r="CA50" s="14">
        <f t="shared" si="39"/>
        <v>49.913791898945412</v>
      </c>
      <c r="CB50" s="22">
        <f t="shared" si="10"/>
        <v>436.61108755732999</v>
      </c>
      <c r="CC50" s="62">
        <f t="shared" si="11"/>
        <v>729.94442089066331</v>
      </c>
      <c r="CD50" s="62">
        <f ca="1">AVERAGE(OFFSET($CC$3,0,0,'Données projet'!$E$12+1,1))-AVERAGE(OFFSET($H$3,0,0,'Données projet'!$E$12+1,1))</f>
        <v>565.72091871734051</v>
      </c>
      <c r="CE50" s="62">
        <f t="shared" si="40"/>
        <v>306.61893266146666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9.6</v>
      </c>
      <c r="CT50" s="13">
        <f>IF('Données projet'!$A$140&gt;35,CT49+CS50-DB49,IF(A50&lt;'Données projet'!$A$140,$CQ$205^A50,IF(A50='Données projet'!$A$140,'Données projet'!$B$140,CT49+CS50-DB49)))</f>
        <v>264.2</v>
      </c>
      <c r="CU50" s="18">
        <f>CT50*VLOOKUP('Données projet'!$B$13,Paramètres!$A$1:$I$89,3,0)*VLOOKUP('Données projet'!$B$13,Paramètres!$A$1:$I$89,5,0)</f>
        <v>230.80512000000002</v>
      </c>
      <c r="CV50" s="14">
        <f t="shared" si="41"/>
        <v>56.456731878408327</v>
      </c>
      <c r="CW50" s="22">
        <f t="shared" si="13"/>
        <v>500.3143920215611</v>
      </c>
      <c r="CX50" s="62">
        <f t="shared" si="14"/>
        <v>793.64772535489442</v>
      </c>
      <c r="CY50" s="62">
        <f ca="1">AVERAGE(OFFSET($CX$3,0,0,'Données projet'!$E$13+1,1))-AVERAGE(OFFSET($H$3,0,0,'Données projet'!$E$13+1,1))</f>
        <v>333.56306908115238</v>
      </c>
      <c r="CZ50" s="62">
        <f t="shared" si="42"/>
        <v>523.65456887919618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9.7800000000000065</v>
      </c>
      <c r="DO50" s="13">
        <f>IF('Données projet'!$A$166&gt;35,DO49+DN50-DW49,IF(A50&lt;'Données projet'!$A$166,$DL$205^A50,IF(A50='Données projet'!$A$166,'Données projet'!$B$166,DO49+DN50-DW49)))</f>
        <v>299.7600000000001</v>
      </c>
      <c r="DP50" s="18">
        <f>DO50*VLOOKUP('Données projet'!$B$14,Paramètres!$A$1:$I$89,3,0)*VLOOKUP('Données projet'!$B$14,Paramètres!$A$1:$I$89,5,0)</f>
        <v>219.78403200000005</v>
      </c>
      <c r="DQ50" s="14">
        <f t="shared" si="43"/>
        <v>54.067943460056277</v>
      </c>
      <c r="DR50" s="22">
        <f t="shared" si="16"/>
        <v>476.95885725959806</v>
      </c>
      <c r="DS50" s="62">
        <f t="shared" si="17"/>
        <v>770.29219059293132</v>
      </c>
      <c r="DT50" s="62">
        <f ca="1">AVERAGE(OFFSET($DS$3,0,0,'Données projet'!$E$14+1,1))-AVERAGE(OFFSET($H$3,0,0,'Données projet'!$E$14+1,1))</f>
        <v>397.24714625007675</v>
      </c>
      <c r="DU50" s="62">
        <f t="shared" si="44"/>
        <v>431.75775520200608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9">
        <f t="shared" si="1"/>
        <v>256.66666666666669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509.56241660612449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19.777777777777779</v>
      </c>
      <c r="AI51" s="14">
        <f>IF('Données projet'!$A$62&gt;35,AI50+AH51-AQ50,IF(A51&lt;'Données projet'!$A$62,$AF$205^A51,IF(A51='Données projet'!$A$62,'Données projet'!$B$62,AI50+AH51-AQ50)))</f>
        <v>395.6666666666668</v>
      </c>
      <c r="AJ51" s="14">
        <f>AI51*VLOOKUP('Données projet'!$B$10,Paramètres!$A$1:$I$89,3,0)*VLOOKUP('Données projet'!$B$10,Paramètres!$A$1:$I$89,5,0)</f>
        <v>339.48200000000014</v>
      </c>
      <c r="AK51" s="14">
        <f t="shared" si="35"/>
        <v>79.392914847187868</v>
      </c>
      <c r="AL51" s="22">
        <f t="shared" si="4"/>
        <v>729.54047669218573</v>
      </c>
      <c r="AM51" s="62">
        <f t="shared" si="5"/>
        <v>1022.8738100255191</v>
      </c>
      <c r="AN51" s="62">
        <f ca="1">AVERAGE(OFFSET($AM$3,0,0,'Données projet'!$E$10+1,1))-AVERAGE(OFFSET($H$3,0,0,'Données projet'!$E$10+1,1))</f>
        <v>625.17723604265689</v>
      </c>
      <c r="AO51" s="62">
        <f t="shared" si="36"/>
        <v>462.33909258902241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6.0256410256410273</v>
      </c>
      <c r="BD51" s="13">
        <f>IF('Données projet'!$A$88&gt;35,BD50+BC51-BL50,IF(A51&lt;'Données projet'!$A$88,$BA$205^A51,IF(A51='Données projet'!$A$88,'Données projet'!$B$88,BD50+BC51-BL50)))</f>
        <v>175.12820512820505</v>
      </c>
      <c r="BE51" s="14">
        <f>BD51*VLOOKUP('Données projet'!$B$11,Paramètres!$A$1:$I$89,3,0)*VLOOKUP('Données projet'!$B$11,Paramètres!$A$1:$I$89,5,0)</f>
        <v>166.65199999999993</v>
      </c>
      <c r="BF51" s="14">
        <f t="shared" si="37"/>
        <v>42.339317127801309</v>
      </c>
      <c r="BG51" s="22">
        <f t="shared" si="7"/>
        <v>363.99321066425381</v>
      </c>
      <c r="BH51" s="62">
        <f t="shared" si="8"/>
        <v>657.32654399758712</v>
      </c>
      <c r="BI51" s="62">
        <f ca="1">AVERAGE(OFFSET($BH$3,0,0,'Données projet'!$E$11+1,1))-AVERAGE(OFFSET($H$3,0,0,'Données projet'!$E$11+1,1))</f>
        <v>406.24139966722936</v>
      </c>
      <c r="BJ51" s="62">
        <f t="shared" si="38"/>
        <v>295.95724296920577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209.00000000000006</v>
      </c>
      <c r="BZ51" s="14">
        <f>BY51*VLOOKUP('Données projet'!$B$12,Paramètres!$A$1:$I$89,3,0)*VLOOKUP('Données projet'!$B$12,Paramètres!$A$1:$I$89,5,0)</f>
        <v>211.92600000000007</v>
      </c>
      <c r="CA51" s="14">
        <f t="shared" si="39"/>
        <v>52.356241262970165</v>
      </c>
      <c r="CB51" s="22">
        <f t="shared" si="10"/>
        <v>460.29157019967312</v>
      </c>
      <c r="CC51" s="62">
        <f t="shared" si="11"/>
        <v>753.62490353300643</v>
      </c>
      <c r="CD51" s="62">
        <f ca="1">AVERAGE(OFFSET($CC$3,0,0,'Données projet'!$E$12+1,1))-AVERAGE(OFFSET($H$3,0,0,'Données projet'!$E$12+1,1))</f>
        <v>565.72091871734051</v>
      </c>
      <c r="CE51" s="62">
        <f t="shared" si="40"/>
        <v>306.61893266146666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9.6</v>
      </c>
      <c r="CT51" s="13">
        <f>IF('Données projet'!$A$140&gt;35,CT50+CS51-DB50,IF(A51&lt;'Données projet'!$A$140,$CQ$205^A51,IF(A51='Données projet'!$A$140,'Données projet'!$B$140,CT50+CS51-DB50)))</f>
        <v>273.8</v>
      </c>
      <c r="CU51" s="18">
        <f>CT51*VLOOKUP('Données projet'!$B$13,Paramètres!$A$1:$I$89,3,0)*VLOOKUP('Données projet'!$B$13,Paramètres!$A$1:$I$89,5,0)</f>
        <v>239.19168000000005</v>
      </c>
      <c r="CV51" s="14">
        <f t="shared" si="41"/>
        <v>58.265582363565784</v>
      </c>
      <c r="CW51" s="22">
        <f t="shared" si="13"/>
        <v>518.07139861654389</v>
      </c>
      <c r="CX51" s="62">
        <f t="shared" si="14"/>
        <v>811.40473194987726</v>
      </c>
      <c r="CY51" s="62">
        <f ca="1">AVERAGE(OFFSET($CX$3,0,0,'Données projet'!$E$13+1,1))-AVERAGE(OFFSET($H$3,0,0,'Données projet'!$E$13+1,1))</f>
        <v>333.56306908115238</v>
      </c>
      <c r="CZ51" s="62">
        <f t="shared" si="42"/>
        <v>523.65456887919618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9.7800000000000065</v>
      </c>
      <c r="DO51" s="13">
        <f>IF('Données projet'!$A$166&gt;35,DO50+DN51-DW50,IF(A51&lt;'Données projet'!$A$166,$DL$205^A51,IF(A51='Données projet'!$A$166,'Données projet'!$B$166,DO50+DN51-DW50)))</f>
        <v>309.54000000000013</v>
      </c>
      <c r="DP51" s="18">
        <f>DO51*VLOOKUP('Données projet'!$B$14,Paramètres!$A$1:$I$89,3,0)*VLOOKUP('Données projet'!$B$14,Paramètres!$A$1:$I$89,5,0)</f>
        <v>226.9547280000001</v>
      </c>
      <c r="DQ51" s="14">
        <f t="shared" si="43"/>
        <v>55.623712609135644</v>
      </c>
      <c r="DR51" s="22">
        <f t="shared" si="16"/>
        <v>492.15745072757801</v>
      </c>
      <c r="DS51" s="62">
        <f t="shared" si="17"/>
        <v>785.49078406091132</v>
      </c>
      <c r="DT51" s="62">
        <f ca="1">AVERAGE(OFFSET($DS$3,0,0,'Données projet'!$E$14+1,1))-AVERAGE(OFFSET($H$3,0,0,'Données projet'!$E$14+1,1))</f>
        <v>397.24714625007675</v>
      </c>
      <c r="DU51" s="62">
        <f t="shared" si="44"/>
        <v>431.75775520200608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9">
        <f t="shared" si="1"/>
        <v>256.66666666666669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509.56241660612449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19.777777777777779</v>
      </c>
      <c r="AI52" s="14">
        <f>IF('Données projet'!$A$62&gt;35,AI51+AH52-AQ51,IF(A52&lt;'Données projet'!$A$62,$AF$205^A52,IF(A52='Données projet'!$A$62,'Données projet'!$B$62,AI51+AH52-AQ51)))</f>
        <v>415.44444444444457</v>
      </c>
      <c r="AJ52" s="14">
        <f>AI52*VLOOKUP('Données projet'!$B$10,Paramètres!$A$1:$I$89,3,0)*VLOOKUP('Données projet'!$B$10,Paramètres!$A$1:$I$89,5,0)</f>
        <v>356.45133333333348</v>
      </c>
      <c r="AK52" s="14">
        <f t="shared" si="35"/>
        <v>82.889492395711216</v>
      </c>
      <c r="AL52" s="22">
        <f t="shared" si="4"/>
        <v>765.18527147808618</v>
      </c>
      <c r="AM52" s="62">
        <f t="shared" si="5"/>
        <v>1058.5186048114194</v>
      </c>
      <c r="AN52" s="62">
        <f ca="1">AVERAGE(OFFSET($AM$3,0,0,'Données projet'!$E$10+1,1))-AVERAGE(OFFSET($H$3,0,0,'Données projet'!$E$10+1,1))</f>
        <v>625.17723604265689</v>
      </c>
      <c r="AO52" s="62">
        <f t="shared" si="36"/>
        <v>462.33909258902241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6.0256410256410273</v>
      </c>
      <c r="BD52" s="13">
        <f>IF('Données projet'!$A$88&gt;35,BD51+BC52-BL51,IF(A52&lt;'Données projet'!$A$88,$BA$205^A52,IF(A52='Données projet'!$A$88,'Données projet'!$B$88,BD51+BC52-BL51)))</f>
        <v>181.15384615384608</v>
      </c>
      <c r="BE52" s="14">
        <f>BD52*VLOOKUP('Données projet'!$B$11,Paramètres!$A$1:$I$89,3,0)*VLOOKUP('Données projet'!$B$11,Paramètres!$A$1:$I$89,5,0)</f>
        <v>172.38599999999991</v>
      </c>
      <c r="BF52" s="14">
        <f t="shared" si="37"/>
        <v>43.623973962324399</v>
      </c>
      <c r="BG52" s="22">
        <f t="shared" si="7"/>
        <v>376.21737131771482</v>
      </c>
      <c r="BH52" s="62">
        <f t="shared" si="8"/>
        <v>669.55070465104814</v>
      </c>
      <c r="BI52" s="62">
        <f ca="1">AVERAGE(OFFSET($BH$3,0,0,'Données projet'!$E$11+1,1))-AVERAGE(OFFSET($H$3,0,0,'Données projet'!$E$11+1,1))</f>
        <v>406.24139966722936</v>
      </c>
      <c r="BJ52" s="62">
        <f t="shared" si="38"/>
        <v>295.95724296920577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220.00000000000006</v>
      </c>
      <c r="BZ52" s="14">
        <f>BY52*VLOOKUP('Données projet'!$B$12,Paramètres!$A$1:$I$89,3,0)*VLOOKUP('Données projet'!$B$12,Paramètres!$A$1:$I$89,5,0)</f>
        <v>223.08000000000004</v>
      </c>
      <c r="CA52" s="14">
        <f t="shared" si="39"/>
        <v>54.783765878062667</v>
      </c>
      <c r="CB52" s="22">
        <f t="shared" si="10"/>
        <v>483.94605890429256</v>
      </c>
      <c r="CC52" s="62">
        <f t="shared" si="11"/>
        <v>777.27939223762587</v>
      </c>
      <c r="CD52" s="62">
        <f ca="1">AVERAGE(OFFSET($CC$3,0,0,'Données projet'!$E$12+1,1))-AVERAGE(OFFSET($H$3,0,0,'Données projet'!$E$12+1,1))</f>
        <v>565.72091871734051</v>
      </c>
      <c r="CE52" s="62">
        <f t="shared" si="40"/>
        <v>306.61893266146666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9.6</v>
      </c>
      <c r="CT52" s="13">
        <f>IF('Données projet'!$A$140&gt;35,CT51+CS52-DB51,IF(A52&lt;'Données projet'!$A$140,$CQ$205^A52,IF(A52='Données projet'!$A$140,'Données projet'!$B$140,CT51+CS52-DB51)))</f>
        <v>283.40000000000003</v>
      </c>
      <c r="CU52" s="18">
        <f>CT52*VLOOKUP('Données projet'!$B$13,Paramètres!$A$1:$I$89,3,0)*VLOOKUP('Données projet'!$B$13,Paramètres!$A$1:$I$89,5,0)</f>
        <v>247.57824000000005</v>
      </c>
      <c r="CV52" s="14">
        <f t="shared" si="41"/>
        <v>60.067063968069249</v>
      </c>
      <c r="CW52" s="22">
        <f t="shared" si="13"/>
        <v>535.81557107772062</v>
      </c>
      <c r="CX52" s="62">
        <f t="shared" si="14"/>
        <v>829.14890441105399</v>
      </c>
      <c r="CY52" s="62">
        <f ca="1">AVERAGE(OFFSET($CX$3,0,0,'Données projet'!$E$13+1,1))-AVERAGE(OFFSET($H$3,0,0,'Données projet'!$E$13+1,1))</f>
        <v>333.56306908115238</v>
      </c>
      <c r="CZ52" s="62">
        <f t="shared" si="42"/>
        <v>523.65456887919618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9.7800000000000065</v>
      </c>
      <c r="DO52" s="13">
        <f>IF('Données projet'!$A$166&gt;35,DO51+DN52-DW51,IF(A52&lt;'Données projet'!$A$166,$DL$205^A52,IF(A52='Données projet'!$A$166,'Données projet'!$B$166,DO51+DN52-DW51)))</f>
        <v>319.32000000000016</v>
      </c>
      <c r="DP52" s="18">
        <f>DO52*VLOOKUP('Données projet'!$B$14,Paramètres!$A$1:$I$89,3,0)*VLOOKUP('Données projet'!$B$14,Paramètres!$A$1:$I$89,5,0)</f>
        <v>234.12542400000012</v>
      </c>
      <c r="DQ52" s="14">
        <f t="shared" si="43"/>
        <v>57.173769626631554</v>
      </c>
      <c r="DR52" s="22">
        <f t="shared" si="16"/>
        <v>507.34609556638355</v>
      </c>
      <c r="DS52" s="62">
        <f t="shared" si="17"/>
        <v>800.67942889971687</v>
      </c>
      <c r="DT52" s="62">
        <f ca="1">AVERAGE(OFFSET($DS$3,0,0,'Données projet'!$E$14+1,1))-AVERAGE(OFFSET($H$3,0,0,'Données projet'!$E$14+1,1))</f>
        <v>397.24714625007675</v>
      </c>
      <c r="DU52" s="62">
        <f t="shared" si="44"/>
        <v>431.75775520200608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9">
        <f t="shared" si="1"/>
        <v>256.66666666666669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509.56241660612449</v>
      </c>
      <c r="T53" s="62">
        <f t="shared" si="34"/>
        <v>278.21741231699929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19.777777777777779</v>
      </c>
      <c r="AI53" s="14">
        <f>IF('Données projet'!$A$62&gt;35,AI52+AH53-AQ52,IF(A53&lt;'Données projet'!$A$62,$AF$205^A53,IF(A53='Données projet'!$A$62,'Données projet'!$B$62,AI52+AH53-AQ52)))</f>
        <v>435.22222222222234</v>
      </c>
      <c r="AJ53" s="14">
        <f>AI53*VLOOKUP('Données projet'!$B$10,Paramètres!$A$1:$I$89,3,0)*VLOOKUP('Données projet'!$B$10,Paramètres!$A$1:$I$89,5,0)</f>
        <v>373.42066666666682</v>
      </c>
      <c r="AK53" s="14">
        <f t="shared" si="35"/>
        <v>86.366739974019524</v>
      </c>
      <c r="AL53" s="22">
        <f t="shared" si="4"/>
        <v>800.79639989919531</v>
      </c>
      <c r="AM53" s="62">
        <f t="shared" si="5"/>
        <v>1094.1297332325287</v>
      </c>
      <c r="AN53" s="62">
        <f ca="1">AVERAGE(OFFSET($AM$3,0,0,'Données projet'!$E$10+1,1))-AVERAGE(OFFSET($H$3,0,0,'Données projet'!$E$10+1,1))</f>
        <v>625.17723604265689</v>
      </c>
      <c r="AO53" s="62">
        <f t="shared" si="36"/>
        <v>462.33909258902241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187.17948717948718</v>
      </c>
      <c r="BB53" s="13">
        <f>VLOOKUP(A53,'Données projet'!$A$87:$I$107,9,0)</f>
        <v>6.0256410256410273</v>
      </c>
      <c r="BC53" s="13">
        <f t="array" ref="BC53">INDEX(BB:BB,MIN(IF(ISNUMBER(BB53:BB249),ROW(BB53:BB249),"")))</f>
        <v>6.0256410256410273</v>
      </c>
      <c r="BD53" s="13">
        <f>IF('Données projet'!$A$88&gt;35,BD52+BC53-BL52,IF(A53&lt;'Données projet'!$A$88,$BA$205^A53,IF(A53='Données projet'!$A$88,'Données projet'!$B$88,BD52+BC53-BL52)))</f>
        <v>187.1794871794871</v>
      </c>
      <c r="BE53" s="14">
        <f>BD53*VLOOKUP('Données projet'!$B$11,Paramètres!$A$1:$I$89,3,0)*VLOOKUP('Données projet'!$B$11,Paramètres!$A$1:$I$89,5,0)</f>
        <v>178.11999999999992</v>
      </c>
      <c r="BF53" s="14">
        <f t="shared" si="37"/>
        <v>44.90366556024162</v>
      </c>
      <c r="BG53" s="22">
        <f t="shared" si="7"/>
        <v>388.4328841840873</v>
      </c>
      <c r="BH53" s="62">
        <f t="shared" si="8"/>
        <v>681.76621751742061</v>
      </c>
      <c r="BI53" s="62">
        <f ca="1">AVERAGE(OFFSET($BH$3,0,0,'Données projet'!$E$11+1,1))-AVERAGE(OFFSET($H$3,0,0,'Données projet'!$E$11+1,1))</f>
        <v>406.24139966722936</v>
      </c>
      <c r="BJ53" s="62">
        <f t="shared" si="38"/>
        <v>295.95724296920577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231.00000000000006</v>
      </c>
      <c r="BZ53" s="14">
        <f>BY53*VLOOKUP('Données projet'!$B$12,Paramètres!$A$1:$I$89,3,0)*VLOOKUP('Données projet'!$B$12,Paramètres!$A$1:$I$89,5,0)</f>
        <v>234.23400000000007</v>
      </c>
      <c r="CA53" s="14">
        <f t="shared" si="39"/>
        <v>57.197197133603488</v>
      </c>
      <c r="CB53" s="22">
        <f t="shared" si="10"/>
        <v>507.57600167435953</v>
      </c>
      <c r="CC53" s="62">
        <f t="shared" si="11"/>
        <v>800.90933500769279</v>
      </c>
      <c r="CD53" s="62">
        <f ca="1">AVERAGE(OFFSET($CC$3,0,0,'Données projet'!$E$12+1,1))-AVERAGE(OFFSET($H$3,0,0,'Données projet'!$E$12+1,1))</f>
        <v>565.72091871734051</v>
      </c>
      <c r="CE53" s="62">
        <f t="shared" si="40"/>
        <v>306.61893266146666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293</v>
      </c>
      <c r="CR53" s="13">
        <f>VLOOKUP(A53,'Données projet'!$A$139:$I$159,9,0)</f>
        <v>9.6</v>
      </c>
      <c r="CS53" s="13">
        <f t="array" ref="CS53">INDEX(CR:CR,MIN(IF(ISNUMBER(CR53:CR249),ROW(CR53:CR249),"")))</f>
        <v>9.6</v>
      </c>
      <c r="CT53" s="13">
        <f>IF('Données projet'!$A$140&gt;35,CT52+CS53-DB52,IF(A53&lt;'Données projet'!$A$140,$CQ$205^A53,IF(A53='Données projet'!$A$140,'Données projet'!$B$140,CT52+CS53-DB52)))</f>
        <v>293.00000000000006</v>
      </c>
      <c r="CU53" s="18">
        <f>CT53*VLOOKUP('Données projet'!$B$13,Paramètres!$A$1:$I$89,3,0)*VLOOKUP('Données projet'!$B$13,Paramètres!$A$1:$I$89,5,0)</f>
        <v>255.96480000000008</v>
      </c>
      <c r="CV53" s="14">
        <f t="shared" si="41"/>
        <v>61.861454922966502</v>
      </c>
      <c r="CW53" s="22">
        <f t="shared" si="13"/>
        <v>553.54739399083348</v>
      </c>
      <c r="CX53" s="62">
        <f t="shared" si="14"/>
        <v>846.88072732416686</v>
      </c>
      <c r="CY53" s="62">
        <f ca="1">AVERAGE(OFFSET($CX$3,0,0,'Données projet'!$E$13+1,1))-AVERAGE(OFFSET($H$3,0,0,'Données projet'!$E$13+1,1))</f>
        <v>333.56306908115238</v>
      </c>
      <c r="CZ53" s="62">
        <f t="shared" si="42"/>
        <v>523.65456887919618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78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329.1</v>
      </c>
      <c r="DM53" s="13">
        <f>VLOOKUP(A53,'Données projet'!$A$165:$I$185,9,0)</f>
        <v>9.7800000000000065</v>
      </c>
      <c r="DN53" s="13">
        <f t="array" ref="DN53">INDEX(DM:DM,MIN(IF(ISNUMBER(DM53:DM249),ROW(DM53:DM249),"")))</f>
        <v>9.7800000000000065</v>
      </c>
      <c r="DO53" s="13">
        <f>IF('Données projet'!$A$166&gt;35,DO52+DN53-DW52,IF(A53&lt;'Données projet'!$A$166,$DL$205^A53,IF(A53='Données projet'!$A$166,'Données projet'!$B$166,DO52+DN53-DW52)))</f>
        <v>329.10000000000019</v>
      </c>
      <c r="DP53" s="18">
        <f>DO53*VLOOKUP('Données projet'!$B$14,Paramètres!$A$1:$I$89,3,0)*VLOOKUP('Données projet'!$B$14,Paramètres!$A$1:$I$89,5,0)</f>
        <v>241.29612000000012</v>
      </c>
      <c r="DQ53" s="14">
        <f t="shared" si="43"/>
        <v>58.718309539484167</v>
      </c>
      <c r="DR53" s="22">
        <f t="shared" si="16"/>
        <v>522.52513144793522</v>
      </c>
      <c r="DS53" s="62">
        <f t="shared" si="17"/>
        <v>815.85846478126859</v>
      </c>
      <c r="DT53" s="62">
        <f ca="1">AVERAGE(OFFSET($DS$3,0,0,'Données projet'!$E$14+1,1))-AVERAGE(OFFSET($H$3,0,0,'Données projet'!$E$14+1,1))</f>
        <v>397.24714625007675</v>
      </c>
      <c r="DU53" s="62">
        <f t="shared" si="44"/>
        <v>431.75775520200608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47.5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9">
        <f t="shared" si="1"/>
        <v>256.66666666666669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2">
        <f t="shared" si="0"/>
        <v>767.01346305295999</v>
      </c>
      <c r="S54" s="62">
        <f ca="1">AVERAGE(OFFSET($R$3,0,0,'Données projet'!$E$9+1,1))-AVERAGE(OFFSET($H$3,0,0,'Données projet'!$E$9+1,1))</f>
        <v>509.56241660612449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>
        <f>VLOOKUP(A54,'Données projet'!$A$61:$I$81,2,0)</f>
        <v>455</v>
      </c>
      <c r="AG54" s="13">
        <f>VLOOKUP(A54,'Données projet'!$A$61:$I$81,9,0)</f>
        <v>19.777777777777779</v>
      </c>
      <c r="AH54" s="13">
        <f t="array" ref="AH54">INDEX(AG:AG,MIN(IF(ISNUMBER(AG54:AG250),ROW(AG54:AG250),"")))</f>
        <v>19.777777777777779</v>
      </c>
      <c r="AI54" s="14">
        <f>IF('Données projet'!$A$62&gt;35,AI53+AH54-AQ53,IF(A54&lt;'Données projet'!$A$62,$AF$205^A54,IF(A54='Données projet'!$A$62,'Données projet'!$B$62,AI53+AH54-AQ53)))</f>
        <v>455.00000000000011</v>
      </c>
      <c r="AJ54" s="14">
        <f>AI54*VLOOKUP('Données projet'!$B$10,Paramètres!$A$1:$I$89,3,0)*VLOOKUP('Données projet'!$B$10,Paramètres!$A$1:$I$89,5,0)</f>
        <v>390.39000000000016</v>
      </c>
      <c r="AK54" s="14">
        <f t="shared" si="35"/>
        <v>89.825636339119924</v>
      </c>
      <c r="AL54" s="22">
        <f t="shared" si="4"/>
        <v>836.37556662396753</v>
      </c>
      <c r="AM54" s="62">
        <f t="shared" si="5"/>
        <v>1129.7088999573009</v>
      </c>
      <c r="AN54" s="62">
        <f ca="1">AVERAGE(OFFSET($AM$3,0,0,'Données projet'!$E$10+1,1))-AVERAGE(OFFSET($H$3,0,0,'Données projet'!$E$10+1,1))</f>
        <v>625.17723604265689</v>
      </c>
      <c r="AO54" s="62">
        <f t="shared" si="36"/>
        <v>462.33909258902241</v>
      </c>
      <c r="AP54" s="16">
        <f>IF(ISNA(VLOOKUP(A54,'Données projet'!$A$61:$I$81,3,0)),0,VLOOKUP(A54,'Données projet'!$A$61:$I$81,3,0))</f>
        <v>8</v>
      </c>
      <c r="AQ54" s="16">
        <f>IF(ISNA(VLOOKUP(A54,'Données projet'!$A$61:$I$81,4,0)),0,VLOOKUP(A54,'Données projet'!$A$61:$I$81,4,0))</f>
        <v>119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5.6410256410256405</v>
      </c>
      <c r="BD54" s="13">
        <f>IF('Données projet'!$A$88&gt;35,BD53+BC54-BL53,IF(A54&lt;'Données projet'!$A$88,$BA$205^A54,IF(A54='Données projet'!$A$88,'Données projet'!$B$88,BD53+BC54-BL53)))</f>
        <v>192.82051282051273</v>
      </c>
      <c r="BE54" s="14">
        <f>BD54*VLOOKUP('Données projet'!$B$11,Paramètres!$A$1:$I$89,3,0)*VLOOKUP('Données projet'!$B$11,Paramètres!$A$1:$I$89,5,0)</f>
        <v>183.48799999999991</v>
      </c>
      <c r="BF54" s="14">
        <f t="shared" si="37"/>
        <v>46.097332970867861</v>
      </c>
      <c r="BG54" s="22">
        <f t="shared" si="7"/>
        <v>399.86112159092801</v>
      </c>
      <c r="BH54" s="62">
        <f t="shared" si="8"/>
        <v>693.19445492426132</v>
      </c>
      <c r="BI54" s="62">
        <f ca="1">AVERAGE(OFFSET($BH$3,0,0,'Données projet'!$E$11+1,1))-AVERAGE(OFFSET($H$3,0,0,'Données projet'!$E$11+1,1))</f>
        <v>406.24139966722936</v>
      </c>
      <c r="BJ54" s="62">
        <f t="shared" si="38"/>
        <v>295.95724296920577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241.20000000000005</v>
      </c>
      <c r="BZ54" s="14">
        <f>BY54*VLOOKUP('Données projet'!$B$12,Paramètres!$A$1:$I$89,3,0)*VLOOKUP('Données projet'!$B$12,Paramètres!$A$1:$I$89,5,0)</f>
        <v>244.57680000000005</v>
      </c>
      <c r="CA54" s="14">
        <f t="shared" si="39"/>
        <v>59.423166060201147</v>
      </c>
      <c r="CB54" s="22">
        <f t="shared" si="10"/>
        <v>529.46660755485038</v>
      </c>
      <c r="CC54" s="62">
        <f t="shared" si="11"/>
        <v>822.79994088818376</v>
      </c>
      <c r="CD54" s="62">
        <f ca="1">AVERAGE(OFFSET($CC$3,0,0,'Données projet'!$E$12+1,1))-AVERAGE(OFFSET($H$3,0,0,'Données projet'!$E$12+1,1))</f>
        <v>565.72091871734051</v>
      </c>
      <c r="CE54" s="62">
        <f t="shared" si="40"/>
        <v>306.61893266146666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8.6</v>
      </c>
      <c r="CT54" s="13">
        <f>IF('Données projet'!$A$140&gt;35,CT53+CS54-DB53,IF(A54&lt;'Données projet'!$A$140,$CQ$205^A54,IF(A54='Données projet'!$A$140,'Données projet'!$B$140,CT53+CS54-DB53)))</f>
        <v>223.60000000000008</v>
      </c>
      <c r="CU54" s="18">
        <f>CT54*VLOOKUP('Données projet'!$B$13,Paramètres!$A$1:$I$89,3,0)*VLOOKUP('Données projet'!$B$13,Paramètres!$A$1:$I$89,5,0)</f>
        <v>195.33696000000009</v>
      </c>
      <c r="CV54" s="14">
        <f t="shared" si="41"/>
        <v>48.717969863105488</v>
      </c>
      <c r="CW54" s="22">
        <f t="shared" si="13"/>
        <v>425.06233617824211</v>
      </c>
      <c r="CX54" s="62">
        <f t="shared" si="14"/>
        <v>718.39566951157542</v>
      </c>
      <c r="CY54" s="62">
        <f ca="1">AVERAGE(OFFSET($CX$3,0,0,'Données projet'!$E$13+1,1))-AVERAGE(OFFSET($H$3,0,0,'Données projet'!$E$13+1,1))</f>
        <v>333.56306908115238</v>
      </c>
      <c r="CZ54" s="62">
        <f t="shared" si="42"/>
        <v>523.65456887919618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8.4999999999999893</v>
      </c>
      <c r="DO54" s="13">
        <f>IF('Données projet'!$A$166&gt;35,DO53+DN54-DW53,IF(A54&lt;'Données projet'!$A$166,$DL$205^A54,IF(A54='Données projet'!$A$166,'Données projet'!$B$166,DO53+DN54-DW53)))</f>
        <v>290.10000000000019</v>
      </c>
      <c r="DP54" s="18">
        <f>DO54*VLOOKUP('Données projet'!$B$14,Paramètres!$A$1:$I$89,3,0)*VLOOKUP('Données projet'!$B$14,Paramètres!$A$1:$I$89,5,0)</f>
        <v>212.70132000000015</v>
      </c>
      <c r="DQ54" s="14">
        <f t="shared" si="43"/>
        <v>52.525452249950405</v>
      </c>
      <c r="DR54" s="22">
        <f t="shared" si="16"/>
        <v>461.93662833533045</v>
      </c>
      <c r="DS54" s="62">
        <f t="shared" si="17"/>
        <v>755.26996166866377</v>
      </c>
      <c r="DT54" s="62">
        <f ca="1">AVERAGE(OFFSET($DS$3,0,0,'Données projet'!$E$14+1,1))-AVERAGE(OFFSET($H$3,0,0,'Données projet'!$E$14+1,1))</f>
        <v>397.24714625007675</v>
      </c>
      <c r="DU54" s="62">
        <f t="shared" si="44"/>
        <v>431.75775520200608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9">
        <f t="shared" si="1"/>
        <v>256.66666666666669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2">
        <f t="shared" si="0"/>
        <v>786.57558808183126</v>
      </c>
      <c r="S55" s="62">
        <f ca="1">AVERAGE(OFFSET($R$3,0,0,'Données projet'!$E$9+1,1))-AVERAGE(OFFSET($H$3,0,0,'Données projet'!$E$9+1,1))</f>
        <v>509.56241660612449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15.75</v>
      </c>
      <c r="AI55" s="14">
        <f>IF('Données projet'!$A$62&gt;35,AI54+AH55-AQ54,IF(A55&lt;'Données projet'!$A$62,$AF$205^A55,IF(A55='Données projet'!$A$62,'Données projet'!$B$62,AI54+AH55-AQ54)))</f>
        <v>351.75000000000011</v>
      </c>
      <c r="AJ55" s="14">
        <f>AI55*VLOOKUP('Données projet'!$B$10,Paramètres!$A$1:$I$89,3,0)*VLOOKUP('Données projet'!$B$10,Paramètres!$A$1:$I$89,5,0)</f>
        <v>301.80150000000015</v>
      </c>
      <c r="AK55" s="14">
        <f t="shared" si="35"/>
        <v>71.553995376057969</v>
      </c>
      <c r="AL55" s="22">
        <f t="shared" si="4"/>
        <v>650.26082111330118</v>
      </c>
      <c r="AM55" s="62">
        <f t="shared" si="5"/>
        <v>943.59415444663455</v>
      </c>
      <c r="AN55" s="62">
        <f ca="1">AVERAGE(OFFSET($AM$3,0,0,'Données projet'!$E$10+1,1))-AVERAGE(OFFSET($H$3,0,0,'Données projet'!$E$10+1,1))</f>
        <v>625.17723604265689</v>
      </c>
      <c r="AO55" s="62">
        <f t="shared" si="36"/>
        <v>462.33909258902241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5.6410256410256405</v>
      </c>
      <c r="BD55" s="13">
        <f>IF('Données projet'!$A$88&gt;35,BD54+BC55-BL54,IF(A55&lt;'Données projet'!$A$88,$BA$205^A55,IF(A55='Données projet'!$A$88,'Données projet'!$B$88,BD54+BC55-BL54)))</f>
        <v>198.46153846153837</v>
      </c>
      <c r="BE55" s="14">
        <f>BD55*VLOOKUP('Données projet'!$B$11,Paramètres!$A$1:$I$89,3,0)*VLOOKUP('Données projet'!$B$11,Paramètres!$A$1:$I$89,5,0)</f>
        <v>188.85599999999991</v>
      </c>
      <c r="BF55" s="14">
        <f t="shared" si="37"/>
        <v>47.286941864448139</v>
      </c>
      <c r="BG55" s="22">
        <f t="shared" si="7"/>
        <v>411.28229041391364</v>
      </c>
      <c r="BH55" s="62">
        <f t="shared" si="8"/>
        <v>704.6156237472469</v>
      </c>
      <c r="BI55" s="62">
        <f ca="1">AVERAGE(OFFSET($BH$3,0,0,'Données projet'!$E$11+1,1))-AVERAGE(OFFSET($H$3,0,0,'Données projet'!$E$11+1,1))</f>
        <v>406.24139966722936</v>
      </c>
      <c r="BJ55" s="62">
        <f t="shared" si="38"/>
        <v>295.95724296920577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251.40000000000003</v>
      </c>
      <c r="BZ55" s="14">
        <f>BY55*VLOOKUP('Données projet'!$B$12,Paramètres!$A$1:$I$89,3,0)*VLOOKUP('Données projet'!$B$12,Paramètres!$A$1:$I$89,5,0)</f>
        <v>254.91960000000006</v>
      </c>
      <c r="CA55" s="14">
        <f t="shared" si="39"/>
        <v>61.638201385772277</v>
      </c>
      <c r="CB55" s="22">
        <f t="shared" si="10"/>
        <v>551.33817074688682</v>
      </c>
      <c r="CC55" s="62">
        <f t="shared" si="11"/>
        <v>844.67150408022007</v>
      </c>
      <c r="CD55" s="62">
        <f ca="1">AVERAGE(OFFSET($CC$3,0,0,'Données projet'!$E$12+1,1))-AVERAGE(OFFSET($H$3,0,0,'Données projet'!$E$12+1,1))</f>
        <v>565.72091871734051</v>
      </c>
      <c r="CE55" s="62">
        <f t="shared" si="40"/>
        <v>306.61893266146666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8.6</v>
      </c>
      <c r="CT55" s="13">
        <f>IF('Données projet'!$A$140&gt;35,CT54+CS55-DB54,IF(A55&lt;'Données projet'!$A$140,$CQ$205^A55,IF(A55='Données projet'!$A$140,'Données projet'!$B$140,CT54+CS55-DB54)))</f>
        <v>232.20000000000007</v>
      </c>
      <c r="CU55" s="18">
        <f>CT55*VLOOKUP('Données projet'!$B$13,Paramètres!$A$1:$I$89,3,0)*VLOOKUP('Données projet'!$B$13,Paramètres!$A$1:$I$89,5,0)</f>
        <v>202.84992000000011</v>
      </c>
      <c r="CV55" s="14">
        <f t="shared" si="41"/>
        <v>50.369977187686075</v>
      </c>
      <c r="CW55" s="22">
        <f t="shared" si="13"/>
        <v>441.02465426855338</v>
      </c>
      <c r="CX55" s="62">
        <f t="shared" si="14"/>
        <v>734.35798760188663</v>
      </c>
      <c r="CY55" s="62">
        <f ca="1">AVERAGE(OFFSET($CX$3,0,0,'Données projet'!$E$13+1,1))-AVERAGE(OFFSET($H$3,0,0,'Données projet'!$E$13+1,1))</f>
        <v>333.56306908115238</v>
      </c>
      <c r="CZ55" s="62">
        <f t="shared" si="42"/>
        <v>523.65456887919618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8.4999999999999893</v>
      </c>
      <c r="DO55" s="13">
        <f>IF('Données projet'!$A$166&gt;35,DO54+DN55-DW54,IF(A55&lt;'Données projet'!$A$166,$DL$205^A55,IF(A55='Données projet'!$A$166,'Données projet'!$B$166,DO54+DN55-DW54)))</f>
        <v>298.60000000000019</v>
      </c>
      <c r="DP55" s="18">
        <f>DO55*VLOOKUP('Données projet'!$B$14,Paramètres!$A$1:$I$89,3,0)*VLOOKUP('Données projet'!$B$14,Paramètres!$A$1:$I$89,5,0)</f>
        <v>218.93352000000013</v>
      </c>
      <c r="DQ55" s="14">
        <f t="shared" si="43"/>
        <v>53.88302604693898</v>
      </c>
      <c r="DR55" s="22">
        <f t="shared" si="16"/>
        <v>475.15548436508561</v>
      </c>
      <c r="DS55" s="62">
        <f t="shared" si="17"/>
        <v>768.48881769841887</v>
      </c>
      <c r="DT55" s="62">
        <f ca="1">AVERAGE(OFFSET($DS$3,0,0,'Données projet'!$E$14+1,1))-AVERAGE(OFFSET($H$3,0,0,'Données projet'!$E$14+1,1))</f>
        <v>397.24714625007675</v>
      </c>
      <c r="DU55" s="62">
        <f t="shared" si="44"/>
        <v>431.75775520200608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9">
        <f t="shared" si="1"/>
        <v>256.66666666666669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2">
        <f t="shared" si="0"/>
        <v>806.12127283656628</v>
      </c>
      <c r="S56" s="62">
        <f ca="1">AVERAGE(OFFSET($R$3,0,0,'Données projet'!$E$9+1,1))-AVERAGE(OFFSET($H$3,0,0,'Données projet'!$E$9+1,1))</f>
        <v>509.56241660612449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15.75</v>
      </c>
      <c r="AI56" s="14">
        <f>IF('Données projet'!$A$62&gt;35,AI55+AH56-AQ55,IF(A56&lt;'Données projet'!$A$62,$AF$205^A56,IF(A56='Données projet'!$A$62,'Données projet'!$B$62,AI55+AH56-AQ55)))</f>
        <v>367.50000000000011</v>
      </c>
      <c r="AJ56" s="14">
        <f>AI56*VLOOKUP('Données projet'!$B$10,Paramètres!$A$1:$I$89,3,0)*VLOOKUP('Données projet'!$B$10,Paramètres!$A$1:$I$89,5,0)</f>
        <v>315.31500000000017</v>
      </c>
      <c r="AK56" s="14">
        <f t="shared" si="35"/>
        <v>74.377713122664133</v>
      </c>
      <c r="AL56" s="22">
        <f t="shared" si="4"/>
        <v>678.71480868864035</v>
      </c>
      <c r="AM56" s="62">
        <f t="shared" si="5"/>
        <v>972.04814202197372</v>
      </c>
      <c r="AN56" s="62">
        <f ca="1">AVERAGE(OFFSET($AM$3,0,0,'Données projet'!$E$10+1,1))-AVERAGE(OFFSET($H$3,0,0,'Données projet'!$E$10+1,1))</f>
        <v>625.17723604265689</v>
      </c>
      <c r="AO56" s="62">
        <f t="shared" si="36"/>
        <v>462.33909258902241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5.6410256410256405</v>
      </c>
      <c r="BD56" s="13">
        <f>IF('Données projet'!$A$88&gt;35,BD55+BC56-BL55,IF(A56&lt;'Données projet'!$A$88,$BA$205^A56,IF(A56='Données projet'!$A$88,'Données projet'!$B$88,BD55+BC56-BL55)))</f>
        <v>204.102564102564</v>
      </c>
      <c r="BE56" s="14">
        <f>BD56*VLOOKUP('Données projet'!$B$11,Paramètres!$A$1:$I$89,3,0)*VLOOKUP('Données projet'!$B$11,Paramètres!$A$1:$I$89,5,0)</f>
        <v>194.2239999999999</v>
      </c>
      <c r="BF56" s="14">
        <f t="shared" si="37"/>
        <v>48.472620849341268</v>
      </c>
      <c r="BG56" s="22">
        <f t="shared" si="7"/>
        <v>422.69661464593588</v>
      </c>
      <c r="BH56" s="62">
        <f t="shared" si="8"/>
        <v>716.0299479792692</v>
      </c>
      <c r="BI56" s="62">
        <f ca="1">AVERAGE(OFFSET($BH$3,0,0,'Données projet'!$E$11+1,1))-AVERAGE(OFFSET($H$3,0,0,'Données projet'!$E$11+1,1))</f>
        <v>406.24139966722936</v>
      </c>
      <c r="BJ56" s="62">
        <f t="shared" si="38"/>
        <v>295.95724296920577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261.60000000000002</v>
      </c>
      <c r="BZ56" s="14">
        <f>BY56*VLOOKUP('Données projet'!$B$12,Paramètres!$A$1:$I$89,3,0)*VLOOKUP('Données projet'!$B$12,Paramètres!$A$1:$I$89,5,0)</f>
        <v>265.26240000000001</v>
      </c>
      <c r="CA56" s="14">
        <f t="shared" si="39"/>
        <v>63.842797461739814</v>
      </c>
      <c r="CB56" s="22">
        <f t="shared" si="10"/>
        <v>573.19155224586348</v>
      </c>
      <c r="CC56" s="62">
        <f t="shared" si="11"/>
        <v>866.52488557919673</v>
      </c>
      <c r="CD56" s="62">
        <f ca="1">AVERAGE(OFFSET($CC$3,0,0,'Données projet'!$E$12+1,1))-AVERAGE(OFFSET($H$3,0,0,'Données projet'!$E$12+1,1))</f>
        <v>565.72091871734051</v>
      </c>
      <c r="CE56" s="62">
        <f t="shared" si="40"/>
        <v>306.61893266146666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8.6</v>
      </c>
      <c r="CT56" s="13">
        <f>IF('Données projet'!$A$140&gt;35,CT55+CS56-DB55,IF(A56&lt;'Données projet'!$A$140,$CQ$205^A56,IF(A56='Données projet'!$A$140,'Données projet'!$B$140,CT55+CS56-DB55)))</f>
        <v>240.80000000000007</v>
      </c>
      <c r="CU56" s="18">
        <f>CT56*VLOOKUP('Données projet'!$B$13,Paramètres!$A$1:$I$89,3,0)*VLOOKUP('Données projet'!$B$13,Paramètres!$A$1:$I$89,5,0)</f>
        <v>210.36288000000008</v>
      </c>
      <c r="CV56" s="14">
        <f t="shared" si="41"/>
        <v>52.014876138342963</v>
      </c>
      <c r="CW56" s="22">
        <f t="shared" si="13"/>
        <v>456.97459194094745</v>
      </c>
      <c r="CX56" s="62">
        <f t="shared" si="14"/>
        <v>750.30792527428071</v>
      </c>
      <c r="CY56" s="62">
        <f ca="1">AVERAGE(OFFSET($CX$3,0,0,'Données projet'!$E$13+1,1))-AVERAGE(OFFSET($H$3,0,0,'Données projet'!$E$13+1,1))</f>
        <v>333.56306908115238</v>
      </c>
      <c r="CZ56" s="62">
        <f t="shared" si="42"/>
        <v>523.65456887919618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8.4999999999999893</v>
      </c>
      <c r="DO56" s="13">
        <f>IF('Données projet'!$A$166&gt;35,DO55+DN56-DW55,IF(A56&lt;'Données projet'!$A$166,$DL$205^A56,IF(A56='Données projet'!$A$166,'Données projet'!$B$166,DO55+DN56-DW55)))</f>
        <v>307.10000000000019</v>
      </c>
      <c r="DP56" s="18">
        <f>DO56*VLOOKUP('Données projet'!$B$14,Paramètres!$A$1:$I$89,3,0)*VLOOKUP('Données projet'!$B$14,Paramètres!$A$1:$I$89,5,0)</f>
        <v>225.16572000000014</v>
      </c>
      <c r="DQ56" s="14">
        <f t="shared" si="43"/>
        <v>55.236108376861843</v>
      </c>
      <c r="DR56" s="22">
        <f t="shared" si="16"/>
        <v>488.36651775636801</v>
      </c>
      <c r="DS56" s="62">
        <f t="shared" si="17"/>
        <v>781.69985108970127</v>
      </c>
      <c r="DT56" s="62">
        <f ca="1">AVERAGE(OFFSET($DS$3,0,0,'Données projet'!$E$14+1,1))-AVERAGE(OFFSET($H$3,0,0,'Données projet'!$E$14+1,1))</f>
        <v>397.24714625007675</v>
      </c>
      <c r="DU56" s="62">
        <f t="shared" si="44"/>
        <v>431.75775520200608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9">
        <f t="shared" si="1"/>
        <v>256.66666666666669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2">
        <f t="shared" si="0"/>
        <v>825.65123169891604</v>
      </c>
      <c r="S57" s="62">
        <f ca="1">AVERAGE(OFFSET($R$3,0,0,'Données projet'!$E$9+1,1))-AVERAGE(OFFSET($H$3,0,0,'Données projet'!$E$9+1,1))</f>
        <v>509.56241660612449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15.75</v>
      </c>
      <c r="AI57" s="14">
        <f>IF('Données projet'!$A$62&gt;35,AI56+AH57-AQ56,IF(A57&lt;'Données projet'!$A$62,$AF$205^A57,IF(A57='Données projet'!$A$62,'Données projet'!$B$62,AI56+AH57-AQ56)))</f>
        <v>383.25000000000011</v>
      </c>
      <c r="AJ57" s="14">
        <f>AI57*VLOOKUP('Données projet'!$B$10,Paramètres!$A$1:$I$89,3,0)*VLOOKUP('Données projet'!$B$10,Paramètres!$A$1:$I$89,5,0)</f>
        <v>328.82850000000013</v>
      </c>
      <c r="AK57" s="14">
        <f t="shared" si="35"/>
        <v>77.187375084656068</v>
      </c>
      <c r="AL57" s="22">
        <f t="shared" si="4"/>
        <v>707.14431577244295</v>
      </c>
      <c r="AM57" s="62">
        <f t="shared" si="5"/>
        <v>1000.4776491057762</v>
      </c>
      <c r="AN57" s="62">
        <f ca="1">AVERAGE(OFFSET($AM$3,0,0,'Données projet'!$E$10+1,1))-AVERAGE(OFFSET($H$3,0,0,'Données projet'!$E$10+1,1))</f>
        <v>625.17723604265689</v>
      </c>
      <c r="AO57" s="62">
        <f t="shared" si="36"/>
        <v>462.33909258902241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5.6410256410256405</v>
      </c>
      <c r="BD57" s="13">
        <f>IF('Données projet'!$A$88&gt;35,BD56+BC57-BL56,IF(A57&lt;'Données projet'!$A$88,$BA$205^A57,IF(A57='Données projet'!$A$88,'Données projet'!$B$88,BD56+BC57-BL56)))</f>
        <v>209.74358974358964</v>
      </c>
      <c r="BE57" s="14">
        <f>BD57*VLOOKUP('Données projet'!$B$11,Paramètres!$A$1:$I$89,3,0)*VLOOKUP('Données projet'!$B$11,Paramètres!$A$1:$I$89,5,0)</f>
        <v>199.5919999999999</v>
      </c>
      <c r="BF57" s="14">
        <f t="shared" si="37"/>
        <v>49.654491020353277</v>
      </c>
      <c r="BG57" s="22">
        <f t="shared" si="7"/>
        <v>434.10430519378178</v>
      </c>
      <c r="BH57" s="62">
        <f t="shared" si="8"/>
        <v>727.43763852711504</v>
      </c>
      <c r="BI57" s="62">
        <f ca="1">AVERAGE(OFFSET($BH$3,0,0,'Données projet'!$E$11+1,1))-AVERAGE(OFFSET($H$3,0,0,'Données projet'!$E$11+1,1))</f>
        <v>406.24139966722936</v>
      </c>
      <c r="BJ57" s="62">
        <f t="shared" si="38"/>
        <v>295.95724296920577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271.8</v>
      </c>
      <c r="BZ57" s="14">
        <f>BY57*VLOOKUP('Données projet'!$B$12,Paramètres!$A$1:$I$89,3,0)*VLOOKUP('Données projet'!$B$12,Paramètres!$A$1:$I$89,5,0)</f>
        <v>275.60520000000002</v>
      </c>
      <c r="CA57" s="14">
        <f t="shared" si="39"/>
        <v>66.037407906416391</v>
      </c>
      <c r="CB57" s="22">
        <f t="shared" si="10"/>
        <v>595.02754210367516</v>
      </c>
      <c r="CC57" s="62">
        <f t="shared" si="11"/>
        <v>888.36087543700842</v>
      </c>
      <c r="CD57" s="62">
        <f ca="1">AVERAGE(OFFSET($CC$3,0,0,'Données projet'!$E$12+1,1))-AVERAGE(OFFSET($H$3,0,0,'Données projet'!$E$12+1,1))</f>
        <v>565.72091871734051</v>
      </c>
      <c r="CE57" s="62">
        <f t="shared" si="40"/>
        <v>306.61893266146666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8.6</v>
      </c>
      <c r="CT57" s="13">
        <f>IF('Données projet'!$A$140&gt;35,CT56+CS57-DB56,IF(A57&lt;'Données projet'!$A$140,$CQ$205^A57,IF(A57='Données projet'!$A$140,'Données projet'!$B$140,CT56+CS57-DB56)))</f>
        <v>249.40000000000006</v>
      </c>
      <c r="CU57" s="18">
        <f>CT57*VLOOKUP('Données projet'!$B$13,Paramètres!$A$1:$I$89,3,0)*VLOOKUP('Données projet'!$B$13,Paramètres!$A$1:$I$89,5,0)</f>
        <v>217.87584000000007</v>
      </c>
      <c r="CV57" s="14">
        <f t="shared" si="41"/>
        <v>53.652949670124926</v>
      </c>
      <c r="CW57" s="22">
        <f t="shared" si="13"/>
        <v>472.91264200880101</v>
      </c>
      <c r="CX57" s="62">
        <f t="shared" si="14"/>
        <v>766.24597534213433</v>
      </c>
      <c r="CY57" s="62">
        <f ca="1">AVERAGE(OFFSET($CX$3,0,0,'Données projet'!$E$13+1,1))-AVERAGE(OFFSET($H$3,0,0,'Données projet'!$E$13+1,1))</f>
        <v>333.56306908115238</v>
      </c>
      <c r="CZ57" s="62">
        <f t="shared" si="42"/>
        <v>523.65456887919618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8.4999999999999893</v>
      </c>
      <c r="DO57" s="13">
        <f>IF('Données projet'!$A$166&gt;35,DO56+DN57-DW56,IF(A57&lt;'Données projet'!$A$166,$DL$205^A57,IF(A57='Données projet'!$A$166,'Données projet'!$B$166,DO56+DN57-DW56)))</f>
        <v>315.60000000000019</v>
      </c>
      <c r="DP57" s="18">
        <f>DO57*VLOOKUP('Données projet'!$B$14,Paramètres!$A$1:$I$89,3,0)*VLOOKUP('Données projet'!$B$14,Paramètres!$A$1:$I$89,5,0)</f>
        <v>231.39792000000014</v>
      </c>
      <c r="DQ57" s="14">
        <f t="shared" si="43"/>
        <v>56.584837838715856</v>
      </c>
      <c r="DR57" s="22">
        <f t="shared" si="16"/>
        <v>501.56996990243033</v>
      </c>
      <c r="DS57" s="62">
        <f t="shared" si="17"/>
        <v>794.90330323576359</v>
      </c>
      <c r="DT57" s="62">
        <f ca="1">AVERAGE(OFFSET($DS$3,0,0,'Données projet'!$E$14+1,1))-AVERAGE(OFFSET($H$3,0,0,'Données projet'!$E$14+1,1))</f>
        <v>397.24714625007675</v>
      </c>
      <c r="DU57" s="62">
        <f t="shared" si="44"/>
        <v>431.75775520200608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9">
        <f t="shared" si="1"/>
        <v>256.66666666666669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2">
        <f t="shared" si="0"/>
        <v>845.16612239513051</v>
      </c>
      <c r="S58" s="62">
        <f ca="1">AVERAGE(OFFSET($R$3,0,0,'Données projet'!$E$9+1,1))-AVERAGE(OFFSET($H$3,0,0,'Données projet'!$E$9+1,1))</f>
        <v>509.56241660612449</v>
      </c>
      <c r="T58" s="62">
        <f t="shared" si="34"/>
        <v>278.21741231699929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15.75</v>
      </c>
      <c r="AI58" s="14">
        <f>IF('Données projet'!$A$62&gt;35,AI57+AH58-AQ57,IF(A58&lt;'Données projet'!$A$62,$AF$205^A58,IF(A58='Données projet'!$A$62,'Données projet'!$B$62,AI57+AH58-AQ57)))</f>
        <v>399.00000000000011</v>
      </c>
      <c r="AJ58" s="14">
        <f>AI58*VLOOKUP('Données projet'!$B$10,Paramètres!$A$1:$I$89,3,0)*VLOOKUP('Données projet'!$B$10,Paramètres!$A$1:$I$89,5,0)</f>
        <v>342.34200000000016</v>
      </c>
      <c r="AK58" s="14">
        <f t="shared" si="35"/>
        <v>79.983624963231122</v>
      </c>
      <c r="AL58" s="22">
        <f t="shared" si="4"/>
        <v>735.55046347762789</v>
      </c>
      <c r="AM58" s="62">
        <f t="shared" si="5"/>
        <v>1028.8837968109613</v>
      </c>
      <c r="AN58" s="62">
        <f ca="1">AVERAGE(OFFSET($AM$3,0,0,'Données projet'!$E$10+1,1))-AVERAGE(OFFSET($H$3,0,0,'Données projet'!$E$10+1,1))</f>
        <v>625.17723604265689</v>
      </c>
      <c r="AO58" s="62">
        <f t="shared" si="36"/>
        <v>462.33909258902241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215.38461538461539</v>
      </c>
      <c r="BB58" s="13">
        <f>VLOOKUP(A58,'Données projet'!$A$87:$I$107,9,0)</f>
        <v>5.6410256410256405</v>
      </c>
      <c r="BC58" s="13">
        <f t="array" ref="BC58">INDEX(BB:BB,MIN(IF(ISNUMBER(BB58:BB254),ROW(BB58:BB254),"")))</f>
        <v>5.6410256410256405</v>
      </c>
      <c r="BD58" s="13">
        <f>IF('Données projet'!$A$88&gt;35,BD57+BC58-BL57,IF(A58&lt;'Données projet'!$A$88,$BA$205^A58,IF(A58='Données projet'!$A$88,'Données projet'!$B$88,BD57+BC58-BL57)))</f>
        <v>215.38461538461527</v>
      </c>
      <c r="BE58" s="14">
        <f>BD58*VLOOKUP('Données projet'!$B$11,Paramètres!$A$1:$I$89,3,0)*VLOOKUP('Données projet'!$B$11,Paramètres!$A$1:$I$89,5,0)</f>
        <v>204.95999999999987</v>
      </c>
      <c r="BF58" s="14">
        <f t="shared" si="37"/>
        <v>50.832666587809335</v>
      </c>
      <c r="BG58" s="22">
        <f t="shared" si="7"/>
        <v>445.50556097376767</v>
      </c>
      <c r="BH58" s="62">
        <f t="shared" si="8"/>
        <v>738.83889430710099</v>
      </c>
      <c r="BI58" s="62">
        <f ca="1">AVERAGE(OFFSET($BH$3,0,0,'Données projet'!$E$11+1,1))-AVERAGE(OFFSET($H$3,0,0,'Données projet'!$E$11+1,1))</f>
        <v>406.24139966722936</v>
      </c>
      <c r="BJ58" s="62">
        <f t="shared" si="38"/>
        <v>295.95724296920577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34.615384615384613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282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282</v>
      </c>
      <c r="BZ58" s="14">
        <f>BY58*VLOOKUP('Données projet'!$B$12,Paramètres!$A$1:$I$89,3,0)*VLOOKUP('Données projet'!$B$12,Paramètres!$A$1:$I$89,5,0)</f>
        <v>285.94800000000004</v>
      </c>
      <c r="CA58" s="14">
        <f t="shared" si="39"/>
        <v>68.222450362989363</v>
      </c>
      <c r="CB58" s="22">
        <f t="shared" si="10"/>
        <v>616.84686771553982</v>
      </c>
      <c r="CC58" s="62">
        <f t="shared" si="11"/>
        <v>910.18020104887319</v>
      </c>
      <c r="CD58" s="62">
        <f ca="1">AVERAGE(OFFSET($CC$3,0,0,'Données projet'!$E$12+1,1))-AVERAGE(OFFSET($H$3,0,0,'Données projet'!$E$12+1,1))</f>
        <v>565.72091871734051</v>
      </c>
      <c r="CE58" s="62">
        <f t="shared" si="40"/>
        <v>306.61893266146666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56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258</v>
      </c>
      <c r="CR58" s="13">
        <f>VLOOKUP(A58,'Données projet'!$A$139:$I$159,9,0)</f>
        <v>8.6</v>
      </c>
      <c r="CS58" s="13">
        <f t="array" ref="CS58">INDEX(CR:CR,MIN(IF(ISNUMBER(CR58:CR254),ROW(CR58:CR254),"")))</f>
        <v>8.6</v>
      </c>
      <c r="CT58" s="13">
        <f>IF('Données projet'!$A$140&gt;35,CT57+CS58-DB57,IF(A58&lt;'Données projet'!$A$140,$CQ$205^A58,IF(A58='Données projet'!$A$140,'Données projet'!$B$140,CT57+CS58-DB57)))</f>
        <v>258.00000000000006</v>
      </c>
      <c r="CU58" s="18">
        <f>CT58*VLOOKUP('Données projet'!$B$13,Paramètres!$A$1:$I$89,3,0)*VLOOKUP('Données projet'!$B$13,Paramètres!$A$1:$I$89,5,0)</f>
        <v>225.38880000000009</v>
      </c>
      <c r="CV58" s="14">
        <f t="shared" si="41"/>
        <v>55.284460117161593</v>
      </c>
      <c r="CW58" s="22">
        <f t="shared" si="13"/>
        <v>488.83926137072331</v>
      </c>
      <c r="CX58" s="62">
        <f t="shared" si="14"/>
        <v>782.17259470405656</v>
      </c>
      <c r="CY58" s="62">
        <f ca="1">AVERAGE(OFFSET($CX$3,0,0,'Données projet'!$E$13+1,1))-AVERAGE(OFFSET($H$3,0,0,'Données projet'!$E$13+1,1))</f>
        <v>333.56306908115238</v>
      </c>
      <c r="CZ58" s="62">
        <f t="shared" si="42"/>
        <v>523.65456887919618</v>
      </c>
      <c r="DA58" s="16">
        <f>IF(ISNA(VLOOKUP(A58,'Données projet'!$A$139:$I$159,3,0)),0,VLOOKUP(A58,'Données projet'!$A$139:$I$159,3,0))</f>
        <v>5</v>
      </c>
      <c r="DB58" s="16">
        <f>IF(ISNA(VLOOKUP(A58,'Données projet'!$A$139:$I$159,4,0)),0,VLOOKUP(A58,'Données projet'!$A$139:$I$159,4,0))</f>
        <v>258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324.09999999999997</v>
      </c>
      <c r="DM58" s="13">
        <f>VLOOKUP(A58,'Données projet'!$A$165:$I$185,9,0)</f>
        <v>8.4999999999999893</v>
      </c>
      <c r="DN58" s="13">
        <f t="array" ref="DN58">INDEX(DM:DM,MIN(IF(ISNUMBER(DM58:DM254),ROW(DM58:DM254),"")))</f>
        <v>8.4999999999999893</v>
      </c>
      <c r="DO58" s="13">
        <f>IF('Données projet'!$A$166&gt;35,DO57+DN58-DW57,IF(A58&lt;'Données projet'!$A$166,$DL$205^A58,IF(A58='Données projet'!$A$166,'Données projet'!$B$166,DO57+DN58-DW57)))</f>
        <v>324.10000000000019</v>
      </c>
      <c r="DP58" s="18">
        <f>DO58*VLOOKUP('Données projet'!$B$14,Paramètres!$A$1:$I$89,3,0)*VLOOKUP('Données projet'!$B$14,Paramètres!$A$1:$I$89,5,0)</f>
        <v>237.63012000000015</v>
      </c>
      <c r="DQ58" s="14">
        <f t="shared" si="43"/>
        <v>57.929345140756219</v>
      </c>
      <c r="DR58" s="22">
        <f t="shared" si="16"/>
        <v>514.76606845348385</v>
      </c>
      <c r="DS58" s="62">
        <f t="shared" si="17"/>
        <v>808.09940178681723</v>
      </c>
      <c r="DT58" s="62">
        <f ca="1">AVERAGE(OFFSET($DS$3,0,0,'Données projet'!$E$14+1,1))-AVERAGE(OFFSET($H$3,0,0,'Données projet'!$E$14+1,1))</f>
        <v>397.24714625007675</v>
      </c>
      <c r="DU58" s="62">
        <f t="shared" si="44"/>
        <v>431.75775520200608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9">
        <f t="shared" si="1"/>
        <v>256.66666666666669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509.56241660612449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15.75</v>
      </c>
      <c r="AI59" s="14">
        <f>IF('Données projet'!$A$62&gt;35,AI58+AH59-AQ58,IF(A59&lt;'Données projet'!$A$62,$AF$205^A59,IF(A59='Données projet'!$A$62,'Données projet'!$B$62,AI58+AH59-AQ58)))</f>
        <v>414.75000000000011</v>
      </c>
      <c r="AJ59" s="14">
        <f>AI59*VLOOKUP('Données projet'!$B$10,Paramètres!$A$1:$I$89,3,0)*VLOOKUP('Données projet'!$B$10,Paramètres!$A$1:$I$89,5,0)</f>
        <v>355.85550000000012</v>
      </c>
      <c r="AK59" s="14">
        <f t="shared" si="35"/>
        <v>82.76705276410857</v>
      </c>
      <c r="AL59" s="22">
        <f t="shared" si="4"/>
        <v>763.93427939748926</v>
      </c>
      <c r="AM59" s="62">
        <f t="shared" si="5"/>
        <v>1057.2676127308225</v>
      </c>
      <c r="AN59" s="62">
        <f ca="1">AVERAGE(OFFSET($AM$3,0,0,'Données projet'!$E$10+1,1))-AVERAGE(OFFSET($H$3,0,0,'Données projet'!$E$10+1,1))</f>
        <v>625.17723604265689</v>
      </c>
      <c r="AO59" s="62">
        <f t="shared" si="36"/>
        <v>462.33909258902241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5.3846153846153815</v>
      </c>
      <c r="BD59" s="13">
        <f>IF('Données projet'!$A$88&gt;35,BD58+BC59-BL58,IF(A59&lt;'Données projet'!$A$88,$BA$205^A59,IF(A59='Données projet'!$A$88,'Données projet'!$B$88,BD58+BC59-BL58)))</f>
        <v>186.15384615384605</v>
      </c>
      <c r="BE59" s="14">
        <f>BD59*VLOOKUP('Données projet'!$B$11,Paramètres!$A$1:$I$89,3,0)*VLOOKUP('Données projet'!$B$11,Paramètres!$A$1:$I$89,5,0)</f>
        <v>177.14399999999989</v>
      </c>
      <c r="BF59" s="14">
        <f t="shared" si="37"/>
        <v>44.6861885307368</v>
      </c>
      <c r="BG59" s="22">
        <f t="shared" si="7"/>
        <v>386.35424502436632</v>
      </c>
      <c r="BH59" s="62">
        <f t="shared" si="8"/>
        <v>679.68757835769964</v>
      </c>
      <c r="BI59" s="62">
        <f ca="1">AVERAGE(OFFSET($BH$3,0,0,'Données projet'!$E$11+1,1))-AVERAGE(OFFSET($H$3,0,0,'Données projet'!$E$11+1,1))</f>
        <v>406.24139966722936</v>
      </c>
      <c r="BJ59" s="62">
        <f t="shared" si="38"/>
        <v>295.95724296920577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238.69559999999998</v>
      </c>
      <c r="CA59" s="14">
        <f t="shared" si="39"/>
        <v>58.158793514165929</v>
      </c>
      <c r="CB59" s="22">
        <f t="shared" si="10"/>
        <v>517.02140203717238</v>
      </c>
      <c r="CC59" s="62">
        <f t="shared" si="11"/>
        <v>810.35473537050575</v>
      </c>
      <c r="CD59" s="62">
        <f ca="1">AVERAGE(OFFSET($CC$3,0,0,'Données projet'!$E$12+1,1))-AVERAGE(OFFSET($H$3,0,0,'Données projet'!$E$12+1,1))</f>
        <v>565.72091871734051</v>
      </c>
      <c r="CE59" s="62">
        <f t="shared" si="40"/>
        <v>306.61893266146666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5.6843418860808015E-14</v>
      </c>
      <c r="CU59" s="18">
        <f>CT59*VLOOKUP('Données projet'!$B$13,Paramètres!$A$1:$I$89,3,0)*VLOOKUP('Données projet'!$B$13,Paramètres!$A$1:$I$89,5,0)</f>
        <v>4.9658410716801891E-14</v>
      </c>
      <c r="CV59" s="14">
        <f t="shared" si="41"/>
        <v>8.0934058173791862E-13</v>
      </c>
      <c r="CW59" s="22">
        <f t="shared" si="13"/>
        <v>1.4960899118586383E-12</v>
      </c>
      <c r="CX59" s="62">
        <f t="shared" si="14"/>
        <v>293.33333333333479</v>
      </c>
      <c r="CY59" s="62">
        <f ca="1">AVERAGE(OFFSET($CX$3,0,0,'Données projet'!$E$13+1,1))-AVERAGE(OFFSET($H$3,0,0,'Données projet'!$E$13+1,1))</f>
        <v>333.56306908115238</v>
      </c>
      <c r="CZ59" s="62">
        <f t="shared" si="42"/>
        <v>523.65456887919618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7.3</v>
      </c>
      <c r="DO59" s="13">
        <f>IF('Données projet'!$A$166&gt;35,DO58+DN59-DW58,IF(A59&lt;'Données projet'!$A$166,$DL$205^A59,IF(A59='Données projet'!$A$166,'Données projet'!$B$166,DO58+DN59-DW58)))</f>
        <v>331.4000000000002</v>
      </c>
      <c r="DP59" s="18">
        <f>DO59*VLOOKUP('Données projet'!$B$14,Paramètres!$A$1:$I$89,3,0)*VLOOKUP('Données projet'!$B$14,Paramètres!$A$1:$I$89,5,0)</f>
        <v>242.98248000000015</v>
      </c>
      <c r="DQ59" s="14">
        <f t="shared" si="43"/>
        <v>59.080763608422899</v>
      </c>
      <c r="DR59" s="22">
        <f t="shared" si="16"/>
        <v>526.09348261800335</v>
      </c>
      <c r="DS59" s="62">
        <f t="shared" si="17"/>
        <v>819.42681595133672</v>
      </c>
      <c r="DT59" s="62">
        <f ca="1">AVERAGE(OFFSET($DS$3,0,0,'Données projet'!$E$14+1,1))-AVERAGE(OFFSET($H$3,0,0,'Données projet'!$E$14+1,1))</f>
        <v>397.24714625007675</v>
      </c>
      <c r="DU59" s="62">
        <f t="shared" si="44"/>
        <v>431.75775520200608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9">
        <f t="shared" si="1"/>
        <v>256.66666666666669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509.56241660612449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15.75</v>
      </c>
      <c r="AI60" s="14">
        <f>IF('Données projet'!$A$62&gt;35,AI59+AH60-AQ59,IF(A60&lt;'Données projet'!$A$62,$AF$205^A60,IF(A60='Données projet'!$A$62,'Données projet'!$B$62,AI59+AH60-AQ59)))</f>
        <v>430.50000000000011</v>
      </c>
      <c r="AJ60" s="14">
        <f>AI60*VLOOKUP('Données projet'!$B$10,Paramètres!$A$1:$I$89,3,0)*VLOOKUP('Données projet'!$B$10,Paramètres!$A$1:$I$89,5,0)</f>
        <v>369.36900000000014</v>
      </c>
      <c r="AK60" s="14">
        <f t="shared" si="35"/>
        <v>85.538201144343986</v>
      </c>
      <c r="AL60" s="22">
        <f t="shared" si="4"/>
        <v>792.29670865973264</v>
      </c>
      <c r="AM60" s="62">
        <f t="shared" si="5"/>
        <v>1085.630041993066</v>
      </c>
      <c r="AN60" s="62">
        <f ca="1">AVERAGE(OFFSET($AM$3,0,0,'Données projet'!$E$10+1,1))-AVERAGE(OFFSET($H$3,0,0,'Données projet'!$E$10+1,1))</f>
        <v>625.17723604265689</v>
      </c>
      <c r="AO60" s="62">
        <f t="shared" si="36"/>
        <v>462.33909258902241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5.3846153846153815</v>
      </c>
      <c r="BD60" s="13">
        <f>IF('Données projet'!$A$88&gt;35,BD59+BC60-BL59,IF(A60&lt;'Données projet'!$A$88,$BA$205^A60,IF(A60='Données projet'!$A$88,'Données projet'!$B$88,BD59+BC60-BL59)))</f>
        <v>191.53846153846143</v>
      </c>
      <c r="BE60" s="14">
        <f>BD60*VLOOKUP('Données projet'!$B$11,Paramètres!$A$1:$I$89,3,0)*VLOOKUP('Données projet'!$B$11,Paramètres!$A$1:$I$89,5,0)</f>
        <v>182.26799999999992</v>
      </c>
      <c r="BF60" s="14">
        <f t="shared" si="37"/>
        <v>45.82640608003836</v>
      </c>
      <c r="BG60" s="22">
        <f t="shared" si="7"/>
        <v>397.26442392273333</v>
      </c>
      <c r="BH60" s="62">
        <f t="shared" si="8"/>
        <v>690.59775725606664</v>
      </c>
      <c r="BI60" s="62">
        <f ca="1">AVERAGE(OFFSET($BH$3,0,0,'Données projet'!$E$11+1,1))-AVERAGE(OFFSET($H$3,0,0,'Données projet'!$E$11+1,1))</f>
        <v>406.24139966722936</v>
      </c>
      <c r="BJ60" s="62">
        <f t="shared" si="38"/>
        <v>295.95724296920577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248.22720000000001</v>
      </c>
      <c r="CA60" s="14">
        <f t="shared" si="39"/>
        <v>60.20616532763993</v>
      </c>
      <c r="CB60" s="22">
        <f t="shared" si="10"/>
        <v>537.18811127897277</v>
      </c>
      <c r="CC60" s="62">
        <f t="shared" si="11"/>
        <v>830.52144461230614</v>
      </c>
      <c r="CD60" s="62">
        <f ca="1">AVERAGE(OFFSET($CC$3,0,0,'Données projet'!$E$12+1,1))-AVERAGE(OFFSET($H$3,0,0,'Données projet'!$E$12+1,1))</f>
        <v>565.72091871734051</v>
      </c>
      <c r="CE60" s="62">
        <f t="shared" si="40"/>
        <v>306.61893266146666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5.6843418860808015E-14</v>
      </c>
      <c r="CU60" s="18">
        <f>CT60*VLOOKUP('Données projet'!$B$13,Paramètres!$A$1:$I$89,3,0)*VLOOKUP('Données projet'!$B$13,Paramètres!$A$1:$I$89,5,0)</f>
        <v>4.9658410716801891E-14</v>
      </c>
      <c r="CV60" s="14">
        <f t="shared" si="41"/>
        <v>8.0934058173791862E-13</v>
      </c>
      <c r="CW60" s="22">
        <f t="shared" si="13"/>
        <v>1.4960899118586383E-12</v>
      </c>
      <c r="CX60" s="62">
        <f t="shared" si="14"/>
        <v>293.33333333333479</v>
      </c>
      <c r="CY60" s="62">
        <f ca="1">AVERAGE(OFFSET($CX$3,0,0,'Données projet'!$E$13+1,1))-AVERAGE(OFFSET($H$3,0,0,'Données projet'!$E$13+1,1))</f>
        <v>333.56306908115238</v>
      </c>
      <c r="CZ60" s="62">
        <f t="shared" si="42"/>
        <v>523.65456887919618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7.3</v>
      </c>
      <c r="DO60" s="13">
        <f>IF('Données projet'!$A$166&gt;35,DO59+DN60-DW59,IF(A60&lt;'Données projet'!$A$166,$DL$205^A60,IF(A60='Données projet'!$A$166,'Données projet'!$B$166,DO59+DN60-DW59)))</f>
        <v>338.70000000000022</v>
      </c>
      <c r="DP60" s="18">
        <f>DO60*VLOOKUP('Données projet'!$B$14,Paramètres!$A$1:$I$89,3,0)*VLOOKUP('Données projet'!$B$14,Paramètres!$A$1:$I$89,5,0)</f>
        <v>248.33484000000018</v>
      </c>
      <c r="DQ60" s="14">
        <f t="shared" si="43"/>
        <v>60.22923333258133</v>
      </c>
      <c r="DR60" s="22">
        <f t="shared" si="16"/>
        <v>537.4157610542461</v>
      </c>
      <c r="DS60" s="62">
        <f t="shared" si="17"/>
        <v>830.74909438757936</v>
      </c>
      <c r="DT60" s="62">
        <f ca="1">AVERAGE(OFFSET($DS$3,0,0,'Données projet'!$E$14+1,1))-AVERAGE(OFFSET($H$3,0,0,'Données projet'!$E$14+1,1))</f>
        <v>397.24714625007675</v>
      </c>
      <c r="DU60" s="62">
        <f t="shared" si="44"/>
        <v>431.75775520200608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9">
        <f t="shared" si="1"/>
        <v>256.66666666666669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509.56241660612449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15.75</v>
      </c>
      <c r="AI61" s="14">
        <f>IF('Données projet'!$A$62&gt;35,AI60+AH61-AQ60,IF(A61&lt;'Données projet'!$A$62,$AF$205^A61,IF(A61='Données projet'!$A$62,'Données projet'!$B$62,AI60+AH61-AQ60)))</f>
        <v>446.25000000000011</v>
      </c>
      <c r="AJ61" s="14">
        <f>AI61*VLOOKUP('Données projet'!$B$10,Paramètres!$A$1:$I$89,3,0)*VLOOKUP('Données projet'!$B$10,Paramètres!$A$1:$I$89,5,0)</f>
        <v>382.88250000000016</v>
      </c>
      <c r="AK61" s="14">
        <f t="shared" si="35"/>
        <v>88.297570804235008</v>
      </c>
      <c r="AL61" s="22">
        <f t="shared" si="4"/>
        <v>820.63862331737619</v>
      </c>
      <c r="AM61" s="62">
        <f t="shared" si="5"/>
        <v>1113.9719566507094</v>
      </c>
      <c r="AN61" s="62">
        <f ca="1">AVERAGE(OFFSET($AM$3,0,0,'Données projet'!$E$10+1,1))-AVERAGE(OFFSET($H$3,0,0,'Données projet'!$E$10+1,1))</f>
        <v>625.17723604265689</v>
      </c>
      <c r="AO61" s="62">
        <f t="shared" si="36"/>
        <v>462.33909258902241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5.3846153846153815</v>
      </c>
      <c r="BD61" s="13">
        <f>IF('Données projet'!$A$88&gt;35,BD60+BC61-BL60,IF(A61&lt;'Données projet'!$A$88,$BA$205^A61,IF(A61='Données projet'!$A$88,'Données projet'!$B$88,BD60+BC61-BL60)))</f>
        <v>196.92307692307682</v>
      </c>
      <c r="BE61" s="14">
        <f>BD61*VLOOKUP('Données projet'!$B$11,Paramètres!$A$1:$I$89,3,0)*VLOOKUP('Données projet'!$B$11,Paramètres!$A$1:$I$89,5,0)</f>
        <v>187.39199999999988</v>
      </c>
      <c r="BF61" s="14">
        <f t="shared" si="37"/>
        <v>46.962898087285787</v>
      </c>
      <c r="BG61" s="22">
        <f t="shared" si="7"/>
        <v>408.16811416868921</v>
      </c>
      <c r="BH61" s="62">
        <f t="shared" si="8"/>
        <v>701.50144750202253</v>
      </c>
      <c r="BI61" s="62">
        <f ca="1">AVERAGE(OFFSET($BH$3,0,0,'Données projet'!$E$11+1,1))-AVERAGE(OFFSET($H$3,0,0,'Données projet'!$E$11+1,1))</f>
        <v>406.24139966722936</v>
      </c>
      <c r="BJ61" s="62">
        <f t="shared" si="38"/>
        <v>295.95724296920577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257.75880000000001</v>
      </c>
      <c r="CA61" s="14">
        <f t="shared" si="39"/>
        <v>62.244404241627407</v>
      </c>
      <c r="CB61" s="22">
        <f t="shared" si="10"/>
        <v>557.33891405416773</v>
      </c>
      <c r="CC61" s="62">
        <f t="shared" si="11"/>
        <v>850.6722473875011</v>
      </c>
      <c r="CD61" s="62">
        <f ca="1">AVERAGE(OFFSET($CC$3,0,0,'Données projet'!$E$12+1,1))-AVERAGE(OFFSET($H$3,0,0,'Données projet'!$E$12+1,1))</f>
        <v>565.72091871734051</v>
      </c>
      <c r="CE61" s="62">
        <f t="shared" si="40"/>
        <v>306.61893266146666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5.6843418860808015E-14</v>
      </c>
      <c r="CU61" s="18">
        <f>CT61*VLOOKUP('Données projet'!$B$13,Paramètres!$A$1:$I$89,3,0)*VLOOKUP('Données projet'!$B$13,Paramètres!$A$1:$I$89,5,0)</f>
        <v>4.9658410716801891E-14</v>
      </c>
      <c r="CV61" s="14">
        <f t="shared" si="41"/>
        <v>8.0934058173791862E-13</v>
      </c>
      <c r="CW61" s="22">
        <f t="shared" si="13"/>
        <v>1.4960899118586383E-12</v>
      </c>
      <c r="CX61" s="62">
        <f t="shared" si="14"/>
        <v>293.33333333333479</v>
      </c>
      <c r="CY61" s="62">
        <f ca="1">AVERAGE(OFFSET($CX$3,0,0,'Données projet'!$E$13+1,1))-AVERAGE(OFFSET($H$3,0,0,'Données projet'!$E$13+1,1))</f>
        <v>333.56306908115238</v>
      </c>
      <c r="CZ61" s="62">
        <f t="shared" si="42"/>
        <v>523.65456887919618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7.3</v>
      </c>
      <c r="DO61" s="13">
        <f>IF('Données projet'!$A$166&gt;35,DO60+DN61-DW60,IF(A61&lt;'Données projet'!$A$166,$DL$205^A61,IF(A61='Données projet'!$A$166,'Données projet'!$B$166,DO60+DN61-DW60)))</f>
        <v>346.00000000000023</v>
      </c>
      <c r="DP61" s="18">
        <f>DO61*VLOOKUP('Données projet'!$B$14,Paramètres!$A$1:$I$89,3,0)*VLOOKUP('Données projet'!$B$14,Paramètres!$A$1:$I$89,5,0)</f>
        <v>253.68720000000016</v>
      </c>
      <c r="DQ61" s="14">
        <f t="shared" si="43"/>
        <v>61.374825187362525</v>
      </c>
      <c r="DR61" s="22">
        <f t="shared" si="16"/>
        <v>548.73302720132335</v>
      </c>
      <c r="DS61" s="62">
        <f t="shared" si="17"/>
        <v>842.06636053465672</v>
      </c>
      <c r="DT61" s="62">
        <f ca="1">AVERAGE(OFFSET($DS$3,0,0,'Données projet'!$E$14+1,1))-AVERAGE(OFFSET($H$3,0,0,'Données projet'!$E$14+1,1))</f>
        <v>397.24714625007675</v>
      </c>
      <c r="DU61" s="62">
        <f t="shared" si="44"/>
        <v>431.75775520200608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9">
        <f t="shared" si="1"/>
        <v>256.66666666666669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509.56241660612449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15.75</v>
      </c>
      <c r="AI62" s="14">
        <f>IF('Données projet'!$A$62&gt;35,AI61+AH62-AQ61,IF(A62&lt;'Données projet'!$A$62,$AF$205^A62,IF(A62='Données projet'!$A$62,'Données projet'!$B$62,AI61+AH62-AQ61)))</f>
        <v>462.00000000000011</v>
      </c>
      <c r="AJ62" s="14">
        <f>AI62*VLOOKUP('Données projet'!$B$10,Paramètres!$A$1:$I$89,3,0)*VLOOKUP('Données projet'!$B$10,Paramètres!$A$1:$I$89,5,0)</f>
        <v>396.39600000000013</v>
      </c>
      <c r="AK62" s="14">
        <f t="shared" si="35"/>
        <v>91.045625096627589</v>
      </c>
      <c r="AL62" s="22">
        <f t="shared" si="4"/>
        <v>848.96083037662663</v>
      </c>
      <c r="AM62" s="62">
        <f t="shared" si="5"/>
        <v>1142.29416370996</v>
      </c>
      <c r="AN62" s="62">
        <f ca="1">AVERAGE(OFFSET($AM$3,0,0,'Données projet'!$E$10+1,1))-AVERAGE(OFFSET($H$3,0,0,'Données projet'!$E$10+1,1))</f>
        <v>625.17723604265689</v>
      </c>
      <c r="AO62" s="62">
        <f t="shared" si="36"/>
        <v>462.33909258902241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5.3846153846153815</v>
      </c>
      <c r="BD62" s="13">
        <f>IF('Données projet'!$A$88&gt;35,BD61+BC62-BL61,IF(A62&lt;'Données projet'!$A$88,$BA$205^A62,IF(A62='Données projet'!$A$88,'Données projet'!$B$88,BD61+BC62-BL61)))</f>
        <v>202.30769230769221</v>
      </c>
      <c r="BE62" s="14">
        <f>BD62*VLOOKUP('Données projet'!$B$11,Paramètres!$A$1:$I$89,3,0)*VLOOKUP('Données projet'!$B$11,Paramètres!$A$1:$I$89,5,0)</f>
        <v>192.51599999999991</v>
      </c>
      <c r="BF62" s="14">
        <f t="shared" si="37"/>
        <v>48.095778128339838</v>
      </c>
      <c r="BG62" s="22">
        <f t="shared" si="7"/>
        <v>419.06551357352504</v>
      </c>
      <c r="BH62" s="62">
        <f t="shared" si="8"/>
        <v>712.39884690685835</v>
      </c>
      <c r="BI62" s="62">
        <f ca="1">AVERAGE(OFFSET($BH$3,0,0,'Données projet'!$E$11+1,1))-AVERAGE(OFFSET($H$3,0,0,'Données projet'!$E$11+1,1))</f>
        <v>406.24139966722936</v>
      </c>
      <c r="BJ62" s="62">
        <f t="shared" si="38"/>
        <v>295.95724296920577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267.29039999999998</v>
      </c>
      <c r="CA62" s="14">
        <f t="shared" si="39"/>
        <v>64.273886654661325</v>
      </c>
      <c r="CB62" s="22">
        <f t="shared" si="10"/>
        <v>577.47446592353515</v>
      </c>
      <c r="CC62" s="62">
        <f t="shared" si="11"/>
        <v>870.80779925686852</v>
      </c>
      <c r="CD62" s="62">
        <f ca="1">AVERAGE(OFFSET($CC$3,0,0,'Données projet'!$E$12+1,1))-AVERAGE(OFFSET($H$3,0,0,'Données projet'!$E$12+1,1))</f>
        <v>565.72091871734051</v>
      </c>
      <c r="CE62" s="62">
        <f t="shared" si="40"/>
        <v>306.61893266146666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5.6843418860808015E-14</v>
      </c>
      <c r="CU62" s="18">
        <f>CT62*VLOOKUP('Données projet'!$B$13,Paramètres!$A$1:$I$89,3,0)*VLOOKUP('Données projet'!$B$13,Paramètres!$A$1:$I$89,5,0)</f>
        <v>4.9658410716801891E-14</v>
      </c>
      <c r="CV62" s="14">
        <f t="shared" si="41"/>
        <v>8.0934058173791862E-13</v>
      </c>
      <c r="CW62" s="22">
        <f t="shared" si="13"/>
        <v>1.4960899118586383E-12</v>
      </c>
      <c r="CX62" s="62">
        <f t="shared" si="14"/>
        <v>293.33333333333479</v>
      </c>
      <c r="CY62" s="62">
        <f ca="1">AVERAGE(OFFSET($CX$3,0,0,'Données projet'!$E$13+1,1))-AVERAGE(OFFSET($H$3,0,0,'Données projet'!$E$13+1,1))</f>
        <v>333.56306908115238</v>
      </c>
      <c r="CZ62" s="62">
        <f t="shared" si="42"/>
        <v>523.65456887919618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7.3</v>
      </c>
      <c r="DO62" s="13">
        <f>IF('Données projet'!$A$166&gt;35,DO61+DN62-DW61,IF(A62&lt;'Données projet'!$A$166,$DL$205^A62,IF(A62='Données projet'!$A$166,'Données projet'!$B$166,DO61+DN62-DW61)))</f>
        <v>353.30000000000024</v>
      </c>
      <c r="DP62" s="18">
        <f>DO62*VLOOKUP('Données projet'!$B$14,Paramètres!$A$1:$I$89,3,0)*VLOOKUP('Données projet'!$B$14,Paramètres!$A$1:$I$89,5,0)</f>
        <v>259.03956000000017</v>
      </c>
      <c r="DQ62" s="14">
        <f t="shared" si="43"/>
        <v>62.517606885378036</v>
      </c>
      <c r="DR62" s="22">
        <f t="shared" si="16"/>
        <v>560.04539899203371</v>
      </c>
      <c r="DS62" s="62">
        <f t="shared" si="17"/>
        <v>853.37873232536708</v>
      </c>
      <c r="DT62" s="62">
        <f ca="1">AVERAGE(OFFSET($DS$3,0,0,'Données projet'!$E$14+1,1))-AVERAGE(OFFSET($H$3,0,0,'Données projet'!$E$14+1,1))</f>
        <v>397.24714625007675</v>
      </c>
      <c r="DU62" s="62">
        <f t="shared" si="44"/>
        <v>431.75775520200608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9">
        <f t="shared" si="1"/>
        <v>256.66666666666669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509.56241660612449</v>
      </c>
      <c r="T63" s="62">
        <f t="shared" si="34"/>
        <v>278.21741231699929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15.75</v>
      </c>
      <c r="AI63" s="14">
        <f>IF('Données projet'!$A$62&gt;35,AI62+AH63-AQ62,IF(A63&lt;'Données projet'!$A$62,$AF$205^A63,IF(A63='Données projet'!$A$62,'Données projet'!$B$62,AI62+AH63-AQ62)))</f>
        <v>477.75000000000011</v>
      </c>
      <c r="AJ63" s="14">
        <f>AI63*VLOOKUP('Données projet'!$B$10,Paramètres!$A$1:$I$89,3,0)*VLOOKUP('Données projet'!$B$10,Paramètres!$A$1:$I$89,5,0)</f>
        <v>409.90950000000015</v>
      </c>
      <c r="AK63" s="14">
        <f t="shared" si="35"/>
        <v>93.782793990023393</v>
      </c>
      <c r="AL63" s="22">
        <f t="shared" si="4"/>
        <v>877.26407869929096</v>
      </c>
      <c r="AM63" s="62">
        <f t="shared" si="5"/>
        <v>1170.5974120326243</v>
      </c>
      <c r="AN63" s="62">
        <f ca="1">AVERAGE(OFFSET($AM$3,0,0,'Données projet'!$E$10+1,1))-AVERAGE(OFFSET($H$3,0,0,'Données projet'!$E$10+1,1))</f>
        <v>625.17723604265689</v>
      </c>
      <c r="AO63" s="62">
        <f t="shared" si="36"/>
        <v>462.33909258902241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207.69230769230768</v>
      </c>
      <c r="BB63" s="13">
        <f>VLOOKUP(A63,'Données projet'!$A$87:$I$107,9,0)</f>
        <v>5.3846153846153815</v>
      </c>
      <c r="BC63" s="13">
        <f t="array" ref="BC63">INDEX(BB:BB,MIN(IF(ISNUMBER(BB63:BB259),ROW(BB63:BB259),"")))</f>
        <v>5.3846153846153815</v>
      </c>
      <c r="BD63" s="13">
        <f>IF('Données projet'!$A$88&gt;35,BD62+BC63-BL62,IF(A63&lt;'Données projet'!$A$88,$BA$205^A63,IF(A63='Données projet'!$A$88,'Données projet'!$B$88,BD62+BC63-BL62)))</f>
        <v>207.69230769230759</v>
      </c>
      <c r="BE63" s="14">
        <f>BD63*VLOOKUP('Données projet'!$B$11,Paramètres!$A$1:$I$89,3,0)*VLOOKUP('Données projet'!$B$11,Paramètres!$A$1:$I$89,5,0)</f>
        <v>197.63999999999993</v>
      </c>
      <c r="BF63" s="14">
        <f t="shared" si="37"/>
        <v>49.22515338895078</v>
      </c>
      <c r="BG63" s="22">
        <f t="shared" si="7"/>
        <v>429.95680881908919</v>
      </c>
      <c r="BH63" s="62">
        <f t="shared" si="8"/>
        <v>723.2901421524225</v>
      </c>
      <c r="BI63" s="62">
        <f ca="1">AVERAGE(OFFSET($BH$3,0,0,'Données projet'!$E$11+1,1))-AVERAGE(OFFSET($H$3,0,0,'Données projet'!$E$11+1,1))</f>
        <v>406.24139966722936</v>
      </c>
      <c r="BJ63" s="62">
        <f t="shared" si="38"/>
        <v>295.95724296920577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276.82199999999995</v>
      </c>
      <c r="CA63" s="14">
        <f t="shared" si="39"/>
        <v>66.29496059864374</v>
      </c>
      <c r="CB63" s="22">
        <f t="shared" si="10"/>
        <v>597.59537304263779</v>
      </c>
      <c r="CC63" s="62">
        <f t="shared" si="11"/>
        <v>890.92870637597116</v>
      </c>
      <c r="CD63" s="62">
        <f ca="1">AVERAGE(OFFSET($CC$3,0,0,'Données projet'!$E$12+1,1))-AVERAGE(OFFSET($H$3,0,0,'Données projet'!$E$12+1,1))</f>
        <v>565.72091871734051</v>
      </c>
      <c r="CE63" s="62">
        <f t="shared" si="40"/>
        <v>306.61893266146666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5.6843418860808015E-14</v>
      </c>
      <c r="CU63" s="18">
        <f>CT63*VLOOKUP('Données projet'!$B$13,Paramètres!$A$1:$I$89,3,0)*VLOOKUP('Données projet'!$B$13,Paramètres!$A$1:$I$89,5,0)</f>
        <v>4.9658410716801891E-14</v>
      </c>
      <c r="CV63" s="14">
        <f t="shared" si="41"/>
        <v>8.0934058173791862E-13</v>
      </c>
      <c r="CW63" s="22">
        <f t="shared" si="13"/>
        <v>1.4960899118586383E-12</v>
      </c>
      <c r="CX63" s="62">
        <f t="shared" si="14"/>
        <v>293.33333333333479</v>
      </c>
      <c r="CY63" s="62">
        <f ca="1">AVERAGE(OFFSET($CX$3,0,0,'Données projet'!$E$13+1,1))-AVERAGE(OFFSET($H$3,0,0,'Données projet'!$E$13+1,1))</f>
        <v>333.56306908115238</v>
      </c>
      <c r="CZ63" s="62">
        <f t="shared" si="42"/>
        <v>523.65456887919618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360.59999999999997</v>
      </c>
      <c r="DM63" s="13">
        <f>VLOOKUP(A63,'Données projet'!$A$165:$I$185,9,0)</f>
        <v>7.3</v>
      </c>
      <c r="DN63" s="13">
        <f t="array" ref="DN63">INDEX(DM:DM,MIN(IF(ISNUMBER(DM63:DM259),ROW(DM63:DM259),"")))</f>
        <v>7.3</v>
      </c>
      <c r="DO63" s="13">
        <f>IF('Données projet'!$A$166&gt;35,DO62+DN63-DW62,IF(A63&lt;'Données projet'!$A$166,$DL$205^A63,IF(A63='Données projet'!$A$166,'Données projet'!$B$166,DO62+DN63-DW62)))</f>
        <v>360.60000000000025</v>
      </c>
      <c r="DP63" s="18">
        <f>DO63*VLOOKUP('Données projet'!$B$14,Paramètres!$A$1:$I$89,3,0)*VLOOKUP('Données projet'!$B$14,Paramètres!$A$1:$I$89,5,0)</f>
        <v>264.3919200000002</v>
      </c>
      <c r="DQ63" s="14">
        <f t="shared" si="43"/>
        <v>63.657643181110203</v>
      </c>
      <c r="DR63" s="22">
        <f t="shared" si="16"/>
        <v>571.35298920710056</v>
      </c>
      <c r="DS63" s="62">
        <f t="shared" si="17"/>
        <v>864.68632254043382</v>
      </c>
      <c r="DT63" s="62">
        <f ca="1">AVERAGE(OFFSET($DS$3,0,0,'Données projet'!$E$14+1,1))-AVERAGE(OFFSET($H$3,0,0,'Données projet'!$E$14+1,1))</f>
        <v>397.24714625007675</v>
      </c>
      <c r="DU63" s="62">
        <f t="shared" si="44"/>
        <v>431.75775520200608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35.099999999999994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9">
        <f t="shared" si="1"/>
        <v>256.66666666666669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2">
        <f t="shared" si="0"/>
        <v>844.78361837999637</v>
      </c>
      <c r="S64" s="62">
        <f ca="1">AVERAGE(OFFSET($R$3,0,0,'Données projet'!$E$9+1,1))-AVERAGE(OFFSET($H$3,0,0,'Données projet'!$E$9+1,1))</f>
        <v>509.56241660612449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15.75</v>
      </c>
      <c r="AI64" s="14">
        <f>IF('Données projet'!$A$62&gt;35,AI63+AH64-AQ63,IF(A64&lt;'Données projet'!$A$62,$AF$205^A64,IF(A64='Données projet'!$A$62,'Données projet'!$B$62,AI63+AH64-AQ63)))</f>
        <v>493.50000000000011</v>
      </c>
      <c r="AJ64" s="14">
        <f>AI64*VLOOKUP('Données projet'!$B$10,Paramètres!$A$1:$I$89,3,0)*VLOOKUP('Données projet'!$B$10,Paramètres!$A$1:$I$89,5,0)</f>
        <v>423.42300000000012</v>
      </c>
      <c r="AK64" s="14">
        <f t="shared" si="35"/>
        <v>96.509477494398283</v>
      </c>
      <c r="AL64" s="22">
        <f t="shared" si="4"/>
        <v>905.54906496941055</v>
      </c>
      <c r="AM64" s="62">
        <f t="shared" si="5"/>
        <v>1198.8823983027439</v>
      </c>
      <c r="AN64" s="62">
        <f ca="1">AVERAGE(OFFSET($AM$3,0,0,'Données projet'!$E$10+1,1))-AVERAGE(OFFSET($H$3,0,0,'Données projet'!$E$10+1,1))</f>
        <v>625.17723604265689</v>
      </c>
      <c r="AO64" s="62">
        <f t="shared" si="36"/>
        <v>462.33909258902241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</v>
      </c>
      <c r="BD64" s="13">
        <f>IF('Données projet'!$A$88&gt;35,BD63+BC64-BL63,IF(A64&lt;'Données projet'!$A$88,$BA$205^A64,IF(A64='Données projet'!$A$88,'Données projet'!$B$88,BD63+BC64-BL63)))</f>
        <v>212.69230769230759</v>
      </c>
      <c r="BE64" s="14">
        <f>BD64*VLOOKUP('Données projet'!$B$11,Paramètres!$A$1:$I$89,3,0)*VLOOKUP('Données projet'!$B$11,Paramètres!$A$1:$I$89,5,0)</f>
        <v>202.39799999999991</v>
      </c>
      <c r="BF64" s="14">
        <f t="shared" si="37"/>
        <v>50.270809420148282</v>
      </c>
      <c r="BG64" s="22">
        <f t="shared" si="7"/>
        <v>440.06484307342475</v>
      </c>
      <c r="BH64" s="62">
        <f t="shared" si="8"/>
        <v>733.39817640675801</v>
      </c>
      <c r="BI64" s="62">
        <f ca="1">AVERAGE(OFFSET($BH$3,0,0,'Données projet'!$E$11+1,1))-AVERAGE(OFFSET($H$3,0,0,'Données projet'!$E$11+1,1))</f>
        <v>406.24139966722936</v>
      </c>
      <c r="BJ64" s="62">
        <f t="shared" si="38"/>
        <v>295.95724296920577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281.79999999999995</v>
      </c>
      <c r="BZ64" s="14">
        <f>BY64*VLOOKUP('Données projet'!$B$12,Paramètres!$A$1:$I$89,3,0)*VLOOKUP('Données projet'!$B$12,Paramètres!$A$1:$I$89,5,0)</f>
        <v>285.74520000000001</v>
      </c>
      <c r="CA64" s="14">
        <f t="shared" si="39"/>
        <v>68.179695862275295</v>
      </c>
      <c r="CB64" s="22">
        <f t="shared" si="10"/>
        <v>616.41919362679607</v>
      </c>
      <c r="CC64" s="62">
        <f t="shared" si="11"/>
        <v>909.75252696012944</v>
      </c>
      <c r="CD64" s="62">
        <f ca="1">AVERAGE(OFFSET($CC$3,0,0,'Données projet'!$E$12+1,1))-AVERAGE(OFFSET($H$3,0,0,'Données projet'!$E$12+1,1))</f>
        <v>565.72091871734051</v>
      </c>
      <c r="CE64" s="62">
        <f t="shared" si="40"/>
        <v>306.61893266146666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5.6843418860808015E-14</v>
      </c>
      <c r="CU64" s="18">
        <f>CT64*VLOOKUP('Données projet'!$B$13,Paramètres!$A$1:$I$89,3,0)*VLOOKUP('Données projet'!$B$13,Paramètres!$A$1:$I$89,5,0)</f>
        <v>4.9658410716801891E-14</v>
      </c>
      <c r="CV64" s="14">
        <f t="shared" si="41"/>
        <v>8.0934058173791862E-13</v>
      </c>
      <c r="CW64" s="22">
        <f t="shared" si="13"/>
        <v>1.4960899118586383E-12</v>
      </c>
      <c r="CX64" s="62">
        <f t="shared" si="14"/>
        <v>293.33333333333479</v>
      </c>
      <c r="CY64" s="62">
        <f ca="1">AVERAGE(OFFSET($CX$3,0,0,'Données projet'!$E$13+1,1))-AVERAGE(OFFSET($H$3,0,0,'Données projet'!$E$13+1,1))</f>
        <v>333.56306908115238</v>
      </c>
      <c r="CZ64" s="62">
        <f t="shared" si="42"/>
        <v>523.65456887919618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6.1</v>
      </c>
      <c r="DO64" s="13">
        <f>IF('Données projet'!$A$166&gt;35,DO63+DN64-DW63,IF(A64&lt;'Données projet'!$A$166,$DL$205^A64,IF(A64='Données projet'!$A$166,'Données projet'!$B$166,DO63+DN64-DW63)))</f>
        <v>331.60000000000025</v>
      </c>
      <c r="DP64" s="18">
        <f>DO64*VLOOKUP('Données projet'!$B$14,Paramètres!$A$1:$I$89,3,0)*VLOOKUP('Données projet'!$B$14,Paramètres!$A$1:$I$89,5,0)</f>
        <v>243.1291200000002</v>
      </c>
      <c r="DQ64" s="14">
        <f t="shared" si="43"/>
        <v>59.112267488655796</v>
      </c>
      <c r="DR64" s="22">
        <f t="shared" si="16"/>
        <v>526.40374987607595</v>
      </c>
      <c r="DS64" s="62">
        <f t="shared" si="17"/>
        <v>819.73708320940932</v>
      </c>
      <c r="DT64" s="62">
        <f ca="1">AVERAGE(OFFSET($DS$3,0,0,'Données projet'!$E$14+1,1))-AVERAGE(OFFSET($H$3,0,0,'Données projet'!$E$14+1,1))</f>
        <v>397.24714625007675</v>
      </c>
      <c r="DU64" s="62">
        <f t="shared" si="44"/>
        <v>431.75775520200608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9">
        <f t="shared" si="1"/>
        <v>256.66666666666669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2">
        <f t="shared" si="0"/>
        <v>861.60859430939536</v>
      </c>
      <c r="S65" s="62">
        <f ca="1">AVERAGE(OFFSET($R$3,0,0,'Données projet'!$E$9+1,1))-AVERAGE(OFFSET($H$3,0,0,'Données projet'!$E$9+1,1))</f>
        <v>509.56241660612449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15.75</v>
      </c>
      <c r="AI65" s="14">
        <f>IF('Données projet'!$A$62&gt;35,AI64+AH65-AQ64,IF(A65&lt;'Données projet'!$A$62,$AF$205^A65,IF(A65='Données projet'!$A$62,'Données projet'!$B$62,AI64+AH65-AQ64)))</f>
        <v>509.25000000000011</v>
      </c>
      <c r="AJ65" s="14">
        <f>AI65*VLOOKUP('Données projet'!$B$10,Paramètres!$A$1:$I$89,3,0)*VLOOKUP('Données projet'!$B$10,Paramètres!$A$1:$I$89,5,0)</f>
        <v>436.93650000000014</v>
      </c>
      <c r="AK65" s="14">
        <f t="shared" si="35"/>
        <v>99.226048637397696</v>
      </c>
      <c r="AL65" s="22">
        <f t="shared" si="4"/>
        <v>933.81643887680104</v>
      </c>
      <c r="AM65" s="62">
        <f t="shared" si="5"/>
        <v>1227.1497722101344</v>
      </c>
      <c r="AN65" s="62">
        <f ca="1">AVERAGE(OFFSET($AM$3,0,0,'Données projet'!$E$10+1,1))-AVERAGE(OFFSET($H$3,0,0,'Données projet'!$E$10+1,1))</f>
        <v>625.17723604265689</v>
      </c>
      <c r="AO65" s="62">
        <f t="shared" si="36"/>
        <v>462.33909258902241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</v>
      </c>
      <c r="BD65" s="13">
        <f>IF('Données projet'!$A$88&gt;35,BD64+BC65-BL64,IF(A65&lt;'Données projet'!$A$88,$BA$205^A65,IF(A65='Données projet'!$A$88,'Données projet'!$B$88,BD64+BC65-BL64)))</f>
        <v>217.69230769230759</v>
      </c>
      <c r="BE65" s="14">
        <f>BD65*VLOOKUP('Données projet'!$B$11,Paramètres!$A$1:$I$89,3,0)*VLOOKUP('Données projet'!$B$11,Paramètres!$A$1:$I$89,5,0)</f>
        <v>207.15599999999989</v>
      </c>
      <c r="BF65" s="14">
        <f t="shared" si="37"/>
        <v>51.313607806372978</v>
      </c>
      <c r="BG65" s="22">
        <f t="shared" si="7"/>
        <v>450.16790026276612</v>
      </c>
      <c r="BH65" s="62">
        <f t="shared" si="8"/>
        <v>743.50123359609938</v>
      </c>
      <c r="BI65" s="62">
        <f ca="1">AVERAGE(OFFSET($BH$3,0,0,'Données projet'!$E$11+1,1))-AVERAGE(OFFSET($H$3,0,0,'Données projet'!$E$11+1,1))</f>
        <v>406.24139966722936</v>
      </c>
      <c r="BJ65" s="62">
        <f t="shared" si="38"/>
        <v>295.95724296920577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290.59999999999997</v>
      </c>
      <c r="BZ65" s="14">
        <f>BY65*VLOOKUP('Données projet'!$B$12,Paramètres!$A$1:$I$89,3,0)*VLOOKUP('Données projet'!$B$12,Paramètres!$A$1:$I$89,5,0)</f>
        <v>294.66839999999996</v>
      </c>
      <c r="CA65" s="14">
        <f t="shared" si="39"/>
        <v>70.057591528661547</v>
      </c>
      <c r="CB65" s="22">
        <f t="shared" si="10"/>
        <v>635.23110191241869</v>
      </c>
      <c r="CC65" s="62">
        <f t="shared" si="11"/>
        <v>928.56443524575207</v>
      </c>
      <c r="CD65" s="62">
        <f ca="1">AVERAGE(OFFSET($CC$3,0,0,'Données projet'!$E$12+1,1))-AVERAGE(OFFSET($H$3,0,0,'Données projet'!$E$12+1,1))</f>
        <v>565.72091871734051</v>
      </c>
      <c r="CE65" s="62">
        <f t="shared" si="40"/>
        <v>306.61893266146666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5.6843418860808015E-14</v>
      </c>
      <c r="CU65" s="18">
        <f>CT65*VLOOKUP('Données projet'!$B$13,Paramètres!$A$1:$I$89,3,0)*VLOOKUP('Données projet'!$B$13,Paramètres!$A$1:$I$89,5,0)</f>
        <v>4.9658410716801891E-14</v>
      </c>
      <c r="CV65" s="14">
        <f t="shared" si="41"/>
        <v>8.0934058173791862E-13</v>
      </c>
      <c r="CW65" s="22">
        <f t="shared" si="13"/>
        <v>1.4960899118586383E-12</v>
      </c>
      <c r="CX65" s="62">
        <f t="shared" si="14"/>
        <v>293.33333333333479</v>
      </c>
      <c r="CY65" s="62">
        <f ca="1">AVERAGE(OFFSET($CX$3,0,0,'Données projet'!$E$13+1,1))-AVERAGE(OFFSET($H$3,0,0,'Données projet'!$E$13+1,1))</f>
        <v>333.56306908115238</v>
      </c>
      <c r="CZ65" s="62">
        <f t="shared" si="42"/>
        <v>523.65456887919618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6.1</v>
      </c>
      <c r="DO65" s="13">
        <f>IF('Données projet'!$A$166&gt;35,DO64+DN65-DW64,IF(A65&lt;'Données projet'!$A$166,$DL$205^A65,IF(A65='Données projet'!$A$166,'Données projet'!$B$166,DO64+DN65-DW64)))</f>
        <v>337.70000000000027</v>
      </c>
      <c r="DP65" s="18">
        <f>DO65*VLOOKUP('Données projet'!$B$14,Paramètres!$A$1:$I$89,3,0)*VLOOKUP('Données projet'!$B$14,Paramètres!$A$1:$I$89,5,0)</f>
        <v>247.60164000000017</v>
      </c>
      <c r="DQ65" s="14">
        <f t="shared" si="43"/>
        <v>60.072080379039576</v>
      </c>
      <c r="DR65" s="22">
        <f t="shared" si="16"/>
        <v>535.86506299349423</v>
      </c>
      <c r="DS65" s="62">
        <f t="shared" si="17"/>
        <v>829.19839632682761</v>
      </c>
      <c r="DT65" s="62">
        <f ca="1">AVERAGE(OFFSET($DS$3,0,0,'Données projet'!$E$14+1,1))-AVERAGE(OFFSET($H$3,0,0,'Données projet'!$E$14+1,1))</f>
        <v>397.24714625007675</v>
      </c>
      <c r="DU65" s="62">
        <f t="shared" si="44"/>
        <v>431.75775520200608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9">
        <f t="shared" si="1"/>
        <v>256.66666666666669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2">
        <f t="shared" si="0"/>
        <v>878.42316250379099</v>
      </c>
      <c r="S66" s="62">
        <f ca="1">AVERAGE(OFFSET($R$3,0,0,'Données projet'!$E$9+1,1))-AVERAGE(OFFSET($H$3,0,0,'Données projet'!$E$9+1,1))</f>
        <v>509.56241660612449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525</v>
      </c>
      <c r="AG66" s="13">
        <f>VLOOKUP(A66,'Données projet'!$A$61:$I$81,9,0)</f>
        <v>15.75</v>
      </c>
      <c r="AH66" s="13">
        <f t="array" ref="AH66">INDEX(AG:AG,MIN(IF(ISNUMBER(AG66:AG262),ROW(AG66:AG262),"")))</f>
        <v>15.75</v>
      </c>
      <c r="AI66" s="14">
        <f>IF('Données projet'!$A$62&gt;35,AI65+AH66-AQ65,IF(A66&lt;'Données projet'!$A$62,$AF$205^A66,IF(A66='Données projet'!$A$62,'Données projet'!$B$62,AI65+AH66-AQ65)))</f>
        <v>525.00000000000011</v>
      </c>
      <c r="AJ66" s="14">
        <f>AI66*VLOOKUP('Données projet'!$B$10,Paramètres!$A$1:$I$89,3,0)*VLOOKUP('Données projet'!$B$10,Paramètres!$A$1:$I$89,5,0)</f>
        <v>450.45000000000022</v>
      </c>
      <c r="AK66" s="14">
        <f t="shared" si="35"/>
        <v>101.93285606199899</v>
      </c>
      <c r="AL66" s="22">
        <f t="shared" si="4"/>
        <v>962.06680764131522</v>
      </c>
      <c r="AM66" s="62">
        <f t="shared" si="5"/>
        <v>1255.4001409746486</v>
      </c>
      <c r="AN66" s="62">
        <f ca="1">AVERAGE(OFFSET($AM$3,0,0,'Données projet'!$E$10+1,1))-AVERAGE(OFFSET($H$3,0,0,'Données projet'!$E$10+1,1))</f>
        <v>625.17723604265689</v>
      </c>
      <c r="AO66" s="62">
        <f t="shared" si="36"/>
        <v>462.33909258902241</v>
      </c>
      <c r="AP66" s="16">
        <f>IF(ISNA(VLOOKUP(A66,'Données projet'!$A$61:$I$81,3,0)),0,VLOOKUP(A66,'Données projet'!$A$61:$I$81,3,0))</f>
        <v>9</v>
      </c>
      <c r="AQ66" s="16">
        <f>IF(ISNA(VLOOKUP(A66,'Données projet'!$A$61:$I$81,4,0)),0,VLOOKUP(A66,'Données projet'!$A$61:$I$81,4,0))</f>
        <v>124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</v>
      </c>
      <c r="BD66" s="13">
        <f>IF('Données projet'!$A$88&gt;35,BD65+BC66-BL65,IF(A66&lt;'Données projet'!$A$88,$BA$205^A66,IF(A66='Données projet'!$A$88,'Données projet'!$B$88,BD65+BC66-BL65)))</f>
        <v>222.69230769230759</v>
      </c>
      <c r="BE66" s="14">
        <f>BD66*VLOOKUP('Données projet'!$B$11,Paramètres!$A$1:$I$89,3,0)*VLOOKUP('Données projet'!$B$11,Paramètres!$A$1:$I$89,5,0)</f>
        <v>211.9139999999999</v>
      </c>
      <c r="BF66" s="14">
        <f t="shared" si="37"/>
        <v>52.353621737631663</v>
      </c>
      <c r="BG66" s="22">
        <f t="shared" si="7"/>
        <v>460.26610785970826</v>
      </c>
      <c r="BH66" s="62">
        <f t="shared" si="8"/>
        <v>753.59944119304157</v>
      </c>
      <c r="BI66" s="62">
        <f ca="1">AVERAGE(OFFSET($BH$3,0,0,'Données projet'!$E$11+1,1))-AVERAGE(OFFSET($H$3,0,0,'Données projet'!$E$11+1,1))</f>
        <v>406.24139966722936</v>
      </c>
      <c r="BJ66" s="62">
        <f t="shared" si="38"/>
        <v>295.95724296920577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299.39999999999998</v>
      </c>
      <c r="BZ66" s="14">
        <f>BY66*VLOOKUP('Données projet'!$B$12,Paramètres!$A$1:$I$89,3,0)*VLOOKUP('Données projet'!$B$12,Paramètres!$A$1:$I$89,5,0)</f>
        <v>303.59159999999997</v>
      </c>
      <c r="CA66" s="14">
        <f t="shared" si="39"/>
        <v>71.928878488732749</v>
      </c>
      <c r="CB66" s="22">
        <f t="shared" si="10"/>
        <v>654.03150003454277</v>
      </c>
      <c r="CC66" s="62">
        <f t="shared" si="11"/>
        <v>947.36483336787614</v>
      </c>
      <c r="CD66" s="62">
        <f ca="1">AVERAGE(OFFSET($CC$3,0,0,'Données projet'!$E$12+1,1))-AVERAGE(OFFSET($H$3,0,0,'Données projet'!$E$12+1,1))</f>
        <v>565.72091871734051</v>
      </c>
      <c r="CE66" s="62">
        <f t="shared" si="40"/>
        <v>306.61893266146666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5.6843418860808015E-14</v>
      </c>
      <c r="CU66" s="18">
        <f>CT66*VLOOKUP('Données projet'!$B$13,Paramètres!$A$1:$I$89,3,0)*VLOOKUP('Données projet'!$B$13,Paramètres!$A$1:$I$89,5,0)</f>
        <v>4.9658410716801891E-14</v>
      </c>
      <c r="CV66" s="14">
        <f t="shared" si="41"/>
        <v>8.0934058173791862E-13</v>
      </c>
      <c r="CW66" s="22">
        <f t="shared" si="13"/>
        <v>1.4960899118586383E-12</v>
      </c>
      <c r="CX66" s="62">
        <f t="shared" si="14"/>
        <v>293.33333333333479</v>
      </c>
      <c r="CY66" s="62">
        <f ca="1">AVERAGE(OFFSET($CX$3,0,0,'Données projet'!$E$13+1,1))-AVERAGE(OFFSET($H$3,0,0,'Données projet'!$E$13+1,1))</f>
        <v>333.56306908115238</v>
      </c>
      <c r="CZ66" s="62">
        <f t="shared" si="42"/>
        <v>523.65456887919618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6.1</v>
      </c>
      <c r="DO66" s="13">
        <f>IF('Données projet'!$A$166&gt;35,DO65+DN66-DW65,IF(A66&lt;'Données projet'!$A$166,$DL$205^A66,IF(A66='Données projet'!$A$166,'Données projet'!$B$166,DO65+DN66-DW65)))</f>
        <v>343.8000000000003</v>
      </c>
      <c r="DP66" s="18">
        <f>DO66*VLOOKUP('Données projet'!$B$14,Paramètres!$A$1:$I$89,3,0)*VLOOKUP('Données projet'!$B$14,Paramètres!$A$1:$I$89,5,0)</f>
        <v>252.07416000000021</v>
      </c>
      <c r="DQ66" s="14">
        <f t="shared" si="43"/>
        <v>61.029877193827687</v>
      </c>
      <c r="DR66" s="22">
        <f t="shared" si="16"/>
        <v>545.32286477925015</v>
      </c>
      <c r="DS66" s="62">
        <f t="shared" si="17"/>
        <v>838.65619811258352</v>
      </c>
      <c r="DT66" s="62">
        <f ca="1">AVERAGE(OFFSET($DS$3,0,0,'Données projet'!$E$14+1,1))-AVERAGE(OFFSET($H$3,0,0,'Données projet'!$E$14+1,1))</f>
        <v>397.24714625007675</v>
      </c>
      <c r="DU66" s="62">
        <f t="shared" si="44"/>
        <v>431.75775520200608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9">
        <f t="shared" si="1"/>
        <v>256.66666666666669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2">
        <f t="shared" ref="R67:R130" si="55">Q67+(I67+J67)*44/12</f>
        <v>895.22766399195029</v>
      </c>
      <c r="S67" s="62">
        <f ca="1">AVERAGE(OFFSET($R$3,0,0,'Données projet'!$E$9+1,1))-AVERAGE(OFFSET($H$3,0,0,'Données projet'!$E$9+1,1))</f>
        <v>509.56241660612449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12.444444444444445</v>
      </c>
      <c r="AI67" s="14">
        <f>IF('Données projet'!$A$62&gt;35,AI66+AH67-AQ66,IF(A67&lt;'Données projet'!$A$62,$AF$205^A67,IF(A67='Données projet'!$A$62,'Données projet'!$B$62,AI66+AH67-AQ66)))</f>
        <v>413.44444444444457</v>
      </c>
      <c r="AJ67" s="14">
        <f>AI67*VLOOKUP('Données projet'!$B$10,Paramètres!$A$1:$I$89,3,0)*VLOOKUP('Données projet'!$B$10,Paramètres!$A$1:$I$89,5,0)</f>
        <v>354.73533333333347</v>
      </c>
      <c r="AK67" s="14">
        <f t="shared" si="35"/>
        <v>82.536801612810521</v>
      </c>
      <c r="AL67" s="22">
        <f t="shared" si="4"/>
        <v>761.58230169786736</v>
      </c>
      <c r="AM67" s="62">
        <f t="shared" si="5"/>
        <v>1054.9156350312007</v>
      </c>
      <c r="AN67" s="62">
        <f ca="1">AVERAGE(OFFSET($AM$3,0,0,'Données projet'!$E$10+1,1))-AVERAGE(OFFSET($H$3,0,0,'Données projet'!$E$10+1,1))</f>
        <v>625.17723604265689</v>
      </c>
      <c r="AO67" s="62">
        <f t="shared" si="36"/>
        <v>462.33909258902241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</v>
      </c>
      <c r="BD67" s="13">
        <f>IF('Données projet'!$A$88&gt;35,BD66+BC67-BL66,IF(A67&lt;'Données projet'!$A$88,$BA$205^A67,IF(A67='Données projet'!$A$88,'Données projet'!$B$88,BD66+BC67-BL66)))</f>
        <v>227.69230769230759</v>
      </c>
      <c r="BE67" s="14">
        <f>BD67*VLOOKUP('Données projet'!$B$11,Paramètres!$A$1:$I$89,3,0)*VLOOKUP('Données projet'!$B$11,Paramètres!$A$1:$I$89,5,0)</f>
        <v>216.67199999999991</v>
      </c>
      <c r="BF67" s="14">
        <f t="shared" si="37"/>
        <v>53.390920929716366</v>
      </c>
      <c r="BG67" s="22">
        <f t="shared" si="7"/>
        <v>470.35958728592249</v>
      </c>
      <c r="BH67" s="62">
        <f t="shared" si="8"/>
        <v>763.6929206192558</v>
      </c>
      <c r="BI67" s="62">
        <f ca="1">AVERAGE(OFFSET($BH$3,0,0,'Données projet'!$E$11+1,1))-AVERAGE(OFFSET($H$3,0,0,'Données projet'!$E$11+1,1))</f>
        <v>406.24139966722936</v>
      </c>
      <c r="BJ67" s="62">
        <f t="shared" si="38"/>
        <v>295.95724296920577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308.2</v>
      </c>
      <c r="BZ67" s="14">
        <f>BY67*VLOOKUP('Données projet'!$B$12,Paramètres!$A$1:$I$89,3,0)*VLOOKUP('Données projet'!$B$12,Paramètres!$A$1:$I$89,5,0)</f>
        <v>312.51480000000004</v>
      </c>
      <c r="CA67" s="14">
        <f t="shared" si="39"/>
        <v>73.793773289024969</v>
      </c>
      <c r="CB67" s="22">
        <f t="shared" si="10"/>
        <v>672.82076514505184</v>
      </c>
      <c r="CC67" s="62">
        <f t="shared" si="11"/>
        <v>966.15409847838509</v>
      </c>
      <c r="CD67" s="62">
        <f ca="1">AVERAGE(OFFSET($CC$3,0,0,'Données projet'!$E$12+1,1))-AVERAGE(OFFSET($H$3,0,0,'Données projet'!$E$12+1,1))</f>
        <v>565.72091871734051</v>
      </c>
      <c r="CE67" s="62">
        <f t="shared" si="40"/>
        <v>306.61893266146666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5.6843418860808015E-14</v>
      </c>
      <c r="CU67" s="18">
        <f>CT67*VLOOKUP('Données projet'!$B$13,Paramètres!$A$1:$I$89,3,0)*VLOOKUP('Données projet'!$B$13,Paramètres!$A$1:$I$89,5,0)</f>
        <v>4.9658410716801891E-14</v>
      </c>
      <c r="CV67" s="14">
        <f t="shared" si="41"/>
        <v>8.0934058173791862E-13</v>
      </c>
      <c r="CW67" s="22">
        <f t="shared" si="13"/>
        <v>1.4960899118586383E-12</v>
      </c>
      <c r="CX67" s="62">
        <f t="shared" si="14"/>
        <v>293.33333333333479</v>
      </c>
      <c r="CY67" s="62">
        <f ca="1">AVERAGE(OFFSET($CX$3,0,0,'Données projet'!$E$13+1,1))-AVERAGE(OFFSET($H$3,0,0,'Données projet'!$E$13+1,1))</f>
        <v>333.56306908115238</v>
      </c>
      <c r="CZ67" s="62">
        <f t="shared" si="42"/>
        <v>523.65456887919618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6.1</v>
      </c>
      <c r="DO67" s="13">
        <f>IF('Données projet'!$A$166&gt;35,DO66+DN67-DW66,IF(A67&lt;'Données projet'!$A$166,$DL$205^A67,IF(A67='Données projet'!$A$166,'Données projet'!$B$166,DO66+DN67-DW66)))</f>
        <v>349.90000000000032</v>
      </c>
      <c r="DP67" s="18">
        <f>DO67*VLOOKUP('Données projet'!$B$14,Paramètres!$A$1:$I$89,3,0)*VLOOKUP('Données projet'!$B$14,Paramètres!$A$1:$I$89,5,0)</f>
        <v>256.54668000000021</v>
      </c>
      <c r="DQ67" s="14">
        <f t="shared" si="43"/>
        <v>61.985697830747227</v>
      </c>
      <c r="DR67" s="22">
        <f t="shared" si="16"/>
        <v>554.77722472188509</v>
      </c>
      <c r="DS67" s="62">
        <f t="shared" si="17"/>
        <v>848.11055805521846</v>
      </c>
      <c r="DT67" s="62">
        <f ca="1">AVERAGE(OFFSET($DS$3,0,0,'Données projet'!$E$14+1,1))-AVERAGE(OFFSET($H$3,0,0,'Données projet'!$E$14+1,1))</f>
        <v>397.24714625007675</v>
      </c>
      <c r="DU67" s="62">
        <f t="shared" si="44"/>
        <v>431.75775520200608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9">
        <f t="shared" ref="H68:H131" si="56">(B68+E68+F68)*44/12+(C68+D68)*0.475*44/12</f>
        <v>256.66666666666669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2">
        <f t="shared" si="55"/>
        <v>912.02241922024541</v>
      </c>
      <c r="S68" s="62">
        <f ca="1">AVERAGE(OFFSET($R$3,0,0,'Données projet'!$E$9+1,1))-AVERAGE(OFFSET($H$3,0,0,'Données projet'!$E$9+1,1))</f>
        <v>509.56241660612449</v>
      </c>
      <c r="T68" s="62">
        <f t="shared" si="34"/>
        <v>278.21741231699929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12.444444444444445</v>
      </c>
      <c r="AI68" s="14">
        <f>IF('Données projet'!$A$62&gt;35,AI67+AH68-AQ67,IF(A68&lt;'Données projet'!$A$62,$AF$205^A68,IF(A68='Données projet'!$A$62,'Données projet'!$B$62,AI67+AH68-AQ67)))</f>
        <v>425.88888888888903</v>
      </c>
      <c r="AJ68" s="14">
        <f>AI68*VLOOKUP('Données projet'!$B$10,Paramètres!$A$1:$I$89,3,0)*VLOOKUP('Données projet'!$B$10,Paramètres!$A$1:$I$89,5,0)</f>
        <v>365.41266666666684</v>
      </c>
      <c r="AK68" s="14">
        <f t="shared" si="35"/>
        <v>84.72813592869332</v>
      </c>
      <c r="AL68" s="22">
        <f t="shared" ref="AL68:AL131" si="58">(AJ68+AK68)*0.475*44/12</f>
        <v>783.99523118691889</v>
      </c>
      <c r="AM68" s="62">
        <f t="shared" ref="AM68:AM131" si="59">AL68+(AD68+AE68)*44/12</f>
        <v>1077.3285645202523</v>
      </c>
      <c r="AN68" s="62">
        <f ca="1">AVERAGE(OFFSET($AM$3,0,0,'Données projet'!$E$10+1,1))-AVERAGE(OFFSET($H$3,0,0,'Données projet'!$E$10+1,1))</f>
        <v>625.17723604265689</v>
      </c>
      <c r="AO68" s="62">
        <f t="shared" si="36"/>
        <v>462.33909258902241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232.69230769230768</v>
      </c>
      <c r="BB68" s="13">
        <f>VLOOKUP(A68,'Données projet'!$A$87:$I$107,9,0)</f>
        <v>5</v>
      </c>
      <c r="BC68" s="13">
        <f t="array" ref="BC68">INDEX(BB:BB,MIN(IF(ISNUMBER(BB68:BB264),ROW(BB68:BB264),"")))</f>
        <v>5</v>
      </c>
      <c r="BD68" s="13">
        <f>IF('Données projet'!$A$88&gt;35,BD67+BC68-BL67,IF(A68&lt;'Données projet'!$A$88,$BA$205^A68,IF(A68='Données projet'!$A$88,'Données projet'!$B$88,BD67+BC68-BL67)))</f>
        <v>232.69230769230759</v>
      </c>
      <c r="BE68" s="14">
        <f>BD68*VLOOKUP('Données projet'!$B$11,Paramètres!$A$1:$I$89,3,0)*VLOOKUP('Données projet'!$B$11,Paramètres!$A$1:$I$89,5,0)</f>
        <v>221.42999999999989</v>
      </c>
      <c r="BF68" s="14">
        <f t="shared" si="37"/>
        <v>54.425571861733111</v>
      </c>
      <c r="BG68" s="22">
        <f t="shared" ref="BG68:BG131" si="61">(BE68+BF68)*0.475*44/12</f>
        <v>480.44845432585157</v>
      </c>
      <c r="BH68" s="62">
        <f t="shared" ref="BH68:BH131" si="62">BG68+(AY68+AZ68)*44/12</f>
        <v>773.78178765918483</v>
      </c>
      <c r="BI68" s="62">
        <f ca="1">AVERAGE(OFFSET($BH$3,0,0,'Données projet'!$E$11+1,1))-AVERAGE(OFFSET($H$3,0,0,'Données projet'!$E$11+1,1))</f>
        <v>406.24139966722936</v>
      </c>
      <c r="BJ68" s="62">
        <f t="shared" si="38"/>
        <v>295.95724296920577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32.692307692307693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317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317</v>
      </c>
      <c r="BZ68" s="14">
        <f>BY68*VLOOKUP('Données projet'!$B$12,Paramètres!$A$1:$I$89,3,0)*VLOOKUP('Données projet'!$B$12,Paramètres!$A$1:$I$89,5,0)</f>
        <v>321.43800000000005</v>
      </c>
      <c r="CA68" s="14">
        <f t="shared" si="39"/>
        <v>75.652479406660248</v>
      </c>
      <c r="CB68" s="22">
        <f t="shared" ref="CB68:CB131" si="64">(BZ68+CA68)*0.475*44/12</f>
        <v>691.59925163326659</v>
      </c>
      <c r="CC68" s="62">
        <f t="shared" ref="CC68:CC131" si="65">CB68+(BT68+BU68)*44/12</f>
        <v>984.93258496659996</v>
      </c>
      <c r="CD68" s="62">
        <f ca="1">AVERAGE(OFFSET($CC$3,0,0,'Données projet'!$E$12+1,1))-AVERAGE(OFFSET($H$3,0,0,'Données projet'!$E$12+1,1))</f>
        <v>565.72091871734051</v>
      </c>
      <c r="CE68" s="62">
        <f t="shared" si="40"/>
        <v>306.61893266146666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56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5.6843418860808015E-14</v>
      </c>
      <c r="CU68" s="18">
        <f>CT68*VLOOKUP('Données projet'!$B$13,Paramètres!$A$1:$I$89,3,0)*VLOOKUP('Données projet'!$B$13,Paramètres!$A$1:$I$89,5,0)</f>
        <v>4.9658410716801891E-14</v>
      </c>
      <c r="CV68" s="14">
        <f t="shared" si="41"/>
        <v>8.0934058173791862E-13</v>
      </c>
      <c r="CW68" s="22">
        <f t="shared" ref="CW68:CW131" si="67">(CU68+CV68)*0.475*44/12</f>
        <v>1.4960899118586383E-12</v>
      </c>
      <c r="CX68" s="62">
        <f t="shared" ref="CX68:CX131" si="68">CW68+(CO68+CP68)*44/12</f>
        <v>293.33333333333479</v>
      </c>
      <c r="CY68" s="62">
        <f ca="1">AVERAGE(OFFSET($CX$3,0,0,'Données projet'!$E$13+1,1))-AVERAGE(OFFSET($H$3,0,0,'Données projet'!$E$13+1,1))</f>
        <v>333.56306908115238</v>
      </c>
      <c r="CZ68" s="62">
        <f t="shared" si="42"/>
        <v>523.65456887919618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356</v>
      </c>
      <c r="DM68" s="13">
        <f>VLOOKUP(A68,'Données projet'!$A$165:$I$185,9,0)</f>
        <v>6.1</v>
      </c>
      <c r="DN68" s="13">
        <f t="array" ref="DN68">INDEX(DM:DM,MIN(IF(ISNUMBER(DM68:DM264),ROW(DM68:DM264),"")))</f>
        <v>6.1</v>
      </c>
      <c r="DO68" s="13">
        <f>IF('Données projet'!$A$166&gt;35,DO67+DN68-DW67,IF(A68&lt;'Données projet'!$A$166,$DL$205^A68,IF(A68='Données projet'!$A$166,'Données projet'!$B$166,DO67+DN68-DW67)))</f>
        <v>356.00000000000034</v>
      </c>
      <c r="DP68" s="18">
        <f>DO68*VLOOKUP('Données projet'!$B$14,Paramètres!$A$1:$I$89,3,0)*VLOOKUP('Données projet'!$B$14,Paramètres!$A$1:$I$89,5,0)</f>
        <v>261.01920000000024</v>
      </c>
      <c r="DQ68" s="14">
        <f t="shared" si="43"/>
        <v>62.939580716713628</v>
      </c>
      <c r="DR68" s="22">
        <f t="shared" ref="DR68:DR131" si="70">(DP68+DQ68)*0.475*44/12</f>
        <v>564.22820974827664</v>
      </c>
      <c r="DS68" s="62">
        <f t="shared" ref="DS68:DS131" si="71">DR68+(DJ68+DK68)*44/12</f>
        <v>857.5615430816099</v>
      </c>
      <c r="DT68" s="62">
        <f ca="1">AVERAGE(OFFSET($DS$3,0,0,'Données projet'!$E$14+1,1))-AVERAGE(OFFSET($H$3,0,0,'Données projet'!$E$14+1,1))</f>
        <v>397.24714625007675</v>
      </c>
      <c r="DU68" s="62">
        <f t="shared" si="44"/>
        <v>431.75775520200608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9">
        <f t="shared" si="56"/>
        <v>256.66666666666669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509.56241660612449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12.444444444444445</v>
      </c>
      <c r="AI69" s="14">
        <f>IF('Données projet'!$A$62&gt;35,AI68+AH69-AQ68,IF(A69&lt;'Données projet'!$A$62,$AF$205^A69,IF(A69='Données projet'!$A$62,'Données projet'!$B$62,AI68+AH69-AQ68)))</f>
        <v>438.33333333333348</v>
      </c>
      <c r="AJ69" s="14">
        <f>AI69*VLOOKUP('Données projet'!$B$10,Paramètres!$A$1:$I$89,3,0)*VLOOKUP('Données projet'!$B$10,Paramètres!$A$1:$I$89,5,0)</f>
        <v>376.09000000000015</v>
      </c>
      <c r="AK69" s="14">
        <f t="shared" ref="AK69:AK132" si="89">EXP(-1.0587+0.8836*LN(AJ69)+0.284)</f>
        <v>86.912028619663374</v>
      </c>
      <c r="AL69" s="22">
        <f t="shared" si="58"/>
        <v>806.39519984591391</v>
      </c>
      <c r="AM69" s="62">
        <f t="shared" si="59"/>
        <v>1099.7285331792473</v>
      </c>
      <c r="AN69" s="62">
        <f ca="1">AVERAGE(OFFSET($AM$3,0,0,'Données projet'!$E$10+1,1))-AVERAGE(OFFSET($H$3,0,0,'Données projet'!$E$10+1,1))</f>
        <v>625.17723604265689</v>
      </c>
      <c r="AO69" s="62">
        <f t="shared" ref="AO69:AO132" si="90">$AO$3</f>
        <v>462.33909258902241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4.7435897435897401</v>
      </c>
      <c r="BD69" s="13">
        <f>IF('Données projet'!$A$88&gt;35,BD68+BC69-BL68,IF(A69&lt;'Données projet'!$A$88,$BA$205^A69,IF(A69='Données projet'!$A$88,'Données projet'!$B$88,BD68+BC69-BL68)))</f>
        <v>204.74358974358967</v>
      </c>
      <c r="BE69" s="14">
        <f>BD69*VLOOKUP('Données projet'!$B$11,Paramètres!$A$1:$I$89,3,0)*VLOOKUP('Données projet'!$B$11,Paramètres!$A$1:$I$89,5,0)</f>
        <v>194.83399999999995</v>
      </c>
      <c r="BF69" s="14">
        <f t="shared" ref="BF69:BF132" si="91">EXP(-1.0587+0.8836*LN(BE69)+0.284)</f>
        <v>48.607113902081203</v>
      </c>
      <c r="BG69" s="22">
        <f t="shared" si="61"/>
        <v>423.993273379458</v>
      </c>
      <c r="BH69" s="62">
        <f t="shared" si="62"/>
        <v>717.32660671279132</v>
      </c>
      <c r="BI69" s="62">
        <f ca="1">AVERAGE(OFFSET($BH$3,0,0,'Données projet'!$E$11+1,1))-AVERAGE(OFFSET($H$3,0,0,'Données projet'!$E$11+1,1))</f>
        <v>406.24139966722936</v>
      </c>
      <c r="BJ69" s="62">
        <f t="shared" ref="BJ69:BJ132" si="92">$BJ$3</f>
        <v>295.95724296920577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272.96879999999999</v>
      </c>
      <c r="CA69" s="14">
        <f t="shared" ref="CA69:CA132" si="93">EXP(-1.0587+0.8836*LN(BZ69)+0.284)</f>
        <v>65.478922017818945</v>
      </c>
      <c r="CB69" s="22">
        <f t="shared" si="64"/>
        <v>589.46311584770126</v>
      </c>
      <c r="CC69" s="62">
        <f t="shared" si="65"/>
        <v>882.79644918103463</v>
      </c>
      <c r="CD69" s="62">
        <f ca="1">AVERAGE(OFFSET($CC$3,0,0,'Données projet'!$E$12+1,1))-AVERAGE(OFFSET($H$3,0,0,'Données projet'!$E$12+1,1))</f>
        <v>565.72091871734051</v>
      </c>
      <c r="CE69" s="62">
        <f t="shared" ref="CE69:CE132" si="94">$CE$3</f>
        <v>306.61893266146666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5.6843418860808015E-14</v>
      </c>
      <c r="CU69" s="18">
        <f>CT69*VLOOKUP('Données projet'!$B$13,Paramètres!$A$1:$I$89,3,0)*VLOOKUP('Données projet'!$B$13,Paramètres!$A$1:$I$89,5,0)</f>
        <v>4.9658410716801891E-14</v>
      </c>
      <c r="CV69" s="14">
        <f t="shared" ref="CV69:CV132" si="95">EXP(-1.0587+0.8836*LN(CU69)+0.284)</f>
        <v>8.0934058173791862E-13</v>
      </c>
      <c r="CW69" s="22">
        <f t="shared" si="67"/>
        <v>1.4960899118586383E-12</v>
      </c>
      <c r="CX69" s="62">
        <f t="shared" si="68"/>
        <v>293.33333333333479</v>
      </c>
      <c r="CY69" s="62">
        <f ca="1">AVERAGE(OFFSET($CX$3,0,0,'Données projet'!$E$13+1,1))-AVERAGE(OFFSET($H$3,0,0,'Données projet'!$E$13+1,1))</f>
        <v>333.56306908115238</v>
      </c>
      <c r="CZ69" s="62">
        <f t="shared" ref="CZ69:CZ132" si="96">$CZ$3</f>
        <v>523.65456887919618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5.1399999999999979</v>
      </c>
      <c r="DO69" s="13">
        <f>IF('Données projet'!$A$166&gt;35,DO68+DN69-DW68,IF(A69&lt;'Données projet'!$A$166,$DL$205^A69,IF(A69='Données projet'!$A$166,'Données projet'!$B$166,DO68+DN69-DW68)))</f>
        <v>361.14000000000033</v>
      </c>
      <c r="DP69" s="18">
        <f>DO69*VLOOKUP('Données projet'!$B$14,Paramètres!$A$1:$I$89,3,0)*VLOOKUP('Données projet'!$B$14,Paramètres!$A$1:$I$89,5,0)</f>
        <v>264.78784800000022</v>
      </c>
      <c r="DQ69" s="14">
        <f t="shared" ref="DQ69:DQ132" si="97">EXP(-1.0587+0.8836*LN(DP69)+0.284)</f>
        <v>63.741867298542061</v>
      </c>
      <c r="DR69" s="22">
        <f t="shared" si="70"/>
        <v>572.18925414496107</v>
      </c>
      <c r="DS69" s="62">
        <f t="shared" si="71"/>
        <v>865.52258747829433</v>
      </c>
      <c r="DT69" s="62">
        <f ca="1">AVERAGE(OFFSET($DS$3,0,0,'Données projet'!$E$14+1,1))-AVERAGE(OFFSET($H$3,0,0,'Données projet'!$E$14+1,1))</f>
        <v>397.24714625007675</v>
      </c>
      <c r="DU69" s="62">
        <f t="shared" ref="DU69:DU132" si="98">$DU$3</f>
        <v>431.75775520200608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9">
        <f t="shared" si="56"/>
        <v>256.66666666666669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509.56241660612449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12.444444444444445</v>
      </c>
      <c r="AI70" s="14">
        <f>IF('Données projet'!$A$62&gt;35,AI69+AH70-AQ69,IF(A70&lt;'Données projet'!$A$62,$AF$205^A70,IF(A70='Données projet'!$A$62,'Données projet'!$B$62,AI69+AH70-AQ69)))</f>
        <v>450.77777777777794</v>
      </c>
      <c r="AJ70" s="14">
        <f>AI70*VLOOKUP('Données projet'!$B$10,Paramètres!$A$1:$I$89,3,0)*VLOOKUP('Données projet'!$B$10,Paramètres!$A$1:$I$89,5,0)</f>
        <v>386.76733333333351</v>
      </c>
      <c r="AK70" s="14">
        <f t="shared" si="89"/>
        <v>89.088715222892645</v>
      </c>
      <c r="AL70" s="22">
        <f t="shared" si="58"/>
        <v>828.78261790209388</v>
      </c>
      <c r="AM70" s="62">
        <f t="shared" si="59"/>
        <v>1122.1159512354272</v>
      </c>
      <c r="AN70" s="62">
        <f ca="1">AVERAGE(OFFSET($AM$3,0,0,'Données projet'!$E$10+1,1))-AVERAGE(OFFSET($H$3,0,0,'Données projet'!$E$10+1,1))</f>
        <v>625.17723604265689</v>
      </c>
      <c r="AO70" s="62">
        <f t="shared" si="90"/>
        <v>462.33909258902241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4.7435897435897401</v>
      </c>
      <c r="BD70" s="13">
        <f>IF('Données projet'!$A$88&gt;35,BD69+BC70-BL69,IF(A70&lt;'Données projet'!$A$88,$BA$205^A70,IF(A70='Données projet'!$A$88,'Données projet'!$B$88,BD69+BC70-BL69)))</f>
        <v>209.48717948717942</v>
      </c>
      <c r="BE70" s="14">
        <f>BD70*VLOOKUP('Données projet'!$B$11,Paramètres!$A$1:$I$89,3,0)*VLOOKUP('Données projet'!$B$11,Paramètres!$A$1:$I$89,5,0)</f>
        <v>199.34799999999993</v>
      </c>
      <c r="BF70" s="14">
        <f t="shared" si="91"/>
        <v>49.600850639748678</v>
      </c>
      <c r="BG70" s="22">
        <f t="shared" si="61"/>
        <v>433.58591486422876</v>
      </c>
      <c r="BH70" s="62">
        <f t="shared" si="62"/>
        <v>726.91924819756207</v>
      </c>
      <c r="BI70" s="62">
        <f ca="1">AVERAGE(OFFSET($BH$3,0,0,'Données projet'!$E$11+1,1))-AVERAGE(OFFSET($H$3,0,0,'Données projet'!$E$11+1,1))</f>
        <v>406.24139966722936</v>
      </c>
      <c r="BJ70" s="62">
        <f t="shared" si="92"/>
        <v>295.95724296920577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281.28360000000004</v>
      </c>
      <c r="CA70" s="14">
        <f t="shared" si="93"/>
        <v>67.238198209347928</v>
      </c>
      <c r="CB70" s="22">
        <f t="shared" si="64"/>
        <v>607.00879854794766</v>
      </c>
      <c r="CC70" s="62">
        <f t="shared" si="65"/>
        <v>900.34213188128092</v>
      </c>
      <c r="CD70" s="62">
        <f ca="1">AVERAGE(OFFSET($CC$3,0,0,'Données projet'!$E$12+1,1))-AVERAGE(OFFSET($H$3,0,0,'Données projet'!$E$12+1,1))</f>
        <v>565.72091871734051</v>
      </c>
      <c r="CE70" s="62">
        <f t="shared" si="94"/>
        <v>306.61893266146666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5.6843418860808015E-14</v>
      </c>
      <c r="CU70" s="18">
        <f>CT70*VLOOKUP('Données projet'!$B$13,Paramètres!$A$1:$I$89,3,0)*VLOOKUP('Données projet'!$B$13,Paramètres!$A$1:$I$89,5,0)</f>
        <v>4.9658410716801891E-14</v>
      </c>
      <c r="CV70" s="14">
        <f t="shared" si="95"/>
        <v>8.0934058173791862E-13</v>
      </c>
      <c r="CW70" s="22">
        <f t="shared" si="67"/>
        <v>1.4960899118586383E-12</v>
      </c>
      <c r="CX70" s="62">
        <f t="shared" si="68"/>
        <v>293.33333333333479</v>
      </c>
      <c r="CY70" s="62">
        <f ca="1">AVERAGE(OFFSET($CX$3,0,0,'Données projet'!$E$13+1,1))-AVERAGE(OFFSET($H$3,0,0,'Données projet'!$E$13+1,1))</f>
        <v>333.56306908115238</v>
      </c>
      <c r="CZ70" s="62">
        <f t="shared" si="96"/>
        <v>523.65456887919618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5.1399999999999979</v>
      </c>
      <c r="DO70" s="13">
        <f>IF('Données projet'!$A$166&gt;35,DO69+DN70-DW69,IF(A70&lt;'Données projet'!$A$166,$DL$205^A70,IF(A70='Données projet'!$A$166,'Données projet'!$B$166,DO69+DN70-DW69)))</f>
        <v>366.28000000000031</v>
      </c>
      <c r="DP70" s="18">
        <f>DO70*VLOOKUP('Données projet'!$B$14,Paramètres!$A$1:$I$89,3,0)*VLOOKUP('Données projet'!$B$14,Paramètres!$A$1:$I$89,5,0)</f>
        <v>268.55649600000021</v>
      </c>
      <c r="DQ70" s="14">
        <f t="shared" si="97"/>
        <v>64.542825795457887</v>
      </c>
      <c r="DR70" s="22">
        <f t="shared" si="70"/>
        <v>580.14798546042277</v>
      </c>
      <c r="DS70" s="62">
        <f t="shared" si="71"/>
        <v>873.48131879375615</v>
      </c>
      <c r="DT70" s="62">
        <f ca="1">AVERAGE(OFFSET($DS$3,0,0,'Données projet'!$E$14+1,1))-AVERAGE(OFFSET($H$3,0,0,'Données projet'!$E$14+1,1))</f>
        <v>397.24714625007675</v>
      </c>
      <c r="DU70" s="62">
        <f t="shared" si="98"/>
        <v>431.75775520200608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9">
        <f t="shared" si="56"/>
        <v>256.66666666666669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509.56241660612449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12.444444444444445</v>
      </c>
      <c r="AI71" s="14">
        <f>IF('Données projet'!$A$62&gt;35,AI70+AH71-AQ70,IF(A71&lt;'Données projet'!$A$62,$AF$205^A71,IF(A71='Données projet'!$A$62,'Données projet'!$B$62,AI70+AH71-AQ70)))</f>
        <v>463.2222222222224</v>
      </c>
      <c r="AJ71" s="14">
        <f>AI71*VLOOKUP('Données projet'!$B$10,Paramètres!$A$1:$I$89,3,0)*VLOOKUP('Données projet'!$B$10,Paramètres!$A$1:$I$89,5,0)</f>
        <v>397.44466666666688</v>
      </c>
      <c r="AK71" s="14">
        <f t="shared" si="89"/>
        <v>91.2584175307219</v>
      </c>
      <c r="AL71" s="22">
        <f t="shared" si="58"/>
        <v>851.15787164378537</v>
      </c>
      <c r="AM71" s="62">
        <f t="shared" si="59"/>
        <v>1144.4912049771187</v>
      </c>
      <c r="AN71" s="62">
        <f ca="1">AVERAGE(OFFSET($AM$3,0,0,'Données projet'!$E$10+1,1))-AVERAGE(OFFSET($H$3,0,0,'Données projet'!$E$10+1,1))</f>
        <v>625.17723604265689</v>
      </c>
      <c r="AO71" s="62">
        <f t="shared" si="90"/>
        <v>462.33909258902241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4.7435897435897401</v>
      </c>
      <c r="BD71" s="13">
        <f>IF('Données projet'!$A$88&gt;35,BD70+BC71-BL70,IF(A71&lt;'Données projet'!$A$88,$BA$205^A71,IF(A71='Données projet'!$A$88,'Données projet'!$B$88,BD70+BC71-BL70)))</f>
        <v>214.23076923076917</v>
      </c>
      <c r="BE71" s="14">
        <f>BD71*VLOOKUP('Données projet'!$B$11,Paramètres!$A$1:$I$89,3,0)*VLOOKUP('Données projet'!$B$11,Paramètres!$A$1:$I$89,5,0)</f>
        <v>203.86199999999994</v>
      </c>
      <c r="BF71" s="14">
        <f t="shared" si="91"/>
        <v>50.591971357727658</v>
      </c>
      <c r="BG71" s="22">
        <f t="shared" si="61"/>
        <v>443.17400011470886</v>
      </c>
      <c r="BH71" s="62">
        <f t="shared" si="62"/>
        <v>736.50733344804212</v>
      </c>
      <c r="BI71" s="62">
        <f ca="1">AVERAGE(OFFSET($BH$3,0,0,'Données projet'!$E$11+1,1))-AVERAGE(OFFSET($H$3,0,0,'Données projet'!$E$11+1,1))</f>
        <v>406.24139966722936</v>
      </c>
      <c r="BJ71" s="62">
        <f t="shared" si="92"/>
        <v>295.95724296920577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289.59839999999997</v>
      </c>
      <c r="CA71" s="14">
        <f t="shared" si="93"/>
        <v>68.991430542388798</v>
      </c>
      <c r="CB71" s="22">
        <f t="shared" si="64"/>
        <v>624.54395486132705</v>
      </c>
      <c r="CC71" s="62">
        <f t="shared" si="65"/>
        <v>917.87728819466042</v>
      </c>
      <c r="CD71" s="62">
        <f ca="1">AVERAGE(OFFSET($CC$3,0,0,'Données projet'!$E$12+1,1))-AVERAGE(OFFSET($H$3,0,0,'Données projet'!$E$12+1,1))</f>
        <v>565.72091871734051</v>
      </c>
      <c r="CE71" s="62">
        <f t="shared" si="94"/>
        <v>306.61893266146666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5.6843418860808015E-14</v>
      </c>
      <c r="CU71" s="18">
        <f>CT71*VLOOKUP('Données projet'!$B$13,Paramètres!$A$1:$I$89,3,0)*VLOOKUP('Données projet'!$B$13,Paramètres!$A$1:$I$89,5,0)</f>
        <v>4.9658410716801891E-14</v>
      </c>
      <c r="CV71" s="14">
        <f t="shared" si="95"/>
        <v>8.0934058173791862E-13</v>
      </c>
      <c r="CW71" s="22">
        <f t="shared" si="67"/>
        <v>1.4960899118586383E-12</v>
      </c>
      <c r="CX71" s="62">
        <f t="shared" si="68"/>
        <v>293.33333333333479</v>
      </c>
      <c r="CY71" s="62">
        <f ca="1">AVERAGE(OFFSET($CX$3,0,0,'Données projet'!$E$13+1,1))-AVERAGE(OFFSET($H$3,0,0,'Données projet'!$E$13+1,1))</f>
        <v>333.56306908115238</v>
      </c>
      <c r="CZ71" s="62">
        <f t="shared" si="96"/>
        <v>523.65456887919618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5.1399999999999979</v>
      </c>
      <c r="DO71" s="13">
        <f>IF('Données projet'!$A$166&gt;35,DO70+DN71-DW70,IF(A71&lt;'Données projet'!$A$166,$DL$205^A71,IF(A71='Données projet'!$A$166,'Données projet'!$B$166,DO70+DN71-DW70)))</f>
        <v>371.4200000000003</v>
      </c>
      <c r="DP71" s="18">
        <f>DO71*VLOOKUP('Données projet'!$B$14,Paramètres!$A$1:$I$89,3,0)*VLOOKUP('Données projet'!$B$14,Paramètres!$A$1:$I$89,5,0)</f>
        <v>272.32514400000019</v>
      </c>
      <c r="DQ71" s="14">
        <f t="shared" si="97"/>
        <v>65.342476998185759</v>
      </c>
      <c r="DR71" s="22">
        <f t="shared" si="70"/>
        <v>588.10443990517388</v>
      </c>
      <c r="DS71" s="62">
        <f t="shared" si="71"/>
        <v>881.43777323850713</v>
      </c>
      <c r="DT71" s="62">
        <f ca="1">AVERAGE(OFFSET($DS$3,0,0,'Données projet'!$E$14+1,1))-AVERAGE(OFFSET($H$3,0,0,'Données projet'!$E$14+1,1))</f>
        <v>397.24714625007675</v>
      </c>
      <c r="DU71" s="62">
        <f t="shared" si="98"/>
        <v>431.75775520200608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9">
        <f t="shared" si="56"/>
        <v>256.66666666666669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509.56241660612449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12.444444444444445</v>
      </c>
      <c r="AI72" s="14">
        <f>IF('Données projet'!$A$62&gt;35,AI71+AH72-AQ71,IF(A72&lt;'Données projet'!$A$62,$AF$205^A72,IF(A72='Données projet'!$A$62,'Données projet'!$B$62,AI71+AH72-AQ71)))</f>
        <v>475.66666666666686</v>
      </c>
      <c r="AJ72" s="14">
        <f>AI72*VLOOKUP('Données projet'!$B$10,Paramètres!$A$1:$I$89,3,0)*VLOOKUP('Données projet'!$B$10,Paramètres!$A$1:$I$89,5,0)</f>
        <v>408.12200000000018</v>
      </c>
      <c r="AK72" s="14">
        <f t="shared" si="89"/>
        <v>93.421344740166759</v>
      </c>
      <c r="AL72" s="22">
        <f t="shared" si="58"/>
        <v>873.52132542245738</v>
      </c>
      <c r="AM72" s="62">
        <f t="shared" si="59"/>
        <v>1166.8546587557908</v>
      </c>
      <c r="AN72" s="62">
        <f ca="1">AVERAGE(OFFSET($AM$3,0,0,'Données projet'!$E$10+1,1))-AVERAGE(OFFSET($H$3,0,0,'Données projet'!$E$10+1,1))</f>
        <v>625.17723604265689</v>
      </c>
      <c r="AO72" s="62">
        <f t="shared" si="90"/>
        <v>462.33909258902241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4.7435897435897401</v>
      </c>
      <c r="BD72" s="13">
        <f>IF('Données projet'!$A$88&gt;35,BD71+BC72-BL71,IF(A72&lt;'Données projet'!$A$88,$BA$205^A72,IF(A72='Données projet'!$A$88,'Données projet'!$B$88,BD71+BC72-BL71)))</f>
        <v>218.97435897435892</v>
      </c>
      <c r="BE72" s="14">
        <f>BD72*VLOOKUP('Données projet'!$B$11,Paramètres!$A$1:$I$89,3,0)*VLOOKUP('Données projet'!$B$11,Paramètres!$A$1:$I$89,5,0)</f>
        <v>208.37599999999995</v>
      </c>
      <c r="BF72" s="14">
        <f t="shared" si="91"/>
        <v>51.580540650922785</v>
      </c>
      <c r="BG72" s="22">
        <f t="shared" si="61"/>
        <v>452.75764163369041</v>
      </c>
      <c r="BH72" s="62">
        <f t="shared" si="62"/>
        <v>746.09097496702373</v>
      </c>
      <c r="BI72" s="62">
        <f ca="1">AVERAGE(OFFSET($BH$3,0,0,'Données projet'!$E$11+1,1))-AVERAGE(OFFSET($H$3,0,0,'Données projet'!$E$11+1,1))</f>
        <v>406.24139966722936</v>
      </c>
      <c r="BJ72" s="62">
        <f t="shared" si="92"/>
        <v>295.95724296920577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297.91319999999996</v>
      </c>
      <c r="CA72" s="14">
        <f t="shared" si="93"/>
        <v>70.73881247427552</v>
      </c>
      <c r="CB72" s="22">
        <f t="shared" si="64"/>
        <v>642.06892172602977</v>
      </c>
      <c r="CC72" s="62">
        <f t="shared" si="65"/>
        <v>935.40225505936314</v>
      </c>
      <c r="CD72" s="62">
        <f ca="1">AVERAGE(OFFSET($CC$3,0,0,'Données projet'!$E$12+1,1))-AVERAGE(OFFSET($H$3,0,0,'Données projet'!$E$12+1,1))</f>
        <v>565.72091871734051</v>
      </c>
      <c r="CE72" s="62">
        <f t="shared" si="94"/>
        <v>306.61893266146666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5.6843418860808015E-14</v>
      </c>
      <c r="CU72" s="18">
        <f>CT72*VLOOKUP('Données projet'!$B$13,Paramètres!$A$1:$I$89,3,0)*VLOOKUP('Données projet'!$B$13,Paramètres!$A$1:$I$89,5,0)</f>
        <v>4.9658410716801891E-14</v>
      </c>
      <c r="CV72" s="14">
        <f t="shared" si="95"/>
        <v>8.0934058173791862E-13</v>
      </c>
      <c r="CW72" s="22">
        <f t="shared" si="67"/>
        <v>1.4960899118586383E-12</v>
      </c>
      <c r="CX72" s="62">
        <f t="shared" si="68"/>
        <v>293.33333333333479</v>
      </c>
      <c r="CY72" s="62">
        <f ca="1">AVERAGE(OFFSET($CX$3,0,0,'Données projet'!$E$13+1,1))-AVERAGE(OFFSET($H$3,0,0,'Données projet'!$E$13+1,1))</f>
        <v>333.56306908115238</v>
      </c>
      <c r="CZ72" s="62">
        <f t="shared" si="96"/>
        <v>523.65456887919618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5.1399999999999979</v>
      </c>
      <c r="DO72" s="13">
        <f>IF('Données projet'!$A$166&gt;35,DO71+DN72-DW71,IF(A72&lt;'Données projet'!$A$166,$DL$205^A72,IF(A72='Données projet'!$A$166,'Données projet'!$B$166,DO71+DN72-DW71)))</f>
        <v>376.56000000000029</v>
      </c>
      <c r="DP72" s="18">
        <f>DO72*VLOOKUP('Données projet'!$B$14,Paramètres!$A$1:$I$89,3,0)*VLOOKUP('Données projet'!$B$14,Paramètres!$A$1:$I$89,5,0)</f>
        <v>276.09379200000018</v>
      </c>
      <c r="DQ72" s="14">
        <f t="shared" si="97"/>
        <v>66.140841088955554</v>
      </c>
      <c r="DR72" s="22">
        <f t="shared" si="70"/>
        <v>596.0586526299312</v>
      </c>
      <c r="DS72" s="62">
        <f t="shared" si="71"/>
        <v>889.39198596326446</v>
      </c>
      <c r="DT72" s="62">
        <f ca="1">AVERAGE(OFFSET($DS$3,0,0,'Données projet'!$E$14+1,1))-AVERAGE(OFFSET($H$3,0,0,'Données projet'!$E$14+1,1))</f>
        <v>397.24714625007675</v>
      </c>
      <c r="DU72" s="62">
        <f t="shared" si="98"/>
        <v>431.75775520200608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9">
        <f t="shared" si="56"/>
        <v>256.66666666666669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509.56241660612449</v>
      </c>
      <c r="T73" s="62">
        <f t="shared" si="88"/>
        <v>278.21741231699929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12.444444444444445</v>
      </c>
      <c r="AI73" s="14">
        <f>IF('Données projet'!$A$62&gt;35,AI72+AH73-AQ72,IF(A73&lt;'Données projet'!$A$62,$AF$205^A73,IF(A73='Données projet'!$A$62,'Données projet'!$B$62,AI72+AH73-AQ72)))</f>
        <v>488.11111111111131</v>
      </c>
      <c r="AJ73" s="14">
        <f>AI73*VLOOKUP('Données projet'!$B$10,Paramètres!$A$1:$I$89,3,0)*VLOOKUP('Données projet'!$B$10,Paramètres!$A$1:$I$89,5,0)</f>
        <v>418.79933333333349</v>
      </c>
      <c r="AK73" s="14">
        <f t="shared" si="89"/>
        <v>95.577694478745855</v>
      </c>
      <c r="AL73" s="22">
        <f t="shared" si="58"/>
        <v>895.87332343937157</v>
      </c>
      <c r="AM73" s="62">
        <f t="shared" si="59"/>
        <v>1189.2066567727049</v>
      </c>
      <c r="AN73" s="62">
        <f ca="1">AVERAGE(OFFSET($AM$3,0,0,'Données projet'!$E$10+1,1))-AVERAGE(OFFSET($H$3,0,0,'Données projet'!$E$10+1,1))</f>
        <v>625.17723604265689</v>
      </c>
      <c r="AO73" s="62">
        <f t="shared" si="90"/>
        <v>462.33909258902241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223.7179487179487</v>
      </c>
      <c r="BB73" s="13">
        <f>VLOOKUP(A73,'Données projet'!$A$87:$I$107,9,0)</f>
        <v>4.7435897435897401</v>
      </c>
      <c r="BC73" s="13">
        <f t="array" ref="BC73">INDEX(BB:BB,MIN(IF(ISNUMBER(BB73:BB269),ROW(BB73:BB269),"")))</f>
        <v>4.7435897435897401</v>
      </c>
      <c r="BD73" s="13">
        <f>IF('Données projet'!$A$88&gt;35,BD72+BC73-BL72,IF(A73&lt;'Données projet'!$A$88,$BA$205^A73,IF(A73='Données projet'!$A$88,'Données projet'!$B$88,BD72+BC73-BL72)))</f>
        <v>223.71794871794867</v>
      </c>
      <c r="BE73" s="14">
        <f>BD73*VLOOKUP('Données projet'!$B$11,Paramètres!$A$1:$I$89,3,0)*VLOOKUP('Données projet'!$B$11,Paramètres!$A$1:$I$89,5,0)</f>
        <v>212.89</v>
      </c>
      <c r="BF73" s="14">
        <f t="shared" si="91"/>
        <v>52.566620155786865</v>
      </c>
      <c r="BG73" s="22">
        <f t="shared" si="61"/>
        <v>462.33694677132871</v>
      </c>
      <c r="BH73" s="62">
        <f t="shared" si="62"/>
        <v>755.67028010466197</v>
      </c>
      <c r="BI73" s="62">
        <f ca="1">AVERAGE(OFFSET($BH$3,0,0,'Données projet'!$E$11+1,1))-AVERAGE(OFFSET($H$3,0,0,'Données projet'!$E$11+1,1))</f>
        <v>406.24139966722936</v>
      </c>
      <c r="BJ73" s="62">
        <f t="shared" si="92"/>
        <v>295.95724296920577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306.22800000000001</v>
      </c>
      <c r="CA73" s="14">
        <f t="shared" si="93"/>
        <v>72.480526049067294</v>
      </c>
      <c r="CB73" s="22">
        <f t="shared" si="64"/>
        <v>659.58401620212555</v>
      </c>
      <c r="CC73" s="62">
        <f t="shared" si="65"/>
        <v>952.91734953545892</v>
      </c>
      <c r="CD73" s="62">
        <f ca="1">AVERAGE(OFFSET($CC$3,0,0,'Données projet'!$E$12+1,1))-AVERAGE(OFFSET($H$3,0,0,'Données projet'!$E$12+1,1))</f>
        <v>565.72091871734051</v>
      </c>
      <c r="CE73" s="62">
        <f t="shared" si="94"/>
        <v>306.61893266146666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5.6843418860808015E-14</v>
      </c>
      <c r="CU73" s="18">
        <f>CT73*VLOOKUP('Données projet'!$B$13,Paramètres!$A$1:$I$89,3,0)*VLOOKUP('Données projet'!$B$13,Paramètres!$A$1:$I$89,5,0)</f>
        <v>4.9658410716801891E-14</v>
      </c>
      <c r="CV73" s="14">
        <f t="shared" si="95"/>
        <v>8.0934058173791862E-13</v>
      </c>
      <c r="CW73" s="22">
        <f t="shared" si="67"/>
        <v>1.4960899118586383E-12</v>
      </c>
      <c r="CX73" s="62">
        <f t="shared" si="68"/>
        <v>293.33333333333479</v>
      </c>
      <c r="CY73" s="62">
        <f ca="1">AVERAGE(OFFSET($CX$3,0,0,'Données projet'!$E$13+1,1))-AVERAGE(OFFSET($H$3,0,0,'Données projet'!$E$13+1,1))</f>
        <v>333.56306908115238</v>
      </c>
      <c r="CZ73" s="62">
        <f t="shared" si="96"/>
        <v>523.65456887919618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381.7</v>
      </c>
      <c r="DM73" s="13">
        <f>VLOOKUP(A73,'Données projet'!$A$165:$I$185,9,0)</f>
        <v>5.1399999999999979</v>
      </c>
      <c r="DN73" s="13">
        <f t="array" ref="DN73">INDEX(DM:DM,MIN(IF(ISNUMBER(DM73:DM269),ROW(DM73:DM269),"")))</f>
        <v>5.1399999999999979</v>
      </c>
      <c r="DO73" s="13">
        <f>IF('Données projet'!$A$166&gt;35,DO72+DN73-DW72,IF(A73&lt;'Données projet'!$A$166,$DL$205^A73,IF(A73='Données projet'!$A$166,'Données projet'!$B$166,DO72+DN73-DW72)))</f>
        <v>381.70000000000027</v>
      </c>
      <c r="DP73" s="18">
        <f>DO73*VLOOKUP('Données projet'!$B$14,Paramètres!$A$1:$I$89,3,0)*VLOOKUP('Données projet'!$B$14,Paramètres!$A$1:$I$89,5,0)</f>
        <v>279.86244000000016</v>
      </c>
      <c r="DQ73" s="14">
        <f t="shared" si="97"/>
        <v>66.93793766736961</v>
      </c>
      <c r="DR73" s="22">
        <f t="shared" si="70"/>
        <v>604.01065777066913</v>
      </c>
      <c r="DS73" s="62">
        <f t="shared" si="71"/>
        <v>897.3439911040025</v>
      </c>
      <c r="DT73" s="62">
        <f ca="1">AVERAGE(OFFSET($DS$3,0,0,'Données projet'!$E$14+1,1))-AVERAGE(OFFSET($H$3,0,0,'Données projet'!$E$14+1,1))</f>
        <v>397.24714625007675</v>
      </c>
      <c r="DU73" s="62">
        <f t="shared" si="98"/>
        <v>431.75775520200608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30.9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9">
        <f t="shared" si="56"/>
        <v>256.66666666666669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2">
        <f t="shared" si="55"/>
        <v>897.90020079058013</v>
      </c>
      <c r="S74" s="62">
        <f ca="1">AVERAGE(OFFSET($R$3,0,0,'Données projet'!$E$9+1,1))-AVERAGE(OFFSET($H$3,0,0,'Données projet'!$E$9+1,1))</f>
        <v>509.56241660612449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12.444444444444445</v>
      </c>
      <c r="AI74" s="14">
        <f>IF('Données projet'!$A$62&gt;35,AI73+AH74-AQ73,IF(A74&lt;'Données projet'!$A$62,$AF$205^A74,IF(A74='Données projet'!$A$62,'Données projet'!$B$62,AI73+AH74-AQ73)))</f>
        <v>500.55555555555577</v>
      </c>
      <c r="AJ74" s="14">
        <f>AI74*VLOOKUP('Données projet'!$B$10,Paramètres!$A$1:$I$89,3,0)*VLOOKUP('Données projet'!$B$10,Paramètres!$A$1:$I$89,5,0)</f>
        <v>429.47666666666692</v>
      </c>
      <c r="AK74" s="14">
        <f t="shared" si="89"/>
        <v>97.727653722749722</v>
      </c>
      <c r="AL74" s="22">
        <f t="shared" si="58"/>
        <v>918.21419134490054</v>
      </c>
      <c r="AM74" s="62">
        <f t="shared" si="59"/>
        <v>1211.5475246782339</v>
      </c>
      <c r="AN74" s="62">
        <f ca="1">AVERAGE(OFFSET($AM$3,0,0,'Données projet'!$E$10+1,1))-AVERAGE(OFFSET($H$3,0,0,'Données projet'!$E$10+1,1))</f>
        <v>625.17723604265689</v>
      </c>
      <c r="AO74" s="62">
        <f t="shared" si="90"/>
        <v>462.33909258902241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4.4871794871794863</v>
      </c>
      <c r="BD74" s="13">
        <f>IF('Données projet'!$A$88&gt;35,BD73+BC74-BL73,IF(A74&lt;'Données projet'!$A$88,$BA$205^A74,IF(A74='Données projet'!$A$88,'Données projet'!$B$88,BD73+BC74-BL73)))</f>
        <v>228.20512820512815</v>
      </c>
      <c r="BE74" s="14">
        <f>BD74*VLOOKUP('Données projet'!$B$11,Paramètres!$A$1:$I$89,3,0)*VLOOKUP('Données projet'!$B$11,Paramètres!$A$1:$I$89,5,0)</f>
        <v>217.15999999999997</v>
      </c>
      <c r="BF74" s="14">
        <f t="shared" si="91"/>
        <v>53.497159756294458</v>
      </c>
      <c r="BG74" s="22">
        <f t="shared" si="61"/>
        <v>471.39455324221279</v>
      </c>
      <c r="BH74" s="62">
        <f t="shared" si="62"/>
        <v>764.72788657554611</v>
      </c>
      <c r="BI74" s="62">
        <f ca="1">AVERAGE(OFFSET($BH$3,0,0,'Données projet'!$E$11+1,1))-AVERAGE(OFFSET($H$3,0,0,'Données projet'!$E$11+1,1))</f>
        <v>406.24139966722936</v>
      </c>
      <c r="BJ74" s="62">
        <f t="shared" si="92"/>
        <v>295.95724296920577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309.59999999999997</v>
      </c>
      <c r="BZ74" s="14">
        <f>BY74*VLOOKUP('Données projet'!$B$12,Paramètres!$A$1:$I$89,3,0)*VLOOKUP('Données projet'!$B$12,Paramètres!$A$1:$I$89,5,0)</f>
        <v>313.93439999999998</v>
      </c>
      <c r="CA74" s="14">
        <f t="shared" si="93"/>
        <v>74.089885412393457</v>
      </c>
      <c r="CB74" s="22">
        <f t="shared" si="64"/>
        <v>675.80896375991858</v>
      </c>
      <c r="CC74" s="62">
        <f t="shared" si="65"/>
        <v>969.14229709325195</v>
      </c>
      <c r="CD74" s="62">
        <f ca="1">AVERAGE(OFFSET($CC$3,0,0,'Données projet'!$E$12+1,1))-AVERAGE(OFFSET($H$3,0,0,'Données projet'!$E$12+1,1))</f>
        <v>565.72091871734051</v>
      </c>
      <c r="CE74" s="62">
        <f t="shared" si="94"/>
        <v>306.61893266146666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5.6843418860808015E-14</v>
      </c>
      <c r="CU74" s="18">
        <f>CT74*VLOOKUP('Données projet'!$B$13,Paramètres!$A$1:$I$89,3,0)*VLOOKUP('Données projet'!$B$13,Paramètres!$A$1:$I$89,5,0)</f>
        <v>4.9658410716801891E-14</v>
      </c>
      <c r="CV74" s="14">
        <f t="shared" si="95"/>
        <v>8.0934058173791862E-13</v>
      </c>
      <c r="CW74" s="22">
        <f t="shared" si="67"/>
        <v>1.4960899118586383E-12</v>
      </c>
      <c r="CX74" s="62">
        <f t="shared" si="68"/>
        <v>293.33333333333479</v>
      </c>
      <c r="CY74" s="62">
        <f ca="1">AVERAGE(OFFSET($CX$3,0,0,'Données projet'!$E$13+1,1))-AVERAGE(OFFSET($H$3,0,0,'Données projet'!$E$13+1,1))</f>
        <v>333.56306908115238</v>
      </c>
      <c r="CZ74" s="62">
        <f t="shared" si="96"/>
        <v>523.65456887919618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4.8600000000000021</v>
      </c>
      <c r="DO74" s="13">
        <f>IF('Données projet'!$A$166&gt;35,DO73+DN74-DW73,IF(A74&lt;'Données projet'!$A$166,$DL$205^A74,IF(A74='Données projet'!$A$166,'Données projet'!$B$166,DO73+DN74-DW73)))</f>
        <v>355.66000000000031</v>
      </c>
      <c r="DP74" s="18">
        <f>DO74*VLOOKUP('Données projet'!$B$14,Paramètres!$A$1:$I$89,3,0)*VLOOKUP('Données projet'!$B$14,Paramètres!$A$1:$I$89,5,0)</f>
        <v>260.76991200000026</v>
      </c>
      <c r="DQ74" s="14">
        <f t="shared" si="97"/>
        <v>62.886463829102688</v>
      </c>
      <c r="DR74" s="22">
        <f t="shared" si="70"/>
        <v>563.70152123568755</v>
      </c>
      <c r="DS74" s="62">
        <f t="shared" si="71"/>
        <v>857.03485456902081</v>
      </c>
      <c r="DT74" s="62">
        <f ca="1">AVERAGE(OFFSET($DS$3,0,0,'Données projet'!$E$14+1,1))-AVERAGE(OFFSET($H$3,0,0,'Données projet'!$E$14+1,1))</f>
        <v>397.24714625007675</v>
      </c>
      <c r="DU74" s="62">
        <f t="shared" si="98"/>
        <v>431.75775520200608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9">
        <f t="shared" si="56"/>
        <v>256.66666666666669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2">
        <f t="shared" si="55"/>
        <v>912.40400733040633</v>
      </c>
      <c r="S75" s="62">
        <f ca="1">AVERAGE(OFFSET($R$3,0,0,'Données projet'!$E$9+1,1))-AVERAGE(OFFSET($H$3,0,0,'Données projet'!$E$9+1,1))</f>
        <v>509.56241660612449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513</v>
      </c>
      <c r="AG75" s="13">
        <f>VLOOKUP(A75,'Données projet'!$A$61:$I$81,9,0)</f>
        <v>12.444444444444445</v>
      </c>
      <c r="AH75" s="13">
        <f t="array" ref="AH75">INDEX(AG:AG,MIN(IF(ISNUMBER(AG75:AG271),ROW(AG75:AG271),"")))</f>
        <v>12.444444444444445</v>
      </c>
      <c r="AI75" s="14">
        <f>IF('Données projet'!$A$62&gt;35,AI74+AH75-AQ74,IF(A75&lt;'Données projet'!$A$62,$AF$205^A75,IF(A75='Données projet'!$A$62,'Données projet'!$B$62,AI74+AH75-AQ74)))</f>
        <v>513.00000000000023</v>
      </c>
      <c r="AJ75" s="14">
        <f>AI75*VLOOKUP('Données projet'!$B$10,Paramètres!$A$1:$I$89,3,0)*VLOOKUP('Données projet'!$B$10,Paramètres!$A$1:$I$89,5,0)</f>
        <v>440.15400000000022</v>
      </c>
      <c r="AK75" s="14">
        <f t="shared" si="89"/>
        <v>99.871399621623169</v>
      </c>
      <c r="AL75" s="22">
        <f t="shared" si="58"/>
        <v>940.54423767432718</v>
      </c>
      <c r="AM75" s="62">
        <f t="shared" si="59"/>
        <v>1233.8775710076604</v>
      </c>
      <c r="AN75" s="62">
        <f ca="1">AVERAGE(OFFSET($AM$3,0,0,'Données projet'!$E$10+1,1))-AVERAGE(OFFSET($H$3,0,0,'Données projet'!$E$10+1,1))</f>
        <v>625.17723604265689</v>
      </c>
      <c r="AO75" s="62">
        <f t="shared" si="90"/>
        <v>462.33909258902241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4.4871794871794863</v>
      </c>
      <c r="BD75" s="13">
        <f>IF('Données projet'!$A$88&gt;35,BD74+BC75-BL74,IF(A75&lt;'Données projet'!$A$88,$BA$205^A75,IF(A75='Données projet'!$A$88,'Données projet'!$B$88,BD74+BC75-BL74)))</f>
        <v>232.69230769230762</v>
      </c>
      <c r="BE75" s="14">
        <f>BD75*VLOOKUP('Données projet'!$B$11,Paramètres!$A$1:$I$89,3,0)*VLOOKUP('Données projet'!$B$11,Paramètres!$A$1:$I$89,5,0)</f>
        <v>221.42999999999995</v>
      </c>
      <c r="BF75" s="14">
        <f t="shared" si="91"/>
        <v>54.425571861733111</v>
      </c>
      <c r="BG75" s="22">
        <f t="shared" si="61"/>
        <v>480.44845432585163</v>
      </c>
      <c r="BH75" s="62">
        <f t="shared" si="62"/>
        <v>773.78178765918494</v>
      </c>
      <c r="BI75" s="62">
        <f ca="1">AVERAGE(OFFSET($BH$3,0,0,'Données projet'!$E$11+1,1))-AVERAGE(OFFSET($H$3,0,0,'Données projet'!$E$11+1,1))</f>
        <v>406.24139966722936</v>
      </c>
      <c r="BJ75" s="62">
        <f t="shared" si="92"/>
        <v>295.95724296920577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317.2</v>
      </c>
      <c r="BZ75" s="14">
        <f>BY75*VLOOKUP('Données projet'!$B$12,Paramètres!$A$1:$I$89,3,0)*VLOOKUP('Données projet'!$B$12,Paramètres!$A$1:$I$89,5,0)</f>
        <v>321.64080000000001</v>
      </c>
      <c r="CA75" s="14">
        <f t="shared" si="93"/>
        <v>75.694652325793228</v>
      </c>
      <c r="CB75" s="22">
        <f t="shared" si="64"/>
        <v>692.0259128007566</v>
      </c>
      <c r="CC75" s="62">
        <f t="shared" si="65"/>
        <v>985.35924613408997</v>
      </c>
      <c r="CD75" s="62">
        <f ca="1">AVERAGE(OFFSET($CC$3,0,0,'Données projet'!$E$12+1,1))-AVERAGE(OFFSET($H$3,0,0,'Données projet'!$E$12+1,1))</f>
        <v>565.72091871734051</v>
      </c>
      <c r="CE75" s="62">
        <f t="shared" si="94"/>
        <v>306.61893266146666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5.6843418860808015E-14</v>
      </c>
      <c r="CU75" s="18">
        <f>CT75*VLOOKUP('Données projet'!$B$13,Paramètres!$A$1:$I$89,3,0)*VLOOKUP('Données projet'!$B$13,Paramètres!$A$1:$I$89,5,0)</f>
        <v>4.9658410716801891E-14</v>
      </c>
      <c r="CV75" s="14">
        <f t="shared" si="95"/>
        <v>8.0934058173791862E-13</v>
      </c>
      <c r="CW75" s="22">
        <f t="shared" si="67"/>
        <v>1.4960899118586383E-12</v>
      </c>
      <c r="CX75" s="62">
        <f t="shared" si="68"/>
        <v>293.33333333333479</v>
      </c>
      <c r="CY75" s="62">
        <f ca="1">AVERAGE(OFFSET($CX$3,0,0,'Données projet'!$E$13+1,1))-AVERAGE(OFFSET($H$3,0,0,'Données projet'!$E$13+1,1))</f>
        <v>333.56306908115238</v>
      </c>
      <c r="CZ75" s="62">
        <f t="shared" si="96"/>
        <v>523.65456887919618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4.8600000000000021</v>
      </c>
      <c r="DO75" s="13">
        <f>IF('Données projet'!$A$166&gt;35,DO74+DN75-DW74,IF(A75&lt;'Données projet'!$A$166,$DL$205^A75,IF(A75='Données projet'!$A$166,'Données projet'!$B$166,DO74+DN75-DW74)))</f>
        <v>360.52000000000032</v>
      </c>
      <c r="DP75" s="18">
        <f>DO75*VLOOKUP('Données projet'!$B$14,Paramètres!$A$1:$I$89,3,0)*VLOOKUP('Données projet'!$B$14,Paramètres!$A$1:$I$89,5,0)</f>
        <v>264.33326400000021</v>
      </c>
      <c r="DQ75" s="14">
        <f t="shared" si="97"/>
        <v>63.645164285971646</v>
      </c>
      <c r="DR75" s="22">
        <f t="shared" si="70"/>
        <v>571.22909593140093</v>
      </c>
      <c r="DS75" s="62">
        <f t="shared" si="71"/>
        <v>864.56242926473419</v>
      </c>
      <c r="DT75" s="62">
        <f ca="1">AVERAGE(OFFSET($DS$3,0,0,'Données projet'!$E$14+1,1))-AVERAGE(OFFSET($H$3,0,0,'Données projet'!$E$14+1,1))</f>
        <v>397.24714625007675</v>
      </c>
      <c r="DU75" s="62">
        <f t="shared" si="98"/>
        <v>431.75775520200608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9">
        <f t="shared" si="56"/>
        <v>256.66666666666669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2">
        <f t="shared" si="55"/>
        <v>926.90077466569664</v>
      </c>
      <c r="S76" s="62">
        <f ca="1">AVERAGE(OFFSET($R$3,0,0,'Données projet'!$E$9+1,1))-AVERAGE(OFFSET($H$3,0,0,'Données projet'!$E$9+1,1))</f>
        <v>509.56241660612449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11.222222222222221</v>
      </c>
      <c r="AI76" s="14">
        <f>IF('Données projet'!$A$62&gt;35,AI75+AH76-AQ75,IF(A76&lt;'Données projet'!$A$62,$AF$205^A76,IF(A76='Données projet'!$A$62,'Données projet'!$B$62,AI75+AH76-AQ75)))</f>
        <v>524.2222222222224</v>
      </c>
      <c r="AJ76" s="14">
        <f>AI76*VLOOKUP('Données projet'!$B$10,Paramètres!$A$1:$I$89,3,0)*VLOOKUP('Données projet'!$B$10,Paramètres!$A$1:$I$89,5,0)</f>
        <v>449.7826666666669</v>
      </c>
      <c r="AK76" s="14">
        <f t="shared" si="89"/>
        <v>101.79941066680914</v>
      </c>
      <c r="AL76" s="22">
        <f t="shared" si="58"/>
        <v>960.67211802247084</v>
      </c>
      <c r="AM76" s="62">
        <f t="shared" si="59"/>
        <v>1254.0054513558041</v>
      </c>
      <c r="AN76" s="62">
        <f ca="1">AVERAGE(OFFSET($AM$3,0,0,'Données projet'!$E$10+1,1))-AVERAGE(OFFSET($H$3,0,0,'Données projet'!$E$10+1,1))</f>
        <v>625.17723604265689</v>
      </c>
      <c r="AO76" s="62">
        <f t="shared" si="90"/>
        <v>462.33909258902241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4.4871794871794863</v>
      </c>
      <c r="BD76" s="13">
        <f>IF('Données projet'!$A$88&gt;35,BD75+BC76-BL75,IF(A76&lt;'Données projet'!$A$88,$BA$205^A76,IF(A76='Données projet'!$A$88,'Données projet'!$B$88,BD75+BC76-BL75)))</f>
        <v>237.1794871794871</v>
      </c>
      <c r="BE76" s="14">
        <f>BD76*VLOOKUP('Données projet'!$B$11,Paramètres!$A$1:$I$89,3,0)*VLOOKUP('Données projet'!$B$11,Paramètres!$A$1:$I$89,5,0)</f>
        <v>225.69999999999993</v>
      </c>
      <c r="BF76" s="14">
        <f t="shared" si="91"/>
        <v>55.351902227969966</v>
      </c>
      <c r="BG76" s="22">
        <f t="shared" si="61"/>
        <v>489.49872971371423</v>
      </c>
      <c r="BH76" s="62">
        <f t="shared" si="62"/>
        <v>782.83206304704754</v>
      </c>
      <c r="BI76" s="62">
        <f ca="1">AVERAGE(OFFSET($BH$3,0,0,'Données projet'!$E$11+1,1))-AVERAGE(OFFSET($H$3,0,0,'Données projet'!$E$11+1,1))</f>
        <v>406.24139966722936</v>
      </c>
      <c r="BJ76" s="62">
        <f t="shared" si="92"/>
        <v>295.95724296920577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324.8</v>
      </c>
      <c r="BZ76" s="14">
        <f>BY76*VLOOKUP('Données projet'!$B$12,Paramètres!$A$1:$I$89,3,0)*VLOOKUP('Données projet'!$B$12,Paramètres!$A$1:$I$89,5,0)</f>
        <v>329.34720000000004</v>
      </c>
      <c r="CA76" s="14">
        <f t="shared" si="93"/>
        <v>77.294949483241496</v>
      </c>
      <c r="CB76" s="22">
        <f t="shared" si="64"/>
        <v>708.23507701664573</v>
      </c>
      <c r="CC76" s="62">
        <f t="shared" si="65"/>
        <v>1001.5684103499791</v>
      </c>
      <c r="CD76" s="62">
        <f ca="1">AVERAGE(OFFSET($CC$3,0,0,'Données projet'!$E$12+1,1))-AVERAGE(OFFSET($H$3,0,0,'Données projet'!$E$12+1,1))</f>
        <v>565.72091871734051</v>
      </c>
      <c r="CE76" s="62">
        <f t="shared" si="94"/>
        <v>306.61893266146666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5.6843418860808015E-14</v>
      </c>
      <c r="CU76" s="18">
        <f>CT76*VLOOKUP('Données projet'!$B$13,Paramètres!$A$1:$I$89,3,0)*VLOOKUP('Données projet'!$B$13,Paramètres!$A$1:$I$89,5,0)</f>
        <v>4.9658410716801891E-14</v>
      </c>
      <c r="CV76" s="14">
        <f t="shared" si="95"/>
        <v>8.0934058173791862E-13</v>
      </c>
      <c r="CW76" s="22">
        <f t="shared" si="67"/>
        <v>1.4960899118586383E-12</v>
      </c>
      <c r="CX76" s="62">
        <f t="shared" si="68"/>
        <v>293.33333333333479</v>
      </c>
      <c r="CY76" s="62">
        <f ca="1">AVERAGE(OFFSET($CX$3,0,0,'Données projet'!$E$13+1,1))-AVERAGE(OFFSET($H$3,0,0,'Données projet'!$E$13+1,1))</f>
        <v>333.56306908115238</v>
      </c>
      <c r="CZ76" s="62">
        <f t="shared" si="96"/>
        <v>523.65456887919618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4.8600000000000021</v>
      </c>
      <c r="DO76" s="13">
        <f>IF('Données projet'!$A$166&gt;35,DO75+DN76-DW75,IF(A76&lt;'Données projet'!$A$166,$DL$205^A76,IF(A76='Données projet'!$A$166,'Données projet'!$B$166,DO75+DN76-DW75)))</f>
        <v>365.38000000000034</v>
      </c>
      <c r="DP76" s="18">
        <f>DO76*VLOOKUP('Données projet'!$B$14,Paramètres!$A$1:$I$89,3,0)*VLOOKUP('Données projet'!$B$14,Paramètres!$A$1:$I$89,5,0)</f>
        <v>267.89661600000022</v>
      </c>
      <c r="DQ76" s="14">
        <f t="shared" si="97"/>
        <v>64.402675135998351</v>
      </c>
      <c r="DR76" s="22">
        <f t="shared" si="70"/>
        <v>578.75459872853094</v>
      </c>
      <c r="DS76" s="62">
        <f t="shared" si="71"/>
        <v>872.08793206186419</v>
      </c>
      <c r="DT76" s="62">
        <f ca="1">AVERAGE(OFFSET($DS$3,0,0,'Données projet'!$E$14+1,1))-AVERAGE(OFFSET($H$3,0,0,'Données projet'!$E$14+1,1))</f>
        <v>397.24714625007675</v>
      </c>
      <c r="DU76" s="62">
        <f t="shared" si="98"/>
        <v>431.75775520200608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9">
        <f t="shared" si="56"/>
        <v>256.66666666666669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2">
        <f t="shared" si="55"/>
        <v>941.39068646288956</v>
      </c>
      <c r="S77" s="62">
        <f ca="1">AVERAGE(OFFSET($R$3,0,0,'Données projet'!$E$9+1,1))-AVERAGE(OFFSET($H$3,0,0,'Données projet'!$E$9+1,1))</f>
        <v>509.56241660612449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11.222222222222221</v>
      </c>
      <c r="AI77" s="14">
        <f>IF('Données projet'!$A$62&gt;35,AI76+AH77-AQ76,IF(A77&lt;'Données projet'!$A$62,$AF$205^A77,IF(A77='Données projet'!$A$62,'Données projet'!$B$62,AI76+AH77-AQ76)))</f>
        <v>535.44444444444457</v>
      </c>
      <c r="AJ77" s="14">
        <f>AI77*VLOOKUP('Données projet'!$B$10,Paramètres!$A$1:$I$89,3,0)*VLOOKUP('Données projet'!$B$10,Paramètres!$A$1:$I$89,5,0)</f>
        <v>459.41133333333346</v>
      </c>
      <c r="AK77" s="14">
        <f t="shared" si="89"/>
        <v>103.72262305156094</v>
      </c>
      <c r="AL77" s="22">
        <f t="shared" si="58"/>
        <v>980.79164070369097</v>
      </c>
      <c r="AM77" s="62">
        <f t="shared" si="59"/>
        <v>1274.1249740370242</v>
      </c>
      <c r="AN77" s="62">
        <f ca="1">AVERAGE(OFFSET($AM$3,0,0,'Données projet'!$E$10+1,1))-AVERAGE(OFFSET($H$3,0,0,'Données projet'!$E$10+1,1))</f>
        <v>625.17723604265689</v>
      </c>
      <c r="AO77" s="62">
        <f t="shared" si="90"/>
        <v>462.33909258902241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4.4871794871794863</v>
      </c>
      <c r="BD77" s="13">
        <f>IF('Données projet'!$A$88&gt;35,BD76+BC77-BL76,IF(A77&lt;'Données projet'!$A$88,$BA$205^A77,IF(A77='Données projet'!$A$88,'Données projet'!$B$88,BD76+BC77-BL76)))</f>
        <v>241.66666666666657</v>
      </c>
      <c r="BE77" s="14">
        <f>BD77*VLOOKUP('Données projet'!$B$11,Paramètres!$A$1:$I$89,3,0)*VLOOKUP('Données projet'!$B$11,Paramètres!$A$1:$I$89,5,0)</f>
        <v>229.96999999999991</v>
      </c>
      <c r="BF77" s="14">
        <f t="shared" si="91"/>
        <v>56.276194780495985</v>
      </c>
      <c r="BG77" s="22">
        <f t="shared" si="61"/>
        <v>498.54545590936368</v>
      </c>
      <c r="BH77" s="62">
        <f t="shared" si="62"/>
        <v>791.87878924269694</v>
      </c>
      <c r="BI77" s="62">
        <f ca="1">AVERAGE(OFFSET($BH$3,0,0,'Données projet'!$E$11+1,1))-AVERAGE(OFFSET($H$3,0,0,'Données projet'!$E$11+1,1))</f>
        <v>406.24139966722936</v>
      </c>
      <c r="BJ77" s="62">
        <f t="shared" si="92"/>
        <v>295.95724296920577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332.40000000000003</v>
      </c>
      <c r="BZ77" s="14">
        <f>BY77*VLOOKUP('Données projet'!$B$12,Paramètres!$A$1:$I$89,3,0)*VLOOKUP('Données projet'!$B$12,Paramètres!$A$1:$I$89,5,0)</f>
        <v>337.05360000000007</v>
      </c>
      <c r="CA77" s="14">
        <f t="shared" si="93"/>
        <v>78.890893509302231</v>
      </c>
      <c r="CB77" s="22">
        <f t="shared" si="64"/>
        <v>724.43665952870151</v>
      </c>
      <c r="CC77" s="62">
        <f t="shared" si="65"/>
        <v>1017.7699928620348</v>
      </c>
      <c r="CD77" s="62">
        <f ca="1">AVERAGE(OFFSET($CC$3,0,0,'Données projet'!$E$12+1,1))-AVERAGE(OFFSET($H$3,0,0,'Données projet'!$E$12+1,1))</f>
        <v>565.72091871734051</v>
      </c>
      <c r="CE77" s="62">
        <f t="shared" si="94"/>
        <v>306.61893266146666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5.6843418860808015E-14</v>
      </c>
      <c r="CU77" s="18">
        <f>CT77*VLOOKUP('Données projet'!$B$13,Paramètres!$A$1:$I$89,3,0)*VLOOKUP('Données projet'!$B$13,Paramètres!$A$1:$I$89,5,0)</f>
        <v>4.9658410716801891E-14</v>
      </c>
      <c r="CV77" s="14">
        <f t="shared" si="95"/>
        <v>8.0934058173791862E-13</v>
      </c>
      <c r="CW77" s="22">
        <f t="shared" si="67"/>
        <v>1.4960899118586383E-12</v>
      </c>
      <c r="CX77" s="62">
        <f t="shared" si="68"/>
        <v>293.33333333333479</v>
      </c>
      <c r="CY77" s="62">
        <f ca="1">AVERAGE(OFFSET($CX$3,0,0,'Données projet'!$E$13+1,1))-AVERAGE(OFFSET($H$3,0,0,'Données projet'!$E$13+1,1))</f>
        <v>333.56306908115238</v>
      </c>
      <c r="CZ77" s="62">
        <f t="shared" si="96"/>
        <v>523.65456887919618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4.8600000000000021</v>
      </c>
      <c r="DO77" s="13">
        <f>IF('Données projet'!$A$166&gt;35,DO76+DN77-DW76,IF(A77&lt;'Données projet'!$A$166,$DL$205^A77,IF(A77='Données projet'!$A$166,'Données projet'!$B$166,DO76+DN77-DW76)))</f>
        <v>370.24000000000035</v>
      </c>
      <c r="DP77" s="18">
        <f>DO77*VLOOKUP('Données projet'!$B$14,Paramètres!$A$1:$I$89,3,0)*VLOOKUP('Données projet'!$B$14,Paramètres!$A$1:$I$89,5,0)</f>
        <v>271.45996800000023</v>
      </c>
      <c r="DQ77" s="14">
        <f t="shared" si="97"/>
        <v>65.159014031608322</v>
      </c>
      <c r="DR77" s="22">
        <f t="shared" si="70"/>
        <v>586.2780603717182</v>
      </c>
      <c r="DS77" s="62">
        <f t="shared" si="71"/>
        <v>879.61139370505157</v>
      </c>
      <c r="DT77" s="62">
        <f ca="1">AVERAGE(OFFSET($DS$3,0,0,'Données projet'!$E$14+1,1))-AVERAGE(OFFSET($H$3,0,0,'Données projet'!$E$14+1,1))</f>
        <v>397.24714625007675</v>
      </c>
      <c r="DU77" s="62">
        <f t="shared" si="98"/>
        <v>431.75775520200608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9">
        <f t="shared" si="56"/>
        <v>256.66666666666669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2">
        <f t="shared" si="55"/>
        <v>955.87391751040263</v>
      </c>
      <c r="S78" s="62">
        <f ca="1">AVERAGE(OFFSET($R$3,0,0,'Données projet'!$E$9+1,1))-AVERAGE(OFFSET($H$3,0,0,'Données projet'!$E$9+1,1))</f>
        <v>509.56241660612449</v>
      </c>
      <c r="T78" s="62">
        <f t="shared" si="88"/>
        <v>278.21741231699929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11.222222222222221</v>
      </c>
      <c r="AI78" s="14">
        <f>IF('Données projet'!$A$62&gt;35,AI77+AH78-AQ77,IF(A78&lt;'Données projet'!$A$62,$AF$205^A78,IF(A78='Données projet'!$A$62,'Données projet'!$B$62,AI77+AH78-AQ77)))</f>
        <v>546.66666666666674</v>
      </c>
      <c r="AJ78" s="14">
        <f>AI78*VLOOKUP('Données projet'!$B$10,Paramètres!$A$1:$I$89,3,0)*VLOOKUP('Données projet'!$B$10,Paramètres!$A$1:$I$89,5,0)</f>
        <v>469.04000000000013</v>
      </c>
      <c r="AK78" s="14">
        <f t="shared" si="89"/>
        <v>105.64114893609936</v>
      </c>
      <c r="AL78" s="22">
        <f t="shared" si="58"/>
        <v>1000.9030010637066</v>
      </c>
      <c r="AM78" s="62">
        <f t="shared" si="59"/>
        <v>1294.2363343970399</v>
      </c>
      <c r="AN78" s="62">
        <f ca="1">AVERAGE(OFFSET($AM$3,0,0,'Données projet'!$E$10+1,1))-AVERAGE(OFFSET($H$3,0,0,'Données projet'!$E$10+1,1))</f>
        <v>625.17723604265689</v>
      </c>
      <c r="AO78" s="62">
        <f t="shared" si="90"/>
        <v>462.33909258902241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246.15384615384613</v>
      </c>
      <c r="BB78" s="13">
        <f>VLOOKUP(A78,'Données projet'!$A$87:$I$107,9,0)</f>
        <v>4.4871794871794863</v>
      </c>
      <c r="BC78" s="13">
        <f t="array" ref="BC78">INDEX(BB:BB,MIN(IF(ISNUMBER(BB78:BB274),ROW(BB78:BB274),"")))</f>
        <v>4.4871794871794863</v>
      </c>
      <c r="BD78" s="13">
        <f>IF('Données projet'!$A$88&gt;35,BD77+BC78-BL77,IF(A78&lt;'Données projet'!$A$88,$BA$205^A78,IF(A78='Données projet'!$A$88,'Données projet'!$B$88,BD77+BC78-BL77)))</f>
        <v>246.15384615384605</v>
      </c>
      <c r="BE78" s="14">
        <f>BD78*VLOOKUP('Données projet'!$B$11,Paramètres!$A$1:$I$89,3,0)*VLOOKUP('Données projet'!$B$11,Paramètres!$A$1:$I$89,5,0)</f>
        <v>234.2399999999999</v>
      </c>
      <c r="BF78" s="14">
        <f t="shared" si="91"/>
        <v>57.19849172024869</v>
      </c>
      <c r="BG78" s="22">
        <f t="shared" si="61"/>
        <v>507.58870641276627</v>
      </c>
      <c r="BH78" s="62">
        <f t="shared" si="62"/>
        <v>800.92203974609959</v>
      </c>
      <c r="BI78" s="62">
        <f ca="1">AVERAGE(OFFSET($BH$3,0,0,'Données projet'!$E$11+1,1))-AVERAGE(OFFSET($H$3,0,0,'Données projet'!$E$11+1,1))</f>
        <v>406.24139966722936</v>
      </c>
      <c r="BJ78" s="62">
        <f t="shared" si="92"/>
        <v>295.95724296920577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30.769230769230766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340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340.00000000000006</v>
      </c>
      <c r="BZ78" s="14">
        <f>BY78*VLOOKUP('Données projet'!$B$12,Paramètres!$A$1:$I$89,3,0)*VLOOKUP('Données projet'!$B$12,Paramètres!$A$1:$I$89,5,0)</f>
        <v>344.7600000000001</v>
      </c>
      <c r="CA78" s="14">
        <f t="shared" si="93"/>
        <v>80.482595391170619</v>
      </c>
      <c r="CB78" s="22">
        <f t="shared" si="64"/>
        <v>740.63085363962227</v>
      </c>
      <c r="CC78" s="62">
        <f t="shared" si="65"/>
        <v>1033.9641869729555</v>
      </c>
      <c r="CD78" s="62">
        <f ca="1">AVERAGE(OFFSET($CC$3,0,0,'Données projet'!$E$12+1,1))-AVERAGE(OFFSET($H$3,0,0,'Données projet'!$E$12+1,1))</f>
        <v>565.72091871734051</v>
      </c>
      <c r="CE78" s="62">
        <f t="shared" si="94"/>
        <v>306.61893266146666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56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5.6843418860808015E-14</v>
      </c>
      <c r="CU78" s="18">
        <f>CT78*VLOOKUP('Données projet'!$B$13,Paramètres!$A$1:$I$89,3,0)*VLOOKUP('Données projet'!$B$13,Paramètres!$A$1:$I$89,5,0)</f>
        <v>4.9658410716801891E-14</v>
      </c>
      <c r="CV78" s="14">
        <f t="shared" si="95"/>
        <v>8.0934058173791862E-13</v>
      </c>
      <c r="CW78" s="22">
        <f t="shared" si="67"/>
        <v>1.4960899118586383E-12</v>
      </c>
      <c r="CX78" s="62">
        <f t="shared" si="68"/>
        <v>293.33333333333479</v>
      </c>
      <c r="CY78" s="62">
        <f ca="1">AVERAGE(OFFSET($CX$3,0,0,'Données projet'!$E$13+1,1))-AVERAGE(OFFSET($H$3,0,0,'Données projet'!$E$13+1,1))</f>
        <v>333.56306908115238</v>
      </c>
      <c r="CZ78" s="62">
        <f t="shared" si="96"/>
        <v>523.65456887919618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375.1</v>
      </c>
      <c r="DM78" s="13">
        <f>VLOOKUP(A78,'Données projet'!$A$165:$I$185,9,0)</f>
        <v>4.8600000000000021</v>
      </c>
      <c r="DN78" s="13">
        <f t="array" ref="DN78">INDEX(DM:DM,MIN(IF(ISNUMBER(DM78:DM274),ROW(DM78:DM274),"")))</f>
        <v>4.8600000000000021</v>
      </c>
      <c r="DO78" s="13">
        <f>IF('Données projet'!$A$166&gt;35,DO77+DN78-DW77,IF(A78&lt;'Données projet'!$A$166,$DL$205^A78,IF(A78='Données projet'!$A$166,'Données projet'!$B$166,DO77+DN78-DW77)))</f>
        <v>375.10000000000036</v>
      </c>
      <c r="DP78" s="18">
        <f>DO78*VLOOKUP('Données projet'!$B$14,Paramètres!$A$1:$I$89,3,0)*VLOOKUP('Données projet'!$B$14,Paramètres!$A$1:$I$89,5,0)</f>
        <v>275.0233200000003</v>
      </c>
      <c r="DQ78" s="14">
        <f t="shared" si="97"/>
        <v>65.914198135154436</v>
      </c>
      <c r="DR78" s="22">
        <f t="shared" si="70"/>
        <v>593.79951075206111</v>
      </c>
      <c r="DS78" s="62">
        <f t="shared" si="71"/>
        <v>887.13284408539448</v>
      </c>
      <c r="DT78" s="62">
        <f ca="1">AVERAGE(OFFSET($DS$3,0,0,'Données projet'!$E$14+1,1))-AVERAGE(OFFSET($H$3,0,0,'Données projet'!$E$14+1,1))</f>
        <v>397.24714625007675</v>
      </c>
      <c r="DU78" s="62">
        <f t="shared" si="98"/>
        <v>431.75775520200608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9">
        <f t="shared" si="56"/>
        <v>256.66666666666669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509.56241660612449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11.222222222222221</v>
      </c>
      <c r="AI79" s="14">
        <f>IF('Données projet'!$A$62&gt;35,AI78+AH79-AQ78,IF(A79&lt;'Données projet'!$A$62,$AF$205^A79,IF(A79='Données projet'!$A$62,'Données projet'!$B$62,AI78+AH79-AQ78)))</f>
        <v>557.88888888888891</v>
      </c>
      <c r="AJ79" s="14">
        <f>AI79*VLOOKUP('Données projet'!$B$10,Paramètres!$A$1:$I$89,3,0)*VLOOKUP('Données projet'!$B$10,Paramètres!$A$1:$I$89,5,0)</f>
        <v>478.6686666666667</v>
      </c>
      <c r="AK79" s="14">
        <f t="shared" si="89"/>
        <v>107.55509561247612</v>
      </c>
      <c r="AL79" s="22">
        <f t="shared" si="58"/>
        <v>1021.0063859695071</v>
      </c>
      <c r="AM79" s="62">
        <f t="shared" si="59"/>
        <v>1314.3397193028404</v>
      </c>
      <c r="AN79" s="62">
        <f ca="1">AVERAGE(OFFSET($AM$3,0,0,'Données projet'!$E$10+1,1))-AVERAGE(OFFSET($H$3,0,0,'Données projet'!$E$10+1,1))</f>
        <v>625.17723604265689</v>
      </c>
      <c r="AO79" s="62">
        <f t="shared" si="90"/>
        <v>462.33909258902241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4.3589743589743648</v>
      </c>
      <c r="BD79" s="13">
        <f>IF('Données projet'!$A$88&gt;35,BD78+BC79-BL78,IF(A79&lt;'Données projet'!$A$88,$BA$205^A79,IF(A79='Données projet'!$A$88,'Données projet'!$B$88,BD78+BC79-BL78)))</f>
        <v>219.74358974358964</v>
      </c>
      <c r="BE79" s="14">
        <f>BD79*VLOOKUP('Données projet'!$B$11,Paramètres!$A$1:$I$89,3,0)*VLOOKUP('Données projet'!$B$11,Paramètres!$A$1:$I$89,5,0)</f>
        <v>209.10799999999989</v>
      </c>
      <c r="BF79" s="14">
        <f t="shared" si="91"/>
        <v>51.740612992017297</v>
      </c>
      <c r="BG79" s="22">
        <f t="shared" si="61"/>
        <v>454.31133429442997</v>
      </c>
      <c r="BH79" s="62">
        <f t="shared" si="62"/>
        <v>747.64466762776328</v>
      </c>
      <c r="BI79" s="62">
        <f ca="1">AVERAGE(OFFSET($BH$3,0,0,'Données projet'!$E$11+1,1))-AVERAGE(OFFSET($H$3,0,0,'Données projet'!$E$11+1,1))</f>
        <v>406.24139966722936</v>
      </c>
      <c r="BJ79" s="62">
        <f t="shared" si="92"/>
        <v>295.95724296920577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295.27680000000004</v>
      </c>
      <c r="CA79" s="14">
        <f t="shared" si="93"/>
        <v>70.185386686980493</v>
      </c>
      <c r="CB79" s="22">
        <f t="shared" si="64"/>
        <v>636.51330847982445</v>
      </c>
      <c r="CC79" s="62">
        <f t="shared" si="65"/>
        <v>929.8466418131577</v>
      </c>
      <c r="CD79" s="62">
        <f ca="1">AVERAGE(OFFSET($CC$3,0,0,'Données projet'!$E$12+1,1))-AVERAGE(OFFSET($H$3,0,0,'Données projet'!$E$12+1,1))</f>
        <v>565.72091871734051</v>
      </c>
      <c r="CE79" s="62">
        <f t="shared" si="94"/>
        <v>306.61893266146666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5.6843418860808015E-14</v>
      </c>
      <c r="CU79" s="18">
        <f>CT79*VLOOKUP('Données projet'!$B$13,Paramètres!$A$1:$I$89,3,0)*VLOOKUP('Données projet'!$B$13,Paramètres!$A$1:$I$89,5,0)</f>
        <v>4.9658410716801891E-14</v>
      </c>
      <c r="CV79" s="14">
        <f t="shared" si="95"/>
        <v>8.0934058173791862E-13</v>
      </c>
      <c r="CW79" s="22">
        <f t="shared" si="67"/>
        <v>1.4960899118586383E-12</v>
      </c>
      <c r="CX79" s="62">
        <f t="shared" si="68"/>
        <v>293.33333333333479</v>
      </c>
      <c r="CY79" s="62">
        <f ca="1">AVERAGE(OFFSET($CX$3,0,0,'Données projet'!$E$13+1,1))-AVERAGE(OFFSET($H$3,0,0,'Données projet'!$E$13+1,1))</f>
        <v>333.56306908115238</v>
      </c>
      <c r="CZ79" s="62">
        <f t="shared" si="96"/>
        <v>523.65456887919618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4.0999999999999996</v>
      </c>
      <c r="DO79" s="13">
        <f>IF('Données projet'!$A$166&gt;35,DO78+DN79-DW78,IF(A79&lt;'Données projet'!$A$166,$DL$205^A79,IF(A79='Données projet'!$A$166,'Données projet'!$B$166,DO78+DN79-DW78)))</f>
        <v>379.20000000000039</v>
      </c>
      <c r="DP79" s="18">
        <f>DO79*VLOOKUP('Données projet'!$B$14,Paramètres!$A$1:$I$89,3,0)*VLOOKUP('Données projet'!$B$14,Paramètres!$A$1:$I$89,5,0)</f>
        <v>278.02944000000025</v>
      </c>
      <c r="DQ79" s="14">
        <f t="shared" si="97"/>
        <v>66.550401887743007</v>
      </c>
      <c r="DR79" s="22">
        <f t="shared" si="70"/>
        <v>600.14322462115285</v>
      </c>
      <c r="DS79" s="62">
        <f t="shared" si="71"/>
        <v>893.47655795448622</v>
      </c>
      <c r="DT79" s="62">
        <f ca="1">AVERAGE(OFFSET($DS$3,0,0,'Données projet'!$E$14+1,1))-AVERAGE(OFFSET($H$3,0,0,'Données projet'!$E$14+1,1))</f>
        <v>397.24714625007675</v>
      </c>
      <c r="DU79" s="62">
        <f t="shared" si="98"/>
        <v>431.75775520200608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9">
        <f t="shared" si="56"/>
        <v>256.66666666666669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509.56241660612449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11.222222222222221</v>
      </c>
      <c r="AI80" s="14">
        <f>IF('Données projet'!$A$62&gt;35,AI79+AH80-AQ79,IF(A80&lt;'Données projet'!$A$62,$AF$205^A80,IF(A80='Données projet'!$A$62,'Données projet'!$B$62,AI79+AH80-AQ79)))</f>
        <v>569.11111111111109</v>
      </c>
      <c r="AJ80" s="14">
        <f>AI80*VLOOKUP('Données projet'!$B$10,Paramètres!$A$1:$I$89,3,0)*VLOOKUP('Données projet'!$B$10,Paramètres!$A$1:$I$89,5,0)</f>
        <v>488.29733333333337</v>
      </c>
      <c r="AK80" s="14">
        <f t="shared" si="89"/>
        <v>109.46456580947465</v>
      </c>
      <c r="AL80" s="22">
        <f t="shared" si="58"/>
        <v>1041.1019743403906</v>
      </c>
      <c r="AM80" s="62">
        <f t="shared" si="59"/>
        <v>1334.4353076737239</v>
      </c>
      <c r="AN80" s="62">
        <f ca="1">AVERAGE(OFFSET($AM$3,0,0,'Données projet'!$E$10+1,1))-AVERAGE(OFFSET($H$3,0,0,'Données projet'!$E$10+1,1))</f>
        <v>625.17723604265689</v>
      </c>
      <c r="AO80" s="62">
        <f t="shared" si="90"/>
        <v>462.33909258902241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4.3589743589743648</v>
      </c>
      <c r="BD80" s="13">
        <f>IF('Données projet'!$A$88&gt;35,BD79+BC80-BL79,IF(A80&lt;'Données projet'!$A$88,$BA$205^A80,IF(A80='Données projet'!$A$88,'Données projet'!$B$88,BD79+BC80-BL79)))</f>
        <v>224.102564102564</v>
      </c>
      <c r="BE80" s="14">
        <f>BD80*VLOOKUP('Données projet'!$B$11,Paramètres!$A$1:$I$89,3,0)*VLOOKUP('Données projet'!$B$11,Paramètres!$A$1:$I$89,5,0)</f>
        <v>213.25599999999989</v>
      </c>
      <c r="BF80" s="14">
        <f t="shared" si="91"/>
        <v>52.646465235028018</v>
      </c>
      <c r="BG80" s="22">
        <f t="shared" si="61"/>
        <v>463.11346028434019</v>
      </c>
      <c r="BH80" s="62">
        <f t="shared" si="62"/>
        <v>756.44679361767351</v>
      </c>
      <c r="BI80" s="62">
        <f ca="1">AVERAGE(OFFSET($BH$3,0,0,'Données projet'!$E$11+1,1))-AVERAGE(OFFSET($H$3,0,0,'Données projet'!$E$11+1,1))</f>
        <v>406.24139966722936</v>
      </c>
      <c r="BJ80" s="62">
        <f t="shared" si="92"/>
        <v>295.95724296920577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302.57760000000007</v>
      </c>
      <c r="CA80" s="14">
        <f t="shared" si="93"/>
        <v>71.716558091076294</v>
      </c>
      <c r="CB80" s="22">
        <f t="shared" si="64"/>
        <v>651.89565867529132</v>
      </c>
      <c r="CC80" s="62">
        <f t="shared" si="65"/>
        <v>945.22899200862457</v>
      </c>
      <c r="CD80" s="62">
        <f ca="1">AVERAGE(OFFSET($CC$3,0,0,'Données projet'!$E$12+1,1))-AVERAGE(OFFSET($H$3,0,0,'Données projet'!$E$12+1,1))</f>
        <v>565.72091871734051</v>
      </c>
      <c r="CE80" s="62">
        <f t="shared" si="94"/>
        <v>306.61893266146666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5.6843418860808015E-14</v>
      </c>
      <c r="CU80" s="18">
        <f>CT80*VLOOKUP('Données projet'!$B$13,Paramètres!$A$1:$I$89,3,0)*VLOOKUP('Données projet'!$B$13,Paramètres!$A$1:$I$89,5,0)</f>
        <v>4.9658410716801891E-14</v>
      </c>
      <c r="CV80" s="14">
        <f t="shared" si="95"/>
        <v>8.0934058173791862E-13</v>
      </c>
      <c r="CW80" s="22">
        <f t="shared" si="67"/>
        <v>1.4960899118586383E-12</v>
      </c>
      <c r="CX80" s="62">
        <f t="shared" si="68"/>
        <v>293.33333333333479</v>
      </c>
      <c r="CY80" s="62">
        <f ca="1">AVERAGE(OFFSET($CX$3,0,0,'Données projet'!$E$13+1,1))-AVERAGE(OFFSET($H$3,0,0,'Données projet'!$E$13+1,1))</f>
        <v>333.56306908115238</v>
      </c>
      <c r="CZ80" s="62">
        <f t="shared" si="96"/>
        <v>523.65456887919618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4.0999999999999996</v>
      </c>
      <c r="DO80" s="13">
        <f>IF('Données projet'!$A$166&gt;35,DO79+DN80-DW79,IF(A80&lt;'Données projet'!$A$166,$DL$205^A80,IF(A80='Données projet'!$A$166,'Données projet'!$B$166,DO79+DN80-DW79)))</f>
        <v>383.30000000000041</v>
      </c>
      <c r="DP80" s="18">
        <f>DO80*VLOOKUP('Données projet'!$B$14,Paramètres!$A$1:$I$89,3,0)*VLOOKUP('Données projet'!$B$14,Paramètres!$A$1:$I$89,5,0)</f>
        <v>281.03556000000032</v>
      </c>
      <c r="DQ80" s="14">
        <f t="shared" si="97"/>
        <v>67.185805436874929</v>
      </c>
      <c r="DR80" s="22">
        <f t="shared" si="70"/>
        <v>606.48554480255768</v>
      </c>
      <c r="DS80" s="62">
        <f t="shared" si="71"/>
        <v>899.81887813589105</v>
      </c>
      <c r="DT80" s="62">
        <f ca="1">AVERAGE(OFFSET($DS$3,0,0,'Données projet'!$E$14+1,1))-AVERAGE(OFFSET($H$3,0,0,'Données projet'!$E$14+1,1))</f>
        <v>397.24714625007675</v>
      </c>
      <c r="DU80" s="62">
        <f t="shared" si="98"/>
        <v>431.75775520200608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9">
        <f t="shared" si="56"/>
        <v>256.66666666666669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509.56241660612449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11.222222222222221</v>
      </c>
      <c r="AI81" s="14">
        <f>IF('Données projet'!$A$62&gt;35,AI80+AH81-AQ80,IF(A81&lt;'Données projet'!$A$62,$AF$205^A81,IF(A81='Données projet'!$A$62,'Données projet'!$B$62,AI80+AH81-AQ80)))</f>
        <v>580.33333333333326</v>
      </c>
      <c r="AJ81" s="14">
        <f>AI81*VLOOKUP('Données projet'!$B$10,Paramètres!$A$1:$I$89,3,0)*VLOOKUP('Données projet'!$B$10,Paramètres!$A$1:$I$89,5,0)</f>
        <v>497.92600000000004</v>
      </c>
      <c r="AK81" s="14">
        <f t="shared" si="89"/>
        <v>111.36965797278296</v>
      </c>
      <c r="AL81" s="22">
        <f t="shared" si="58"/>
        <v>1061.1899376359304</v>
      </c>
      <c r="AM81" s="62">
        <f t="shared" si="59"/>
        <v>1354.5232709692636</v>
      </c>
      <c r="AN81" s="62">
        <f ca="1">AVERAGE(OFFSET($AM$3,0,0,'Données projet'!$E$10+1,1))-AVERAGE(OFFSET($H$3,0,0,'Données projet'!$E$10+1,1))</f>
        <v>625.17723604265689</v>
      </c>
      <c r="AO81" s="62">
        <f t="shared" si="90"/>
        <v>462.33909258902241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4.3589743589743648</v>
      </c>
      <c r="BD81" s="13">
        <f>IF('Données projet'!$A$88&gt;35,BD80+BC81-BL80,IF(A81&lt;'Données projet'!$A$88,$BA$205^A81,IF(A81='Données projet'!$A$88,'Données projet'!$B$88,BD80+BC81-BL80)))</f>
        <v>228.46153846153837</v>
      </c>
      <c r="BE81" s="14">
        <f>BD81*VLOOKUP('Données projet'!$B$11,Paramètres!$A$1:$I$89,3,0)*VLOOKUP('Données projet'!$B$11,Paramètres!$A$1:$I$89,5,0)</f>
        <v>217.40399999999991</v>
      </c>
      <c r="BF81" s="14">
        <f t="shared" si="91"/>
        <v>53.550268745628323</v>
      </c>
      <c r="BG81" s="22">
        <f t="shared" si="61"/>
        <v>471.91201806530245</v>
      </c>
      <c r="BH81" s="62">
        <f t="shared" si="62"/>
        <v>765.24535139863576</v>
      </c>
      <c r="BI81" s="62">
        <f ca="1">AVERAGE(OFFSET($BH$3,0,0,'Données projet'!$E$11+1,1))-AVERAGE(OFFSET($H$3,0,0,'Données projet'!$E$11+1,1))</f>
        <v>406.24139966722936</v>
      </c>
      <c r="BJ81" s="62">
        <f t="shared" si="92"/>
        <v>295.95724296920577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309.87840000000006</v>
      </c>
      <c r="CA81" s="14">
        <f t="shared" si="93"/>
        <v>73.243434672131556</v>
      </c>
      <c r="CB81" s="22">
        <f t="shared" si="64"/>
        <v>667.27052872062916</v>
      </c>
      <c r="CC81" s="62">
        <f t="shared" si="65"/>
        <v>960.60386205396253</v>
      </c>
      <c r="CD81" s="62">
        <f ca="1">AVERAGE(OFFSET($CC$3,0,0,'Données projet'!$E$12+1,1))-AVERAGE(OFFSET($H$3,0,0,'Données projet'!$E$12+1,1))</f>
        <v>565.72091871734051</v>
      </c>
      <c r="CE81" s="62">
        <f t="shared" si="94"/>
        <v>306.61893266146666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5.6843418860808015E-14</v>
      </c>
      <c r="CU81" s="18">
        <f>CT81*VLOOKUP('Données projet'!$B$13,Paramètres!$A$1:$I$89,3,0)*VLOOKUP('Données projet'!$B$13,Paramètres!$A$1:$I$89,5,0)</f>
        <v>4.9658410716801891E-14</v>
      </c>
      <c r="CV81" s="14">
        <f t="shared" si="95"/>
        <v>8.0934058173791862E-13</v>
      </c>
      <c r="CW81" s="22">
        <f t="shared" si="67"/>
        <v>1.4960899118586383E-12</v>
      </c>
      <c r="CX81" s="62">
        <f t="shared" si="68"/>
        <v>293.33333333333479</v>
      </c>
      <c r="CY81" s="62">
        <f ca="1">AVERAGE(OFFSET($CX$3,0,0,'Données projet'!$E$13+1,1))-AVERAGE(OFFSET($H$3,0,0,'Données projet'!$E$13+1,1))</f>
        <v>333.56306908115238</v>
      </c>
      <c r="CZ81" s="62">
        <f t="shared" si="96"/>
        <v>523.65456887919618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4.0999999999999996</v>
      </c>
      <c r="DO81" s="13">
        <f>IF('Données projet'!$A$166&gt;35,DO80+DN81-DW80,IF(A81&lt;'Données projet'!$A$166,$DL$205^A81,IF(A81='Données projet'!$A$166,'Données projet'!$B$166,DO80+DN81-DW80)))</f>
        <v>387.40000000000043</v>
      </c>
      <c r="DP81" s="18">
        <f>DO81*VLOOKUP('Données projet'!$B$14,Paramètres!$A$1:$I$89,3,0)*VLOOKUP('Données projet'!$B$14,Paramètres!$A$1:$I$89,5,0)</f>
        <v>284.04168000000033</v>
      </c>
      <c r="DQ81" s="14">
        <f t="shared" si="97"/>
        <v>67.820418332731066</v>
      </c>
      <c r="DR81" s="22">
        <f t="shared" si="70"/>
        <v>612.82648792950715</v>
      </c>
      <c r="DS81" s="62">
        <f t="shared" si="71"/>
        <v>906.15982126284052</v>
      </c>
      <c r="DT81" s="62">
        <f ca="1">AVERAGE(OFFSET($DS$3,0,0,'Données projet'!$E$14+1,1))-AVERAGE(OFFSET($H$3,0,0,'Données projet'!$E$14+1,1))</f>
        <v>397.24714625007675</v>
      </c>
      <c r="DU81" s="62">
        <f t="shared" si="98"/>
        <v>431.75775520200608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9">
        <f t="shared" si="56"/>
        <v>256.66666666666669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509.56241660612449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11.222222222222221</v>
      </c>
      <c r="AI82" s="14">
        <f>IF('Données projet'!$A$62&gt;35,AI81+AH82-AQ81,IF(A82&lt;'Données projet'!$A$62,$AF$205^A82,IF(A82='Données projet'!$A$62,'Données projet'!$B$62,AI81+AH82-AQ81)))</f>
        <v>591.55555555555543</v>
      </c>
      <c r="AJ82" s="14">
        <f>AI82*VLOOKUP('Données projet'!$B$10,Paramètres!$A$1:$I$89,3,0)*VLOOKUP('Données projet'!$B$10,Paramètres!$A$1:$I$89,5,0)</f>
        <v>507.55466666666661</v>
      </c>
      <c r="AK82" s="14">
        <f t="shared" si="89"/>
        <v>113.27046652288132</v>
      </c>
      <c r="AL82" s="22">
        <f t="shared" si="58"/>
        <v>1081.2704403051293</v>
      </c>
      <c r="AM82" s="62">
        <f t="shared" si="59"/>
        <v>1374.6037736384626</v>
      </c>
      <c r="AN82" s="62">
        <f ca="1">AVERAGE(OFFSET($AM$3,0,0,'Données projet'!$E$10+1,1))-AVERAGE(OFFSET($H$3,0,0,'Données projet'!$E$10+1,1))</f>
        <v>625.17723604265689</v>
      </c>
      <c r="AO82" s="62">
        <f t="shared" si="90"/>
        <v>462.33909258902241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4.3589743589743648</v>
      </c>
      <c r="BD82" s="13">
        <f>IF('Données projet'!$A$88&gt;35,BD81+BC82-BL81,IF(A82&lt;'Données projet'!$A$88,$BA$205^A82,IF(A82='Données projet'!$A$88,'Données projet'!$B$88,BD81+BC82-BL81)))</f>
        <v>232.82051282051273</v>
      </c>
      <c r="BE82" s="14">
        <f>BD82*VLOOKUP('Données projet'!$B$11,Paramètres!$A$1:$I$89,3,0)*VLOOKUP('Données projet'!$B$11,Paramètres!$A$1:$I$89,5,0)</f>
        <v>221.55199999999994</v>
      </c>
      <c r="BF82" s="14">
        <f t="shared" si="91"/>
        <v>54.452067119881683</v>
      </c>
      <c r="BG82" s="22">
        <f t="shared" si="61"/>
        <v>480.70708356712709</v>
      </c>
      <c r="BH82" s="62">
        <f t="shared" si="62"/>
        <v>774.0404169004604</v>
      </c>
      <c r="BI82" s="62">
        <f ca="1">AVERAGE(OFFSET($BH$3,0,0,'Données projet'!$E$11+1,1))-AVERAGE(OFFSET($H$3,0,0,'Données projet'!$E$11+1,1))</f>
        <v>406.24139966722936</v>
      </c>
      <c r="BJ82" s="62">
        <f t="shared" si="92"/>
        <v>295.95724296920577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317.17920000000004</v>
      </c>
      <c r="CA82" s="14">
        <f t="shared" si="93"/>
        <v>74.766129261581426</v>
      </c>
      <c r="CB82" s="22">
        <f t="shared" si="64"/>
        <v>682.63811513058772</v>
      </c>
      <c r="CC82" s="62">
        <f t="shared" si="65"/>
        <v>975.97144846392098</v>
      </c>
      <c r="CD82" s="62">
        <f ca="1">AVERAGE(OFFSET($CC$3,0,0,'Données projet'!$E$12+1,1))-AVERAGE(OFFSET($H$3,0,0,'Données projet'!$E$12+1,1))</f>
        <v>565.72091871734051</v>
      </c>
      <c r="CE82" s="62">
        <f t="shared" si="94"/>
        <v>306.61893266146666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5.6843418860808015E-14</v>
      </c>
      <c r="CU82" s="18">
        <f>CT82*VLOOKUP('Données projet'!$B$13,Paramètres!$A$1:$I$89,3,0)*VLOOKUP('Données projet'!$B$13,Paramètres!$A$1:$I$89,5,0)</f>
        <v>4.9658410716801891E-14</v>
      </c>
      <c r="CV82" s="14">
        <f t="shared" si="95"/>
        <v>8.0934058173791862E-13</v>
      </c>
      <c r="CW82" s="22">
        <f t="shared" si="67"/>
        <v>1.4960899118586383E-12</v>
      </c>
      <c r="CX82" s="62">
        <f t="shared" si="68"/>
        <v>293.33333333333479</v>
      </c>
      <c r="CY82" s="62">
        <f ca="1">AVERAGE(OFFSET($CX$3,0,0,'Données projet'!$E$13+1,1))-AVERAGE(OFFSET($H$3,0,0,'Données projet'!$E$13+1,1))</f>
        <v>333.56306908115238</v>
      </c>
      <c r="CZ82" s="62">
        <f t="shared" si="96"/>
        <v>523.65456887919618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4.0999999999999996</v>
      </c>
      <c r="DO82" s="13">
        <f>IF('Données projet'!$A$166&gt;35,DO81+DN82-DW81,IF(A82&lt;'Données projet'!$A$166,$DL$205^A82,IF(A82='Données projet'!$A$166,'Données projet'!$B$166,DO81+DN82-DW81)))</f>
        <v>391.50000000000045</v>
      </c>
      <c r="DP82" s="18">
        <f>DO82*VLOOKUP('Données projet'!$B$14,Paramètres!$A$1:$I$89,3,0)*VLOOKUP('Données projet'!$B$14,Paramètres!$A$1:$I$89,5,0)</f>
        <v>287.04780000000034</v>
      </c>
      <c r="DQ82" s="14">
        <f t="shared" si="97"/>
        <v>68.454249911700813</v>
      </c>
      <c r="DR82" s="22">
        <f t="shared" si="70"/>
        <v>619.16607026287943</v>
      </c>
      <c r="DS82" s="62">
        <f t="shared" si="71"/>
        <v>912.49940359621269</v>
      </c>
      <c r="DT82" s="62">
        <f ca="1">AVERAGE(OFFSET($DS$3,0,0,'Données projet'!$E$14+1,1))-AVERAGE(OFFSET($H$3,0,0,'Données projet'!$E$14+1,1))</f>
        <v>397.24714625007675</v>
      </c>
      <c r="DU82" s="62">
        <f t="shared" si="98"/>
        <v>431.75775520200608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9">
        <f t="shared" si="56"/>
        <v>256.66666666666669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509.56241660612449</v>
      </c>
      <c r="T83" s="62">
        <f t="shared" si="88"/>
        <v>278.21741231699929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11.222222222222221</v>
      </c>
      <c r="AI83" s="14">
        <f>IF('Données projet'!$A$62&gt;35,AI82+AH83-AQ82,IF(A83&lt;'Données projet'!$A$62,$AF$205^A83,IF(A83='Données projet'!$A$62,'Données projet'!$B$62,AI82+AH83-AQ82)))</f>
        <v>602.7777777777776</v>
      </c>
      <c r="AJ83" s="14">
        <f>AI83*VLOOKUP('Données projet'!$B$10,Paramètres!$A$1:$I$89,3,0)*VLOOKUP('Données projet'!$B$10,Paramètres!$A$1:$I$89,5,0)</f>
        <v>517.18333333333328</v>
      </c>
      <c r="AK83" s="14">
        <f t="shared" si="89"/>
        <v>115.16708209280864</v>
      </c>
      <c r="AL83" s="22">
        <f t="shared" si="58"/>
        <v>1101.3436402005304</v>
      </c>
      <c r="AM83" s="62">
        <f t="shared" si="59"/>
        <v>1394.6769735338637</v>
      </c>
      <c r="AN83" s="62">
        <f ca="1">AVERAGE(OFFSET($AM$3,0,0,'Données projet'!$E$10+1,1))-AVERAGE(OFFSET($H$3,0,0,'Données projet'!$E$10+1,1))</f>
        <v>625.17723604265689</v>
      </c>
      <c r="AO83" s="62">
        <f t="shared" si="90"/>
        <v>462.33909258902241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237.17948717948718</v>
      </c>
      <c r="BB83" s="13">
        <f>VLOOKUP(A83,'Données projet'!$A$87:$I$107,9,0)</f>
        <v>4.3589743589743648</v>
      </c>
      <c r="BC83" s="13">
        <f t="array" ref="BC83">INDEX(BB:BB,MIN(IF(ISNUMBER(BB83:BB279),ROW(BB83:BB279),"")))</f>
        <v>4.3589743589743648</v>
      </c>
      <c r="BD83" s="13">
        <f>IF('Données projet'!$A$88&gt;35,BD82+BC83-BL82,IF(A83&lt;'Données projet'!$A$88,$BA$205^A83,IF(A83='Données projet'!$A$88,'Données projet'!$B$88,BD82+BC83-BL82)))</f>
        <v>237.1794871794871</v>
      </c>
      <c r="BE83" s="14">
        <f>BD83*VLOOKUP('Données projet'!$B$11,Paramètres!$A$1:$I$89,3,0)*VLOOKUP('Données projet'!$B$11,Paramètres!$A$1:$I$89,5,0)</f>
        <v>225.69999999999993</v>
      </c>
      <c r="BF83" s="14">
        <f t="shared" si="91"/>
        <v>55.351902227969966</v>
      </c>
      <c r="BG83" s="22">
        <f t="shared" si="61"/>
        <v>489.49872971371423</v>
      </c>
      <c r="BH83" s="62">
        <f t="shared" si="62"/>
        <v>782.83206304704754</v>
      </c>
      <c r="BI83" s="62">
        <f ca="1">AVERAGE(OFFSET($BH$3,0,0,'Données projet'!$E$11+1,1))-AVERAGE(OFFSET($H$3,0,0,'Données projet'!$E$11+1,1))</f>
        <v>406.24139966722936</v>
      </c>
      <c r="BJ83" s="62">
        <f t="shared" si="92"/>
        <v>295.95724296920577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324.48</v>
      </c>
      <c r="CA83" s="14">
        <f t="shared" si="93"/>
        <v>76.284749200165578</v>
      </c>
      <c r="CB83" s="22">
        <f t="shared" si="64"/>
        <v>697.99860485695501</v>
      </c>
      <c r="CC83" s="62">
        <f t="shared" si="65"/>
        <v>991.33193819028838</v>
      </c>
      <c r="CD83" s="62">
        <f ca="1">AVERAGE(OFFSET($CC$3,0,0,'Données projet'!$E$12+1,1))-AVERAGE(OFFSET($H$3,0,0,'Données projet'!$E$12+1,1))</f>
        <v>565.72091871734051</v>
      </c>
      <c r="CE83" s="62">
        <f t="shared" si="94"/>
        <v>306.61893266146666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5.6843418860808015E-14</v>
      </c>
      <c r="CU83" s="18">
        <f>CT83*VLOOKUP('Données projet'!$B$13,Paramètres!$A$1:$I$89,3,0)*VLOOKUP('Données projet'!$B$13,Paramètres!$A$1:$I$89,5,0)</f>
        <v>4.9658410716801891E-14</v>
      </c>
      <c r="CV83" s="14">
        <f t="shared" si="95"/>
        <v>8.0934058173791862E-13</v>
      </c>
      <c r="CW83" s="22">
        <f t="shared" si="67"/>
        <v>1.4960899118586383E-12</v>
      </c>
      <c r="CX83" s="62">
        <f t="shared" si="68"/>
        <v>293.33333333333479</v>
      </c>
      <c r="CY83" s="62">
        <f ca="1">AVERAGE(OFFSET($CX$3,0,0,'Données projet'!$E$13+1,1))-AVERAGE(OFFSET($H$3,0,0,'Données projet'!$E$13+1,1))</f>
        <v>333.56306908115238</v>
      </c>
      <c r="CZ83" s="62">
        <f t="shared" si="96"/>
        <v>523.65456887919618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395.6</v>
      </c>
      <c r="DM83" s="13">
        <f>VLOOKUP(A83,'Données projet'!$A$165:$I$185,9,0)</f>
        <v>4.0999999999999996</v>
      </c>
      <c r="DN83" s="13">
        <f t="array" ref="DN83">INDEX(DM:DM,MIN(IF(ISNUMBER(DM83:DM279),ROW(DM83:DM279),"")))</f>
        <v>4.0999999999999996</v>
      </c>
      <c r="DO83" s="13">
        <f>IF('Données projet'!$A$166&gt;35,DO82+DN83-DW82,IF(A83&lt;'Données projet'!$A$166,$DL$205^A83,IF(A83='Données projet'!$A$166,'Données projet'!$B$166,DO82+DN83-DW82)))</f>
        <v>395.60000000000048</v>
      </c>
      <c r="DP83" s="18">
        <f>DO83*VLOOKUP('Données projet'!$B$14,Paramètres!$A$1:$I$89,3,0)*VLOOKUP('Données projet'!$B$14,Paramètres!$A$1:$I$89,5,0)</f>
        <v>290.05392000000035</v>
      </c>
      <c r="DQ83" s="14">
        <f t="shared" si="97"/>
        <v>69.087309303355894</v>
      </c>
      <c r="DR83" s="22">
        <f t="shared" si="70"/>
        <v>625.50430770334538</v>
      </c>
      <c r="DS83" s="62">
        <f t="shared" si="71"/>
        <v>918.83764103667863</v>
      </c>
      <c r="DT83" s="62">
        <f ca="1">AVERAGE(OFFSET($DS$3,0,0,'Données projet'!$E$14+1,1))-AVERAGE(OFFSET($H$3,0,0,'Données projet'!$E$14+1,1))</f>
        <v>397.24714625007675</v>
      </c>
      <c r="DU83" s="62">
        <f t="shared" si="98"/>
        <v>431.75775520200608</v>
      </c>
      <c r="DV83" s="16">
        <f>IF(ISNA(VLOOKUP(A83,'Données projet'!$A$165:$I$185,3,0)),0,VLOOKUP(A83,'Données projet'!$A$165:$I$185,3,0))</f>
        <v>8</v>
      </c>
      <c r="DW83" s="16">
        <f>IF(ISNA(VLOOKUP(A83,'Données projet'!$A$165:$I$185,4,0)),0,VLOOKUP(A83,'Données projet'!$A$165:$I$185,4,0))</f>
        <v>395.6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9">
        <f t="shared" si="56"/>
        <v>256.66666666666669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3.8</v>
      </c>
      <c r="N84" s="14">
        <f>IF('Données projet'!$A$36&gt;35,N83+M84-V83,IF(A84&lt;'Données projet'!$A$36,$K$205^A84,IF(A84='Données projet'!$A$36,'Données projet'!$B$36,N83+M84-V83)))</f>
        <v>323.8</v>
      </c>
      <c r="O84" s="14">
        <f>N84*VLOOKUP('Données projet'!$B$9,Paramètres!$A$1:$I$89,3,0)*VLOOKUP('Données projet'!$B$9,Paramètres!$A$1:$I$89,5,0)</f>
        <v>292.97424000000001</v>
      </c>
      <c r="P84" s="14">
        <f t="shared" si="87"/>
        <v>69.701569084730806</v>
      </c>
      <c r="Q84" s="22">
        <f t="shared" si="54"/>
        <v>631.66036748923955</v>
      </c>
      <c r="R84" s="62">
        <f t="shared" si="55"/>
        <v>924.99370082257292</v>
      </c>
      <c r="S84" s="62">
        <f ca="1">AVERAGE(OFFSET($R$3,0,0,'Données projet'!$E$9+1,1))-AVERAGE(OFFSET($H$3,0,0,'Données projet'!$E$9+1,1))</f>
        <v>509.56241660612449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>
        <f>VLOOKUP(A84,'Données projet'!$A$61:$I$81,2,0)</f>
        <v>614</v>
      </c>
      <c r="AG84" s="13">
        <f>VLOOKUP(A84,'Données projet'!$A$61:$I$81,9,0)</f>
        <v>11.222222222222221</v>
      </c>
      <c r="AH84" s="13">
        <f t="array" ref="AH84">INDEX(AG:AG,MIN(IF(ISNUMBER(AG84:AG280),ROW(AG84:AG280),"")))</f>
        <v>11.222222222222221</v>
      </c>
      <c r="AI84" s="14">
        <f>IF('Données projet'!$A$62&gt;35,AI83+AH84-AQ83,IF(A84&lt;'Données projet'!$A$62,$AF$205^A84,IF(A84='Données projet'!$A$62,'Données projet'!$B$62,AI83+AH84-AQ83)))</f>
        <v>613.99999999999977</v>
      </c>
      <c r="AJ84" s="14">
        <f>AI84*VLOOKUP('Données projet'!$B$10,Paramètres!$A$1:$I$89,3,0)*VLOOKUP('Données projet'!$B$10,Paramètres!$A$1:$I$89,5,0)</f>
        <v>526.81199999999978</v>
      </c>
      <c r="AK84" s="14">
        <f t="shared" si="89"/>
        <v>117.05959174772106</v>
      </c>
      <c r="AL84" s="22">
        <f t="shared" si="58"/>
        <v>1121.4096889606135</v>
      </c>
      <c r="AM84" s="62">
        <f t="shared" si="59"/>
        <v>1414.7430222939468</v>
      </c>
      <c r="AN84" s="62">
        <f ca="1">AVERAGE(OFFSET($AM$3,0,0,'Données projet'!$E$10+1,1))-AVERAGE(OFFSET($H$3,0,0,'Données projet'!$E$10+1,1))</f>
        <v>625.17723604265689</v>
      </c>
      <c r="AO84" s="62">
        <f t="shared" si="90"/>
        <v>462.33909258902241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4.2307692307692264</v>
      </c>
      <c r="BD84" s="13">
        <f>IF('Données projet'!$A$88&gt;35,BD83+BC84-BL83,IF(A84&lt;'Données projet'!$A$88,$BA$205^A84,IF(A84='Données projet'!$A$88,'Données projet'!$B$88,BD83+BC84-BL83)))</f>
        <v>241.41025641025632</v>
      </c>
      <c r="BE84" s="14">
        <f>BD84*VLOOKUP('Données projet'!$B$11,Paramètres!$A$1:$I$89,3,0)*VLOOKUP('Données projet'!$B$11,Paramètres!$A$1:$I$89,5,0)</f>
        <v>229.72599999999991</v>
      </c>
      <c r="BF84" s="14">
        <f t="shared" si="91"/>
        <v>56.223432215495727</v>
      </c>
      <c r="BG84" s="22">
        <f t="shared" si="61"/>
        <v>498.02859444198822</v>
      </c>
      <c r="BH84" s="62">
        <f t="shared" si="62"/>
        <v>791.36192777532153</v>
      </c>
      <c r="BI84" s="62">
        <f ca="1">AVERAGE(OFFSET($BH$3,0,0,'Données projet'!$E$11+1,1))-AVERAGE(OFFSET($H$3,0,0,'Données projet'!$E$11+1,1))</f>
        <v>406.24139966722936</v>
      </c>
      <c r="BJ84" s="62">
        <f t="shared" si="92"/>
        <v>295.95724296920577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3.8</v>
      </c>
      <c r="BY84" s="13">
        <f>IF('Données projet'!$A$114&gt;35,BY83+BX84-CG83,IF(A84&lt;'Données projet'!$A$114,$BV$205^A84,IF(A84='Données projet'!$A$114,'Données projet'!$B$114,BY83+BX84-CG83)))</f>
        <v>323.8</v>
      </c>
      <c r="BZ84" s="14">
        <f>BY84*VLOOKUP('Données projet'!$B$12,Paramètres!$A$1:$I$89,3,0)*VLOOKUP('Données projet'!$B$12,Paramètres!$A$1:$I$89,5,0)</f>
        <v>328.33320000000003</v>
      </c>
      <c r="CA84" s="14">
        <f t="shared" si="93"/>
        <v>77.084635229848772</v>
      </c>
      <c r="CB84" s="22">
        <f t="shared" si="64"/>
        <v>706.10272969198661</v>
      </c>
      <c r="CC84" s="62">
        <f t="shared" si="65"/>
        <v>999.43606302531998</v>
      </c>
      <c r="CD84" s="62">
        <f ca="1">AVERAGE(OFFSET($CC$3,0,0,'Données projet'!$E$12+1,1))-AVERAGE(OFFSET($H$3,0,0,'Données projet'!$E$12+1,1))</f>
        <v>565.72091871734051</v>
      </c>
      <c r="CE84" s="62">
        <f t="shared" si="94"/>
        <v>306.61893266146666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5.6843418860808015E-14</v>
      </c>
      <c r="CU84" s="18">
        <f>CT84*VLOOKUP('Données projet'!$B$13,Paramètres!$A$1:$I$89,3,0)*VLOOKUP('Données projet'!$B$13,Paramètres!$A$1:$I$89,5,0)</f>
        <v>4.9658410716801891E-14</v>
      </c>
      <c r="CV84" s="14">
        <f t="shared" si="95"/>
        <v>8.0934058173791862E-13</v>
      </c>
      <c r="CW84" s="22">
        <f t="shared" si="67"/>
        <v>1.4960899118586383E-12</v>
      </c>
      <c r="CX84" s="62">
        <f t="shared" si="68"/>
        <v>293.33333333333479</v>
      </c>
      <c r="CY84" s="62">
        <f ca="1">AVERAGE(OFFSET($CX$3,0,0,'Données projet'!$E$13+1,1))-AVERAGE(OFFSET($H$3,0,0,'Données projet'!$E$13+1,1))</f>
        <v>333.56306908115238</v>
      </c>
      <c r="CZ84" s="62">
        <f t="shared" si="96"/>
        <v>523.65456887919618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4.5474735088646412E-13</v>
      </c>
      <c r="DP84" s="18">
        <f>DO84*VLOOKUP('Données projet'!$B$14,Paramètres!$A$1:$I$89,3,0)*VLOOKUP('Données projet'!$B$14,Paramètres!$A$1:$I$89,5,0)</f>
        <v>3.3342075766995548E-13</v>
      </c>
      <c r="DQ84" s="14">
        <f t="shared" si="97"/>
        <v>4.3537988100583648E-12</v>
      </c>
      <c r="DR84" s="22">
        <f t="shared" si="70"/>
        <v>8.1635740804601579E-12</v>
      </c>
      <c r="DS84" s="62">
        <f t="shared" si="71"/>
        <v>293.3333333333415</v>
      </c>
      <c r="DT84" s="62">
        <f ca="1">AVERAGE(OFFSET($DS$3,0,0,'Données projet'!$E$14+1,1))-AVERAGE(OFFSET($H$3,0,0,'Données projet'!$E$14+1,1))</f>
        <v>397.24714625007675</v>
      </c>
      <c r="DU84" s="62">
        <f t="shared" si="98"/>
        <v>431.75775520200608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9">
        <f t="shared" si="56"/>
        <v>256.66666666666669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3.8</v>
      </c>
      <c r="N85" s="14">
        <f>IF('Données projet'!$A$36&gt;35,N84+M85-V84,IF(A85&lt;'Données projet'!$A$36,$K$205^A85,IF(A85='Données projet'!$A$36,'Données projet'!$B$36,N84+M85-V84)))</f>
        <v>327.60000000000002</v>
      </c>
      <c r="O85" s="14">
        <f>N85*VLOOKUP('Données projet'!$B$9,Paramètres!$A$1:$I$89,3,0)*VLOOKUP('Données projet'!$B$9,Paramètres!$A$1:$I$89,5,0)</f>
        <v>296.41248000000002</v>
      </c>
      <c r="P85" s="14">
        <f t="shared" si="87"/>
        <v>70.423855708154761</v>
      </c>
      <c r="Q85" s="22">
        <f t="shared" si="54"/>
        <v>638.90661802503621</v>
      </c>
      <c r="R85" s="62">
        <f t="shared" si="55"/>
        <v>932.23995135836958</v>
      </c>
      <c r="S85" s="62">
        <f ca="1">AVERAGE(OFFSET($R$3,0,0,'Données projet'!$E$9+1,1))-AVERAGE(OFFSET($H$3,0,0,'Données projet'!$E$9+1,1))</f>
        <v>509.56241660612449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10.333333333333334</v>
      </c>
      <c r="AI85" s="14">
        <f>IF('Données projet'!$A$62&gt;35,AI84+AH85-AQ84,IF(A85&lt;'Données projet'!$A$62,$AF$205^A85,IF(A85='Données projet'!$A$62,'Données projet'!$B$62,AI84+AH85-AQ84)))</f>
        <v>624.33333333333314</v>
      </c>
      <c r="AJ85" s="14">
        <f>AI85*VLOOKUP('Données projet'!$B$10,Paramètres!$A$1:$I$89,3,0)*VLOOKUP('Données projet'!$B$10,Paramètres!$A$1:$I$89,5,0)</f>
        <v>535.67799999999988</v>
      </c>
      <c r="AK85" s="14">
        <f t="shared" si="89"/>
        <v>118.79864080305886</v>
      </c>
      <c r="AL85" s="22">
        <f t="shared" si="58"/>
        <v>1139.8801493986607</v>
      </c>
      <c r="AM85" s="62">
        <f t="shared" si="59"/>
        <v>1433.213482731994</v>
      </c>
      <c r="AN85" s="62">
        <f ca="1">AVERAGE(OFFSET($AM$3,0,0,'Données projet'!$E$10+1,1))-AVERAGE(OFFSET($H$3,0,0,'Données projet'!$E$10+1,1))</f>
        <v>625.17723604265689</v>
      </c>
      <c r="AO85" s="62">
        <f t="shared" si="90"/>
        <v>462.33909258902241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4.2307692307692264</v>
      </c>
      <c r="BD85" s="13">
        <f>IF('Données projet'!$A$88&gt;35,BD84+BC85-BL84,IF(A85&lt;'Données projet'!$A$88,$BA$205^A85,IF(A85='Données projet'!$A$88,'Données projet'!$B$88,BD84+BC85-BL84)))</f>
        <v>245.64102564102555</v>
      </c>
      <c r="BE85" s="14">
        <f>BD85*VLOOKUP('Données projet'!$B$11,Paramètres!$A$1:$I$89,3,0)*VLOOKUP('Données projet'!$B$11,Paramètres!$A$1:$I$89,5,0)</f>
        <v>233.75199999999992</v>
      </c>
      <c r="BF85" s="14">
        <f t="shared" si="91"/>
        <v>57.093186053402</v>
      </c>
      <c r="BG85" s="22">
        <f t="shared" si="61"/>
        <v>506.55536570967496</v>
      </c>
      <c r="BH85" s="62">
        <f t="shared" si="62"/>
        <v>799.88869904300827</v>
      </c>
      <c r="BI85" s="62">
        <f ca="1">AVERAGE(OFFSET($BH$3,0,0,'Données projet'!$E$11+1,1))-AVERAGE(OFFSET($H$3,0,0,'Données projet'!$E$11+1,1))</f>
        <v>406.24139966722936</v>
      </c>
      <c r="BJ85" s="62">
        <f t="shared" si="92"/>
        <v>295.95724296920577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3.8</v>
      </c>
      <c r="BY85" s="13">
        <f>IF('Données projet'!$A$114&gt;35,BY84+BX85-CG84,IF(A85&lt;'Données projet'!$A$114,$BV$205^A85,IF(A85='Données projet'!$A$114,'Données projet'!$B$114,BY84+BX85-CG84)))</f>
        <v>327.60000000000002</v>
      </c>
      <c r="BZ85" s="14">
        <f>BY85*VLOOKUP('Données projet'!$B$12,Paramètres!$A$1:$I$89,3,0)*VLOOKUP('Données projet'!$B$12,Paramètres!$A$1:$I$89,5,0)</f>
        <v>332.18640000000005</v>
      </c>
      <c r="CA85" s="14">
        <f t="shared" si="93"/>
        <v>77.88342931194974</v>
      </c>
      <c r="CB85" s="22">
        <f t="shared" si="64"/>
        <v>714.20495271831248</v>
      </c>
      <c r="CC85" s="62">
        <f t="shared" si="65"/>
        <v>1007.5382860516459</v>
      </c>
      <c r="CD85" s="62">
        <f ca="1">AVERAGE(OFFSET($CC$3,0,0,'Données projet'!$E$12+1,1))-AVERAGE(OFFSET($H$3,0,0,'Données projet'!$E$12+1,1))</f>
        <v>565.72091871734051</v>
      </c>
      <c r="CE85" s="62">
        <f t="shared" si="94"/>
        <v>306.61893266146666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5.6843418860808015E-14</v>
      </c>
      <c r="CU85" s="18">
        <f>CT85*VLOOKUP('Données projet'!$B$13,Paramètres!$A$1:$I$89,3,0)*VLOOKUP('Données projet'!$B$13,Paramètres!$A$1:$I$89,5,0)</f>
        <v>4.9658410716801891E-14</v>
      </c>
      <c r="CV85" s="14">
        <f t="shared" si="95"/>
        <v>8.0934058173791862E-13</v>
      </c>
      <c r="CW85" s="22">
        <f t="shared" si="67"/>
        <v>1.4960899118586383E-12</v>
      </c>
      <c r="CX85" s="62">
        <f t="shared" si="68"/>
        <v>293.33333333333479</v>
      </c>
      <c r="CY85" s="62">
        <f ca="1">AVERAGE(OFFSET($CX$3,0,0,'Données projet'!$E$13+1,1))-AVERAGE(OFFSET($H$3,0,0,'Données projet'!$E$13+1,1))</f>
        <v>333.56306908115238</v>
      </c>
      <c r="CZ85" s="62">
        <f t="shared" si="96"/>
        <v>523.65456887919618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4.5474735088646412E-13</v>
      </c>
      <c r="DP85" s="18">
        <f>DO85*VLOOKUP('Données projet'!$B$14,Paramètres!$A$1:$I$89,3,0)*VLOOKUP('Données projet'!$B$14,Paramètres!$A$1:$I$89,5,0)</f>
        <v>3.3342075766995548E-13</v>
      </c>
      <c r="DQ85" s="14">
        <f t="shared" si="97"/>
        <v>4.3537988100583648E-12</v>
      </c>
      <c r="DR85" s="22">
        <f t="shared" si="70"/>
        <v>8.1635740804601579E-12</v>
      </c>
      <c r="DS85" s="62">
        <f t="shared" si="71"/>
        <v>293.3333333333415</v>
      </c>
      <c r="DT85" s="62">
        <f ca="1">AVERAGE(OFFSET($DS$3,0,0,'Données projet'!$E$14+1,1))-AVERAGE(OFFSET($H$3,0,0,'Données projet'!$E$14+1,1))</f>
        <v>397.24714625007675</v>
      </c>
      <c r="DU85" s="62">
        <f t="shared" si="98"/>
        <v>431.75775520200608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9">
        <f t="shared" si="56"/>
        <v>256.66666666666669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3.8</v>
      </c>
      <c r="N86" s="14">
        <f>IF('Données projet'!$A$36&gt;35,N85+M86-V85,IF(A86&lt;'Données projet'!$A$36,$K$205^A86,IF(A86='Données projet'!$A$36,'Données projet'!$B$36,N85+M86-V85)))</f>
        <v>331.40000000000003</v>
      </c>
      <c r="O86" s="14">
        <f>N86*VLOOKUP('Données projet'!$B$9,Paramètres!$A$1:$I$89,3,0)*VLOOKUP('Données projet'!$B$9,Paramètres!$A$1:$I$89,5,0)</f>
        <v>299.85072000000002</v>
      </c>
      <c r="P86" s="14">
        <f t="shared" si="87"/>
        <v>71.145167747304328</v>
      </c>
      <c r="Q86" s="22">
        <f t="shared" si="54"/>
        <v>646.15117115988835</v>
      </c>
      <c r="R86" s="62">
        <f t="shared" si="55"/>
        <v>939.48450449322172</v>
      </c>
      <c r="S86" s="62">
        <f ca="1">AVERAGE(OFFSET($R$3,0,0,'Données projet'!$E$9+1,1))-AVERAGE(OFFSET($H$3,0,0,'Données projet'!$E$9+1,1))</f>
        <v>509.56241660612449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10.333333333333334</v>
      </c>
      <c r="AI86" s="14">
        <f>IF('Données projet'!$A$62&gt;35,AI85+AH86-AQ85,IF(A86&lt;'Données projet'!$A$62,$AF$205^A86,IF(A86='Données projet'!$A$62,'Données projet'!$B$62,AI85+AH86-AQ85)))</f>
        <v>634.66666666666652</v>
      </c>
      <c r="AJ86" s="14">
        <f>AI86*VLOOKUP('Données projet'!$B$10,Paramètres!$A$1:$I$89,3,0)*VLOOKUP('Données projet'!$B$10,Paramètres!$A$1:$I$89,5,0)</f>
        <v>544.54399999999987</v>
      </c>
      <c r="AK86" s="14">
        <f t="shared" si="89"/>
        <v>120.53434258320472</v>
      </c>
      <c r="AL86" s="22">
        <f t="shared" si="58"/>
        <v>1158.3447799990813</v>
      </c>
      <c r="AM86" s="62">
        <f t="shared" si="59"/>
        <v>1451.6781133324146</v>
      </c>
      <c r="AN86" s="62">
        <f ca="1">AVERAGE(OFFSET($AM$3,0,0,'Données projet'!$E$10+1,1))-AVERAGE(OFFSET($H$3,0,0,'Données projet'!$E$10+1,1))</f>
        <v>625.17723604265689</v>
      </c>
      <c r="AO86" s="62">
        <f t="shared" si="90"/>
        <v>462.33909258902241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4.2307692307692264</v>
      </c>
      <c r="BD86" s="13">
        <f>IF('Données projet'!$A$88&gt;35,BD85+BC86-BL85,IF(A86&lt;'Données projet'!$A$88,$BA$205^A86,IF(A86='Données projet'!$A$88,'Données projet'!$B$88,BD85+BC86-BL85)))</f>
        <v>249.87179487179478</v>
      </c>
      <c r="BE86" s="14">
        <f>BD86*VLOOKUP('Données projet'!$B$11,Paramètres!$A$1:$I$89,3,0)*VLOOKUP('Données projet'!$B$11,Paramètres!$A$1:$I$89,5,0)</f>
        <v>237.77799999999993</v>
      </c>
      <c r="BF86" s="14">
        <f t="shared" si="91"/>
        <v>57.961197863009076</v>
      </c>
      <c r="BG86" s="22">
        <f t="shared" si="61"/>
        <v>515.07910294474061</v>
      </c>
      <c r="BH86" s="62">
        <f t="shared" si="62"/>
        <v>808.41243627807398</v>
      </c>
      <c r="BI86" s="62">
        <f ca="1">AVERAGE(OFFSET($BH$3,0,0,'Données projet'!$E$11+1,1))-AVERAGE(OFFSET($H$3,0,0,'Données projet'!$E$11+1,1))</f>
        <v>406.24139966722936</v>
      </c>
      <c r="BJ86" s="62">
        <f t="shared" si="92"/>
        <v>295.95724296920577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3.8</v>
      </c>
      <c r="BY86" s="13">
        <f>IF('Données projet'!$A$114&gt;35,BY85+BX86-CG85,IF(A86&lt;'Données projet'!$A$114,$BV$205^A86,IF(A86='Données projet'!$A$114,'Données projet'!$B$114,BY85+BX86-CG85)))</f>
        <v>331.40000000000003</v>
      </c>
      <c r="BZ86" s="14">
        <f>BY86*VLOOKUP('Données projet'!$B$12,Paramètres!$A$1:$I$89,3,0)*VLOOKUP('Données projet'!$B$12,Paramètres!$A$1:$I$89,5,0)</f>
        <v>336.03960000000006</v>
      </c>
      <c r="CA86" s="14">
        <f t="shared" si="93"/>
        <v>78.681145577951611</v>
      </c>
      <c r="CB86" s="22">
        <f t="shared" si="64"/>
        <v>722.3052985482658</v>
      </c>
      <c r="CC86" s="62">
        <f t="shared" si="65"/>
        <v>1015.6386318815992</v>
      </c>
      <c r="CD86" s="62">
        <f ca="1">AVERAGE(OFFSET($CC$3,0,0,'Données projet'!$E$12+1,1))-AVERAGE(OFFSET($H$3,0,0,'Données projet'!$E$12+1,1))</f>
        <v>565.72091871734051</v>
      </c>
      <c r="CE86" s="62">
        <f t="shared" si="94"/>
        <v>306.61893266146666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5.6843418860808015E-14</v>
      </c>
      <c r="CU86" s="18">
        <f>CT86*VLOOKUP('Données projet'!$B$13,Paramètres!$A$1:$I$89,3,0)*VLOOKUP('Données projet'!$B$13,Paramètres!$A$1:$I$89,5,0)</f>
        <v>4.9658410716801891E-14</v>
      </c>
      <c r="CV86" s="14">
        <f t="shared" si="95"/>
        <v>8.0934058173791862E-13</v>
      </c>
      <c r="CW86" s="22">
        <f t="shared" si="67"/>
        <v>1.4960899118586383E-12</v>
      </c>
      <c r="CX86" s="62">
        <f t="shared" si="68"/>
        <v>293.33333333333479</v>
      </c>
      <c r="CY86" s="62">
        <f ca="1">AVERAGE(OFFSET($CX$3,0,0,'Données projet'!$E$13+1,1))-AVERAGE(OFFSET($H$3,0,0,'Données projet'!$E$13+1,1))</f>
        <v>333.56306908115238</v>
      </c>
      <c r="CZ86" s="62">
        <f t="shared" si="96"/>
        <v>523.65456887919618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4.5474735088646412E-13</v>
      </c>
      <c r="DP86" s="18">
        <f>DO86*VLOOKUP('Données projet'!$B$14,Paramètres!$A$1:$I$89,3,0)*VLOOKUP('Données projet'!$B$14,Paramètres!$A$1:$I$89,5,0)</f>
        <v>3.3342075766995548E-13</v>
      </c>
      <c r="DQ86" s="14">
        <f t="shared" si="97"/>
        <v>4.3537988100583648E-12</v>
      </c>
      <c r="DR86" s="22">
        <f t="shared" si="70"/>
        <v>8.1635740804601579E-12</v>
      </c>
      <c r="DS86" s="62">
        <f t="shared" si="71"/>
        <v>293.3333333333415</v>
      </c>
      <c r="DT86" s="62">
        <f ca="1">AVERAGE(OFFSET($DS$3,0,0,'Données projet'!$E$14+1,1))-AVERAGE(OFFSET($H$3,0,0,'Données projet'!$E$14+1,1))</f>
        <v>397.24714625007675</v>
      </c>
      <c r="DU86" s="62">
        <f t="shared" si="98"/>
        <v>431.75775520200608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9">
        <f t="shared" si="56"/>
        <v>256.66666666666669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3.8</v>
      </c>
      <c r="N87" s="14">
        <f>IF('Données projet'!$A$36&gt;35,N86+M87-V86,IF(A87&lt;'Données projet'!$A$36,$K$205^A87,IF(A87='Données projet'!$A$36,'Données projet'!$B$36,N86+M87-V86)))</f>
        <v>335.20000000000005</v>
      </c>
      <c r="O87" s="14">
        <f>N87*VLOOKUP('Données projet'!$B$9,Paramètres!$A$1:$I$89,3,0)*VLOOKUP('Données projet'!$B$9,Paramètres!$A$1:$I$89,5,0)</f>
        <v>303.28896000000003</v>
      </c>
      <c r="P87" s="14">
        <f t="shared" si="87"/>
        <v>71.865517670261696</v>
      </c>
      <c r="Q87" s="22">
        <f t="shared" si="54"/>
        <v>653.39404860903915</v>
      </c>
      <c r="R87" s="62">
        <f t="shared" si="55"/>
        <v>946.7273819423724</v>
      </c>
      <c r="S87" s="62">
        <f ca="1">AVERAGE(OFFSET($R$3,0,0,'Données projet'!$E$9+1,1))-AVERAGE(OFFSET($H$3,0,0,'Données projet'!$E$9+1,1))</f>
        <v>509.56241660612449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>
        <f>VLOOKUP(A87,'Données projet'!$A$61:$I$81,2,0)</f>
        <v>645</v>
      </c>
      <c r="AG87" s="13">
        <f>VLOOKUP(A87,'Données projet'!$A$61:$I$81,9,0)</f>
        <v>10.333333333333334</v>
      </c>
      <c r="AH87" s="13">
        <f t="array" ref="AH87">INDEX(AG:AG,MIN(IF(ISNUMBER(AG87:AG283),ROW(AG87:AG283),"")))</f>
        <v>10.333333333333334</v>
      </c>
      <c r="AI87" s="14">
        <f>IF('Données projet'!$A$62&gt;35,AI86+AH87-AQ86,IF(A87&lt;'Données projet'!$A$62,$AF$205^A87,IF(A87='Données projet'!$A$62,'Données projet'!$B$62,AI86+AH87-AQ86)))</f>
        <v>644.99999999999989</v>
      </c>
      <c r="AJ87" s="14">
        <f>AI87*VLOOKUP('Données projet'!$B$10,Paramètres!$A$1:$I$89,3,0)*VLOOKUP('Données projet'!$B$10,Paramètres!$A$1:$I$89,5,0)</f>
        <v>553.41</v>
      </c>
      <c r="AK87" s="14">
        <f t="shared" si="89"/>
        <v>122.26675787830555</v>
      </c>
      <c r="AL87" s="22">
        <f t="shared" si="58"/>
        <v>1176.8036866380487</v>
      </c>
      <c r="AM87" s="62">
        <f t="shared" si="59"/>
        <v>1470.137019971382</v>
      </c>
      <c r="AN87" s="62">
        <f ca="1">AVERAGE(OFFSET($AM$3,0,0,'Données projet'!$E$10+1,1))-AVERAGE(OFFSET($H$3,0,0,'Données projet'!$E$10+1,1))</f>
        <v>625.17723604265689</v>
      </c>
      <c r="AO87" s="62">
        <f t="shared" si="90"/>
        <v>462.33909258902241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4.2307692307692264</v>
      </c>
      <c r="BD87" s="13">
        <f>IF('Données projet'!$A$88&gt;35,BD86+BC87-BL86,IF(A87&lt;'Données projet'!$A$88,$BA$205^A87,IF(A87='Données projet'!$A$88,'Données projet'!$B$88,BD86+BC87-BL86)))</f>
        <v>254.102564102564</v>
      </c>
      <c r="BE87" s="14">
        <f>BD87*VLOOKUP('Données projet'!$B$11,Paramètres!$A$1:$I$89,3,0)*VLOOKUP('Données projet'!$B$11,Paramètres!$A$1:$I$89,5,0)</f>
        <v>241.80399999999992</v>
      </c>
      <c r="BF87" s="14">
        <f t="shared" si="91"/>
        <v>58.827500543950599</v>
      </c>
      <c r="BG87" s="22">
        <f t="shared" si="61"/>
        <v>523.59986344738036</v>
      </c>
      <c r="BH87" s="62">
        <f t="shared" si="62"/>
        <v>816.93319678071362</v>
      </c>
      <c r="BI87" s="62">
        <f ca="1">AVERAGE(OFFSET($BH$3,0,0,'Données projet'!$E$11+1,1))-AVERAGE(OFFSET($H$3,0,0,'Données projet'!$E$11+1,1))</f>
        <v>406.24139966722936</v>
      </c>
      <c r="BJ87" s="62">
        <f t="shared" si="92"/>
        <v>295.95724296920577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3.8</v>
      </c>
      <c r="BY87" s="13">
        <f>IF('Données projet'!$A$114&gt;35,BY86+BX87-CG86,IF(A87&lt;'Données projet'!$A$114,$BV$205^A87,IF(A87='Données projet'!$A$114,'Données projet'!$B$114,BY86+BX87-CG86)))</f>
        <v>335.20000000000005</v>
      </c>
      <c r="BZ87" s="14">
        <f>BY87*VLOOKUP('Données projet'!$B$12,Paramètres!$A$1:$I$89,3,0)*VLOOKUP('Données projet'!$B$12,Paramètres!$A$1:$I$89,5,0)</f>
        <v>339.89280000000002</v>
      </c>
      <c r="CA87" s="14">
        <f t="shared" si="93"/>
        <v>79.477797816605189</v>
      </c>
      <c r="CB87" s="22">
        <f t="shared" si="64"/>
        <v>730.40379119725401</v>
      </c>
      <c r="CC87" s="62">
        <f t="shared" si="65"/>
        <v>1023.7371245305874</v>
      </c>
      <c r="CD87" s="62">
        <f ca="1">AVERAGE(OFFSET($CC$3,0,0,'Données projet'!$E$12+1,1))-AVERAGE(OFFSET($H$3,0,0,'Données projet'!$E$12+1,1))</f>
        <v>565.72091871734051</v>
      </c>
      <c r="CE87" s="62">
        <f t="shared" si="94"/>
        <v>306.61893266146666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5.6843418860808015E-14</v>
      </c>
      <c r="CU87" s="18">
        <f>CT87*VLOOKUP('Données projet'!$B$13,Paramètres!$A$1:$I$89,3,0)*VLOOKUP('Données projet'!$B$13,Paramètres!$A$1:$I$89,5,0)</f>
        <v>4.9658410716801891E-14</v>
      </c>
      <c r="CV87" s="14">
        <f t="shared" si="95"/>
        <v>8.0934058173791862E-13</v>
      </c>
      <c r="CW87" s="22">
        <f t="shared" si="67"/>
        <v>1.4960899118586383E-12</v>
      </c>
      <c r="CX87" s="62">
        <f t="shared" si="68"/>
        <v>293.33333333333479</v>
      </c>
      <c r="CY87" s="62">
        <f ca="1">AVERAGE(OFFSET($CX$3,0,0,'Données projet'!$E$13+1,1))-AVERAGE(OFFSET($H$3,0,0,'Données projet'!$E$13+1,1))</f>
        <v>333.56306908115238</v>
      </c>
      <c r="CZ87" s="62">
        <f t="shared" si="96"/>
        <v>523.65456887919618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4.5474735088646412E-13</v>
      </c>
      <c r="DP87" s="18">
        <f>DO87*VLOOKUP('Données projet'!$B$14,Paramètres!$A$1:$I$89,3,0)*VLOOKUP('Données projet'!$B$14,Paramètres!$A$1:$I$89,5,0)</f>
        <v>3.3342075766995548E-13</v>
      </c>
      <c r="DQ87" s="14">
        <f t="shared" si="97"/>
        <v>4.3537988100583648E-12</v>
      </c>
      <c r="DR87" s="22">
        <f t="shared" si="70"/>
        <v>8.1635740804601579E-12</v>
      </c>
      <c r="DS87" s="62">
        <f t="shared" si="71"/>
        <v>293.3333333333415</v>
      </c>
      <c r="DT87" s="62">
        <f ca="1">AVERAGE(OFFSET($DS$3,0,0,'Données projet'!$E$14+1,1))-AVERAGE(OFFSET($H$3,0,0,'Données projet'!$E$14+1,1))</f>
        <v>397.24714625007675</v>
      </c>
      <c r="DU87" s="62">
        <f t="shared" si="98"/>
        <v>431.75775520200608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9">
        <f t="shared" si="56"/>
        <v>256.66666666666669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3.8</v>
      </c>
      <c r="N88" s="14">
        <f>IF('Données projet'!$A$36&gt;35,N87+M88-V87,IF(A88&lt;'Données projet'!$A$36,$K$205^A88,IF(A88='Données projet'!$A$36,'Données projet'!$B$36,N87+M88-V87)))</f>
        <v>339.00000000000006</v>
      </c>
      <c r="O88" s="14">
        <f>N88*VLOOKUP('Données projet'!$B$9,Paramètres!$A$1:$I$89,3,0)*VLOOKUP('Données projet'!$B$9,Paramètres!$A$1:$I$89,5,0)</f>
        <v>306.72720000000004</v>
      </c>
      <c r="P88" s="14">
        <f t="shared" si="87"/>
        <v>72.584917646145641</v>
      </c>
      <c r="Q88" s="22">
        <f t="shared" si="54"/>
        <v>660.63527156703708</v>
      </c>
      <c r="R88" s="62">
        <f t="shared" si="55"/>
        <v>953.96860490037034</v>
      </c>
      <c r="S88" s="62">
        <f ca="1">AVERAGE(OFFSET($R$3,0,0,'Données projet'!$E$9+1,1))-AVERAGE(OFFSET($H$3,0,0,'Données projet'!$E$9+1,1))</f>
        <v>509.56241660612449</v>
      </c>
      <c r="T88" s="62">
        <f t="shared" si="88"/>
        <v>278.21741231699929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10</v>
      </c>
      <c r="AI88" s="14">
        <f>IF('Données projet'!$A$62&gt;35,AI87+AH88-AQ87,IF(A88&lt;'Données projet'!$A$62,$AF$205^A88,IF(A88='Données projet'!$A$62,'Données projet'!$B$62,AI87+AH88-AQ87)))</f>
        <v>654.99999999999989</v>
      </c>
      <c r="AJ88" s="14">
        <f>AI88*VLOOKUP('Données projet'!$B$10,Paramètres!$A$1:$I$89,3,0)*VLOOKUP('Données projet'!$B$10,Paramètres!$A$1:$I$89,5,0)</f>
        <v>561.9899999999999</v>
      </c>
      <c r="AK88" s="14">
        <f t="shared" si="89"/>
        <v>123.94021497068263</v>
      </c>
      <c r="AL88" s="22">
        <f t="shared" si="58"/>
        <v>1194.6617910739387</v>
      </c>
      <c r="AM88" s="62">
        <f t="shared" si="59"/>
        <v>1487.995124407272</v>
      </c>
      <c r="AN88" s="62">
        <f ca="1">AVERAGE(OFFSET($AM$3,0,0,'Données projet'!$E$10+1,1))-AVERAGE(OFFSET($H$3,0,0,'Données projet'!$E$10+1,1))</f>
        <v>625.17723604265689</v>
      </c>
      <c r="AO88" s="62">
        <f t="shared" si="90"/>
        <v>462.33909258902241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258.33333333333331</v>
      </c>
      <c r="BB88" s="13">
        <f>VLOOKUP(A88,'Données projet'!$A$87:$I$107,9,0)</f>
        <v>4.2307692307692264</v>
      </c>
      <c r="BC88" s="13">
        <f t="array" ref="BC88">INDEX(BB:BB,MIN(IF(ISNUMBER(BB88:BB284),ROW(BB88:BB284),"")))</f>
        <v>4.2307692307692264</v>
      </c>
      <c r="BD88" s="13">
        <f>IF('Données projet'!$A$88&gt;35,BD87+BC88-BL87,IF(A88&lt;'Données projet'!$A$88,$BA$205^A88,IF(A88='Données projet'!$A$88,'Données projet'!$B$88,BD87+BC88-BL87)))</f>
        <v>258.33333333333326</v>
      </c>
      <c r="BE88" s="14">
        <f>BD88*VLOOKUP('Données projet'!$B$11,Paramètres!$A$1:$I$89,3,0)*VLOOKUP('Données projet'!$B$11,Paramètres!$A$1:$I$89,5,0)</f>
        <v>245.82999999999993</v>
      </c>
      <c r="BF88" s="14">
        <f t="shared" si="91"/>
        <v>59.692125837514034</v>
      </c>
      <c r="BG88" s="22">
        <f t="shared" si="61"/>
        <v>532.1177025003368</v>
      </c>
      <c r="BH88" s="62">
        <f t="shared" si="62"/>
        <v>825.45103583367018</v>
      </c>
      <c r="BI88" s="62">
        <f ca="1">AVERAGE(OFFSET($BH$3,0,0,'Données projet'!$E$11+1,1))-AVERAGE(OFFSET($H$3,0,0,'Données projet'!$E$11+1,1))</f>
        <v>406.24139966722936</v>
      </c>
      <c r="BJ88" s="62">
        <f t="shared" si="92"/>
        <v>295.95724296920577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28.846153846153847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3.8</v>
      </c>
      <c r="BY88" s="13">
        <f>IF('Données projet'!$A$114&gt;35,BY87+BX88-CG87,IF(A88&lt;'Données projet'!$A$114,$BV$205^A88,IF(A88='Données projet'!$A$114,'Données projet'!$B$114,BY87+BX88-CG87)))</f>
        <v>339.00000000000006</v>
      </c>
      <c r="BZ88" s="14">
        <f>BY88*VLOOKUP('Données projet'!$B$12,Paramètres!$A$1:$I$89,3,0)*VLOOKUP('Données projet'!$B$12,Paramètres!$A$1:$I$89,5,0)</f>
        <v>343.74600000000009</v>
      </c>
      <c r="CA88" s="14">
        <f t="shared" si="93"/>
        <v>80.273399486030513</v>
      </c>
      <c r="CB88" s="22">
        <f t="shared" si="64"/>
        <v>738.50045410483654</v>
      </c>
      <c r="CC88" s="62">
        <f t="shared" si="65"/>
        <v>1031.8337874381698</v>
      </c>
      <c r="CD88" s="62">
        <f ca="1">AVERAGE(OFFSET($CC$3,0,0,'Données projet'!$E$12+1,1))-AVERAGE(OFFSET($H$3,0,0,'Données projet'!$E$12+1,1))</f>
        <v>565.72091871734051</v>
      </c>
      <c r="CE88" s="62">
        <f t="shared" si="94"/>
        <v>306.61893266146666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5.6843418860808015E-14</v>
      </c>
      <c r="CU88" s="18">
        <f>CT88*VLOOKUP('Données projet'!$B$13,Paramètres!$A$1:$I$89,3,0)*VLOOKUP('Données projet'!$B$13,Paramètres!$A$1:$I$89,5,0)</f>
        <v>4.9658410716801891E-14</v>
      </c>
      <c r="CV88" s="14">
        <f t="shared" si="95"/>
        <v>8.0934058173791862E-13</v>
      </c>
      <c r="CW88" s="22">
        <f t="shared" si="67"/>
        <v>1.4960899118586383E-12</v>
      </c>
      <c r="CX88" s="62">
        <f t="shared" si="68"/>
        <v>293.33333333333479</v>
      </c>
      <c r="CY88" s="62">
        <f ca="1">AVERAGE(OFFSET($CX$3,0,0,'Données projet'!$E$13+1,1))-AVERAGE(OFFSET($H$3,0,0,'Données projet'!$E$13+1,1))</f>
        <v>333.56306908115238</v>
      </c>
      <c r="CZ88" s="62">
        <f t="shared" si="96"/>
        <v>523.65456887919618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4.5474735088646412E-13</v>
      </c>
      <c r="DP88" s="18">
        <f>DO88*VLOOKUP('Données projet'!$B$14,Paramètres!$A$1:$I$89,3,0)*VLOOKUP('Données projet'!$B$14,Paramètres!$A$1:$I$89,5,0)</f>
        <v>3.3342075766995548E-13</v>
      </c>
      <c r="DQ88" s="14">
        <f t="shared" si="97"/>
        <v>4.3537988100583648E-12</v>
      </c>
      <c r="DR88" s="22">
        <f t="shared" si="70"/>
        <v>8.1635740804601579E-12</v>
      </c>
      <c r="DS88" s="62">
        <f t="shared" si="71"/>
        <v>293.3333333333415</v>
      </c>
      <c r="DT88" s="62">
        <f ca="1">AVERAGE(OFFSET($DS$3,0,0,'Données projet'!$E$14+1,1))-AVERAGE(OFFSET($H$3,0,0,'Données projet'!$E$14+1,1))</f>
        <v>397.24714625007675</v>
      </c>
      <c r="DU88" s="62">
        <f t="shared" si="98"/>
        <v>431.75775520200608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9">
        <f t="shared" si="56"/>
        <v>256.66666666666669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3.8</v>
      </c>
      <c r="N89" s="14">
        <f>IF('Données projet'!$A$36&gt;35,N88+M89-V88,IF(A89&lt;'Données projet'!$A$36,$K$205^A89,IF(A89='Données projet'!$A$36,'Données projet'!$B$36,N88+M89-V88)))</f>
        <v>342.80000000000007</v>
      </c>
      <c r="O89" s="14">
        <f>N89*VLOOKUP('Données projet'!$B$9,Paramètres!$A$1:$I$89,3,0)*VLOOKUP('Données projet'!$B$9,Paramètres!$A$1:$I$89,5,0)</f>
        <v>310.16544000000005</v>
      </c>
      <c r="P89" s="14">
        <f t="shared" si="87"/>
        <v>73.303379555549114</v>
      </c>
      <c r="Q89" s="22">
        <f t="shared" si="54"/>
        <v>667.87486072591469</v>
      </c>
      <c r="R89" s="62">
        <f t="shared" si="55"/>
        <v>961.20819405924794</v>
      </c>
      <c r="S89" s="62">
        <f ca="1">AVERAGE(OFFSET($R$3,0,0,'Données projet'!$E$9+1,1))-AVERAGE(OFFSET($H$3,0,0,'Données projet'!$E$9+1,1))</f>
        <v>509.56241660612449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10</v>
      </c>
      <c r="AI89" s="14">
        <f>IF('Données projet'!$A$62&gt;35,AI88+AH89-AQ88,IF(A89&lt;'Données projet'!$A$62,$AF$205^A89,IF(A89='Données projet'!$A$62,'Données projet'!$B$62,AI88+AH89-AQ88)))</f>
        <v>664.99999999999989</v>
      </c>
      <c r="AJ89" s="14">
        <f>AI89*VLOOKUP('Données projet'!$B$10,Paramètres!$A$1:$I$89,3,0)*VLOOKUP('Données projet'!$B$10,Paramètres!$A$1:$I$89,5,0)</f>
        <v>570.56999999999994</v>
      </c>
      <c r="AK89" s="14">
        <f t="shared" si="89"/>
        <v>125.61070068258273</v>
      </c>
      <c r="AL89" s="22">
        <f t="shared" si="58"/>
        <v>1212.5147203554982</v>
      </c>
      <c r="AM89" s="62">
        <f t="shared" si="59"/>
        <v>1505.8480536888314</v>
      </c>
      <c r="AN89" s="62">
        <f ca="1">AVERAGE(OFFSET($AM$3,0,0,'Données projet'!$E$10+1,1))-AVERAGE(OFFSET($H$3,0,0,'Données projet'!$E$10+1,1))</f>
        <v>625.17723604265689</v>
      </c>
      <c r="AO89" s="62">
        <f t="shared" si="90"/>
        <v>462.33909258902241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3.8461538461538454</v>
      </c>
      <c r="BD89" s="13">
        <f>IF('Données projet'!$A$88&gt;35,BD88+BC89-BL88,IF(A89&lt;'Données projet'!$A$88,$BA$205^A89,IF(A89='Données projet'!$A$88,'Données projet'!$B$88,BD88+BC89-BL88)))</f>
        <v>233.33333333333329</v>
      </c>
      <c r="BE89" s="14">
        <f>BD89*VLOOKUP('Données projet'!$B$11,Paramètres!$A$1:$I$89,3,0)*VLOOKUP('Données projet'!$B$11,Paramètres!$A$1:$I$89,5,0)</f>
        <v>222.04</v>
      </c>
      <c r="BF89" s="14">
        <f t="shared" si="91"/>
        <v>54.558031180803546</v>
      </c>
      <c r="BG89" s="22">
        <f t="shared" si="61"/>
        <v>481.74157097323285</v>
      </c>
      <c r="BH89" s="62">
        <f t="shared" si="62"/>
        <v>775.07490430656617</v>
      </c>
      <c r="BI89" s="62">
        <f ca="1">AVERAGE(OFFSET($BH$3,0,0,'Données projet'!$E$11+1,1))-AVERAGE(OFFSET($H$3,0,0,'Données projet'!$E$11+1,1))</f>
        <v>406.24139966722936</v>
      </c>
      <c r="BJ89" s="62">
        <f t="shared" si="92"/>
        <v>295.95724296920577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3.8</v>
      </c>
      <c r="BY89" s="13">
        <f>IF('Données projet'!$A$114&gt;35,BY88+BX89-CG88,IF(A89&lt;'Données projet'!$A$114,$BV$205^A89,IF(A89='Données projet'!$A$114,'Données projet'!$B$114,BY88+BX89-CG88)))</f>
        <v>342.80000000000007</v>
      </c>
      <c r="BZ89" s="14">
        <f>BY89*VLOOKUP('Données projet'!$B$12,Paramètres!$A$1:$I$89,3,0)*VLOOKUP('Données projet'!$B$12,Paramètres!$A$1:$I$89,5,0)</f>
        <v>347.59920000000011</v>
      </c>
      <c r="CA89" s="14">
        <f t="shared" si="93"/>
        <v>81.067963725259943</v>
      </c>
      <c r="CB89" s="22">
        <f t="shared" si="64"/>
        <v>746.59531015482787</v>
      </c>
      <c r="CC89" s="62">
        <f t="shared" si="65"/>
        <v>1039.9286434881612</v>
      </c>
      <c r="CD89" s="62">
        <f ca="1">AVERAGE(OFFSET($CC$3,0,0,'Données projet'!$E$12+1,1))-AVERAGE(OFFSET($H$3,0,0,'Données projet'!$E$12+1,1))</f>
        <v>565.72091871734051</v>
      </c>
      <c r="CE89" s="62">
        <f t="shared" si="94"/>
        <v>306.61893266146666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5.6843418860808015E-14</v>
      </c>
      <c r="CU89" s="18">
        <f>CT89*VLOOKUP('Données projet'!$B$13,Paramètres!$A$1:$I$89,3,0)*VLOOKUP('Données projet'!$B$13,Paramètres!$A$1:$I$89,5,0)</f>
        <v>4.9658410716801891E-14</v>
      </c>
      <c r="CV89" s="14">
        <f t="shared" si="95"/>
        <v>8.0934058173791862E-13</v>
      </c>
      <c r="CW89" s="22">
        <f t="shared" si="67"/>
        <v>1.4960899118586383E-12</v>
      </c>
      <c r="CX89" s="62">
        <f t="shared" si="68"/>
        <v>293.33333333333479</v>
      </c>
      <c r="CY89" s="62">
        <f ca="1">AVERAGE(OFFSET($CX$3,0,0,'Données projet'!$E$13+1,1))-AVERAGE(OFFSET($H$3,0,0,'Données projet'!$E$13+1,1))</f>
        <v>333.56306908115238</v>
      </c>
      <c r="CZ89" s="62">
        <f t="shared" si="96"/>
        <v>523.65456887919618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4.5474735088646412E-13</v>
      </c>
      <c r="DP89" s="18">
        <f>DO89*VLOOKUP('Données projet'!$B$14,Paramètres!$A$1:$I$89,3,0)*VLOOKUP('Données projet'!$B$14,Paramètres!$A$1:$I$89,5,0)</f>
        <v>3.3342075766995548E-13</v>
      </c>
      <c r="DQ89" s="14">
        <f t="shared" si="97"/>
        <v>4.3537988100583648E-12</v>
      </c>
      <c r="DR89" s="22">
        <f t="shared" si="70"/>
        <v>8.1635740804601579E-12</v>
      </c>
      <c r="DS89" s="62">
        <f t="shared" si="71"/>
        <v>293.3333333333415</v>
      </c>
      <c r="DT89" s="62">
        <f ca="1">AVERAGE(OFFSET($DS$3,0,0,'Données projet'!$E$14+1,1))-AVERAGE(OFFSET($H$3,0,0,'Données projet'!$E$14+1,1))</f>
        <v>397.24714625007675</v>
      </c>
      <c r="DU89" s="62">
        <f t="shared" si="98"/>
        <v>431.75775520200608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9">
        <f t="shared" si="56"/>
        <v>256.66666666666669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3.8</v>
      </c>
      <c r="N90" s="14">
        <f>IF('Données projet'!$A$36&gt;35,N89+M90-V89,IF(A90&lt;'Données projet'!$A$36,$K$205^A90,IF(A90='Données projet'!$A$36,'Données projet'!$B$36,N89+M90-V89)))</f>
        <v>346.60000000000008</v>
      </c>
      <c r="O90" s="14">
        <f>N90*VLOOKUP('Données projet'!$B$9,Paramètres!$A$1:$I$89,3,0)*VLOOKUP('Données projet'!$B$9,Paramètres!$A$1:$I$89,5,0)</f>
        <v>313.60368000000005</v>
      </c>
      <c r="P90" s="14">
        <f t="shared" si="87"/>
        <v>74.020915000501219</v>
      </c>
      <c r="Q90" s="22">
        <f t="shared" si="54"/>
        <v>675.11283629253967</v>
      </c>
      <c r="R90" s="62">
        <f t="shared" si="55"/>
        <v>968.44616962587293</v>
      </c>
      <c r="S90" s="62">
        <f ca="1">AVERAGE(OFFSET($R$3,0,0,'Données projet'!$E$9+1,1))-AVERAGE(OFFSET($H$3,0,0,'Données projet'!$E$9+1,1))</f>
        <v>509.56241660612449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10</v>
      </c>
      <c r="AI90" s="14">
        <f>IF('Données projet'!$A$62&gt;35,AI89+AH90-AQ89,IF(A90&lt;'Données projet'!$A$62,$AF$205^A90,IF(A90='Données projet'!$A$62,'Données projet'!$B$62,AI89+AH90-AQ89)))</f>
        <v>674.99999999999989</v>
      </c>
      <c r="AJ90" s="14">
        <f>AI90*VLOOKUP('Données projet'!$B$10,Paramètres!$A$1:$I$89,3,0)*VLOOKUP('Données projet'!$B$10,Paramètres!$A$1:$I$89,5,0)</f>
        <v>579.15</v>
      </c>
      <c r="AK90" s="14">
        <f t="shared" si="89"/>
        <v>127.27826485760271</v>
      </c>
      <c r="AL90" s="22">
        <f t="shared" si="58"/>
        <v>1230.362561293658</v>
      </c>
      <c r="AM90" s="62">
        <f t="shared" si="59"/>
        <v>1523.6958946269913</v>
      </c>
      <c r="AN90" s="62">
        <f ca="1">AVERAGE(OFFSET($AM$3,0,0,'Données projet'!$E$10+1,1))-AVERAGE(OFFSET($H$3,0,0,'Données projet'!$E$10+1,1))</f>
        <v>625.17723604265689</v>
      </c>
      <c r="AO90" s="62">
        <f t="shared" si="90"/>
        <v>462.33909258902241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3.8461538461538454</v>
      </c>
      <c r="BD90" s="13">
        <f>IF('Données projet'!$A$88&gt;35,BD89+BC90-BL89,IF(A90&lt;'Données projet'!$A$88,$BA$205^A90,IF(A90='Données projet'!$A$88,'Données projet'!$B$88,BD89+BC90-BL89)))</f>
        <v>237.17948717948713</v>
      </c>
      <c r="BE90" s="14">
        <f>BD90*VLOOKUP('Données projet'!$B$11,Paramètres!$A$1:$I$89,3,0)*VLOOKUP('Données projet'!$B$11,Paramètres!$A$1:$I$89,5,0)</f>
        <v>225.69999999999996</v>
      </c>
      <c r="BF90" s="14">
        <f t="shared" si="91"/>
        <v>55.351902227970015</v>
      </c>
      <c r="BG90" s="22">
        <f t="shared" si="61"/>
        <v>489.49872971371445</v>
      </c>
      <c r="BH90" s="62">
        <f t="shared" si="62"/>
        <v>782.83206304704777</v>
      </c>
      <c r="BI90" s="62">
        <f ca="1">AVERAGE(OFFSET($BH$3,0,0,'Données projet'!$E$11+1,1))-AVERAGE(OFFSET($H$3,0,0,'Données projet'!$E$11+1,1))</f>
        <v>406.24139966722936</v>
      </c>
      <c r="BJ90" s="62">
        <f t="shared" si="92"/>
        <v>295.95724296920577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3.8</v>
      </c>
      <c r="BY90" s="13">
        <f>IF('Données projet'!$A$114&gt;35,BY89+BX90-CG89,IF(A90&lt;'Données projet'!$A$114,$BV$205^A90,IF(A90='Données projet'!$A$114,'Données projet'!$B$114,BY89+BX90-CG89)))</f>
        <v>346.60000000000008</v>
      </c>
      <c r="BZ90" s="14">
        <f>BY90*VLOOKUP('Données projet'!$B$12,Paramètres!$A$1:$I$89,3,0)*VLOOKUP('Données projet'!$B$12,Paramètres!$A$1:$I$89,5,0)</f>
        <v>351.45240000000007</v>
      </c>
      <c r="CA90" s="14">
        <f t="shared" si="93"/>
        <v>81.861503365255544</v>
      </c>
      <c r="CB90" s="22">
        <f t="shared" si="64"/>
        <v>754.68838169448679</v>
      </c>
      <c r="CC90" s="62">
        <f t="shared" si="65"/>
        <v>1048.0217150278202</v>
      </c>
      <c r="CD90" s="62">
        <f ca="1">AVERAGE(OFFSET($CC$3,0,0,'Données projet'!$E$12+1,1))-AVERAGE(OFFSET($H$3,0,0,'Données projet'!$E$12+1,1))</f>
        <v>565.72091871734051</v>
      </c>
      <c r="CE90" s="62">
        <f t="shared" si="94"/>
        <v>306.61893266146666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5.6843418860808015E-14</v>
      </c>
      <c r="CU90" s="18">
        <f>CT90*VLOOKUP('Données projet'!$B$13,Paramètres!$A$1:$I$89,3,0)*VLOOKUP('Données projet'!$B$13,Paramètres!$A$1:$I$89,5,0)</f>
        <v>4.9658410716801891E-14</v>
      </c>
      <c r="CV90" s="14">
        <f t="shared" si="95"/>
        <v>8.0934058173791862E-13</v>
      </c>
      <c r="CW90" s="22">
        <f t="shared" si="67"/>
        <v>1.4960899118586383E-12</v>
      </c>
      <c r="CX90" s="62">
        <f t="shared" si="68"/>
        <v>293.33333333333479</v>
      </c>
      <c r="CY90" s="62">
        <f ca="1">AVERAGE(OFFSET($CX$3,0,0,'Données projet'!$E$13+1,1))-AVERAGE(OFFSET($H$3,0,0,'Données projet'!$E$13+1,1))</f>
        <v>333.56306908115238</v>
      </c>
      <c r="CZ90" s="62">
        <f t="shared" si="96"/>
        <v>523.65456887919618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4.5474735088646412E-13</v>
      </c>
      <c r="DP90" s="18">
        <f>DO90*VLOOKUP('Données projet'!$B$14,Paramètres!$A$1:$I$89,3,0)*VLOOKUP('Données projet'!$B$14,Paramètres!$A$1:$I$89,5,0)</f>
        <v>3.3342075766995548E-13</v>
      </c>
      <c r="DQ90" s="14">
        <f t="shared" si="97"/>
        <v>4.3537988100583648E-12</v>
      </c>
      <c r="DR90" s="22">
        <f t="shared" si="70"/>
        <v>8.1635740804601579E-12</v>
      </c>
      <c r="DS90" s="62">
        <f t="shared" si="71"/>
        <v>293.3333333333415</v>
      </c>
      <c r="DT90" s="62">
        <f ca="1">AVERAGE(OFFSET($DS$3,0,0,'Données projet'!$E$14+1,1))-AVERAGE(OFFSET($H$3,0,0,'Données projet'!$E$14+1,1))</f>
        <v>397.24714625007675</v>
      </c>
      <c r="DU90" s="62">
        <f t="shared" si="98"/>
        <v>431.75775520200608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9">
        <f t="shared" si="56"/>
        <v>256.66666666666669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3.8</v>
      </c>
      <c r="N91" s="14">
        <f>IF('Données projet'!$A$36&gt;35,N90+M91-V90,IF(A91&lt;'Données projet'!$A$36,$K$205^A91,IF(A91='Données projet'!$A$36,'Données projet'!$B$36,N90+M91-V90)))</f>
        <v>350.40000000000009</v>
      </c>
      <c r="O91" s="14">
        <f>N91*VLOOKUP('Données projet'!$B$9,Paramètres!$A$1:$I$89,3,0)*VLOOKUP('Données projet'!$B$9,Paramètres!$A$1:$I$89,5,0)</f>
        <v>317.04192000000006</v>
      </c>
      <c r="P91" s="14">
        <f t="shared" si="87"/>
        <v>74.73753531397945</v>
      </c>
      <c r="Q91" s="22">
        <f t="shared" si="54"/>
        <v>682.34921800518089</v>
      </c>
      <c r="R91" s="62">
        <f t="shared" si="55"/>
        <v>975.68255133851426</v>
      </c>
      <c r="S91" s="62">
        <f ca="1">AVERAGE(OFFSET($R$3,0,0,'Données projet'!$E$9+1,1))-AVERAGE(OFFSET($H$3,0,0,'Données projet'!$E$9+1,1))</f>
        <v>509.56241660612449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10</v>
      </c>
      <c r="AI91" s="14">
        <f>IF('Données projet'!$A$62&gt;35,AI90+AH91-AQ90,IF(A91&lt;'Données projet'!$A$62,$AF$205^A91,IF(A91='Données projet'!$A$62,'Données projet'!$B$62,AI90+AH91-AQ90)))</f>
        <v>684.99999999999989</v>
      </c>
      <c r="AJ91" s="14">
        <f>AI91*VLOOKUP('Données projet'!$B$10,Paramètres!$A$1:$I$89,3,0)*VLOOKUP('Données projet'!$B$10,Paramètres!$A$1:$I$89,5,0)</f>
        <v>587.7299999999999</v>
      </c>
      <c r="AK91" s="14">
        <f t="shared" si="89"/>
        <v>128.94295577771558</v>
      </c>
      <c r="AL91" s="22">
        <f t="shared" si="58"/>
        <v>1248.205397979521</v>
      </c>
      <c r="AM91" s="62">
        <f t="shared" si="59"/>
        <v>1541.5387313128542</v>
      </c>
      <c r="AN91" s="62">
        <f ca="1">AVERAGE(OFFSET($AM$3,0,0,'Données projet'!$E$10+1,1))-AVERAGE(OFFSET($H$3,0,0,'Données projet'!$E$10+1,1))</f>
        <v>625.17723604265689</v>
      </c>
      <c r="AO91" s="62">
        <f t="shared" si="90"/>
        <v>462.33909258902241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3.8461538461538454</v>
      </c>
      <c r="BD91" s="13">
        <f>IF('Données projet'!$A$88&gt;35,BD90+BC91-BL90,IF(A91&lt;'Données projet'!$A$88,$BA$205^A91,IF(A91='Données projet'!$A$88,'Données projet'!$B$88,BD90+BC91-BL90)))</f>
        <v>241.02564102564097</v>
      </c>
      <c r="BE91" s="14">
        <f>BD91*VLOOKUP('Données projet'!$B$11,Paramètres!$A$1:$I$89,3,0)*VLOOKUP('Données projet'!$B$11,Paramètres!$A$1:$I$89,5,0)</f>
        <v>229.35999999999996</v>
      </c>
      <c r="BF91" s="14">
        <f t="shared" si="91"/>
        <v>56.144276133877753</v>
      </c>
      <c r="BG91" s="22">
        <f t="shared" si="61"/>
        <v>497.25328093317034</v>
      </c>
      <c r="BH91" s="62">
        <f t="shared" si="62"/>
        <v>790.5866142665036</v>
      </c>
      <c r="BI91" s="62">
        <f ca="1">AVERAGE(OFFSET($BH$3,0,0,'Données projet'!$E$11+1,1))-AVERAGE(OFFSET($H$3,0,0,'Données projet'!$E$11+1,1))</f>
        <v>406.24139966722936</v>
      </c>
      <c r="BJ91" s="62">
        <f t="shared" si="92"/>
        <v>295.95724296920577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3.8</v>
      </c>
      <c r="BY91" s="13">
        <f>IF('Données projet'!$A$114&gt;35,BY90+BX91-CG90,IF(A91&lt;'Données projet'!$A$114,$BV$205^A91,IF(A91='Données projet'!$A$114,'Données projet'!$B$114,BY90+BX91-CG90)))</f>
        <v>350.40000000000009</v>
      </c>
      <c r="BZ91" s="14">
        <f>BY91*VLOOKUP('Données projet'!$B$12,Paramètres!$A$1:$I$89,3,0)*VLOOKUP('Données projet'!$B$12,Paramètres!$A$1:$I$89,5,0)</f>
        <v>355.30560000000014</v>
      </c>
      <c r="CA91" s="14">
        <f t="shared" si="93"/>
        <v>82.654030939428409</v>
      </c>
      <c r="CB91" s="22">
        <f t="shared" si="64"/>
        <v>762.77969055283802</v>
      </c>
      <c r="CC91" s="62">
        <f t="shared" si="65"/>
        <v>1056.1130238861713</v>
      </c>
      <c r="CD91" s="62">
        <f ca="1">AVERAGE(OFFSET($CC$3,0,0,'Données projet'!$E$12+1,1))-AVERAGE(OFFSET($H$3,0,0,'Données projet'!$E$12+1,1))</f>
        <v>565.72091871734051</v>
      </c>
      <c r="CE91" s="62">
        <f t="shared" si="94"/>
        <v>306.61893266146666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5.6843418860808015E-14</v>
      </c>
      <c r="CU91" s="18">
        <f>CT91*VLOOKUP('Données projet'!$B$13,Paramètres!$A$1:$I$89,3,0)*VLOOKUP('Données projet'!$B$13,Paramètres!$A$1:$I$89,5,0)</f>
        <v>4.9658410716801891E-14</v>
      </c>
      <c r="CV91" s="14">
        <f t="shared" si="95"/>
        <v>8.0934058173791862E-13</v>
      </c>
      <c r="CW91" s="22">
        <f t="shared" si="67"/>
        <v>1.4960899118586383E-12</v>
      </c>
      <c r="CX91" s="62">
        <f t="shared" si="68"/>
        <v>293.33333333333479</v>
      </c>
      <c r="CY91" s="62">
        <f ca="1">AVERAGE(OFFSET($CX$3,0,0,'Données projet'!$E$13+1,1))-AVERAGE(OFFSET($H$3,0,0,'Données projet'!$E$13+1,1))</f>
        <v>333.56306908115238</v>
      </c>
      <c r="CZ91" s="62">
        <f t="shared" si="96"/>
        <v>523.65456887919618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4.5474735088646412E-13</v>
      </c>
      <c r="DP91" s="18">
        <f>DO91*VLOOKUP('Données projet'!$B$14,Paramètres!$A$1:$I$89,3,0)*VLOOKUP('Données projet'!$B$14,Paramètres!$A$1:$I$89,5,0)</f>
        <v>3.3342075766995548E-13</v>
      </c>
      <c r="DQ91" s="14">
        <f t="shared" si="97"/>
        <v>4.3537988100583648E-12</v>
      </c>
      <c r="DR91" s="22">
        <f t="shared" si="70"/>
        <v>8.1635740804601579E-12</v>
      </c>
      <c r="DS91" s="62">
        <f t="shared" si="71"/>
        <v>293.3333333333415</v>
      </c>
      <c r="DT91" s="62">
        <f ca="1">AVERAGE(OFFSET($DS$3,0,0,'Données projet'!$E$14+1,1))-AVERAGE(OFFSET($H$3,0,0,'Données projet'!$E$14+1,1))</f>
        <v>397.24714625007675</v>
      </c>
      <c r="DU91" s="62">
        <f t="shared" si="98"/>
        <v>431.75775520200608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9">
        <f t="shared" si="56"/>
        <v>256.66666666666669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3.8</v>
      </c>
      <c r="N92" s="14">
        <f>IF('Données projet'!$A$36&gt;35,N91+M92-V91,IF(A92&lt;'Données projet'!$A$36,$K$205^A92,IF(A92='Données projet'!$A$36,'Données projet'!$B$36,N91+M92-V91)))</f>
        <v>354.2000000000001</v>
      </c>
      <c r="O92" s="14">
        <f>N92*VLOOKUP('Données projet'!$B$9,Paramètres!$A$1:$I$89,3,0)*VLOOKUP('Données projet'!$B$9,Paramètres!$A$1:$I$89,5,0)</f>
        <v>320.48016000000007</v>
      </c>
      <c r="P92" s="14">
        <f t="shared" si="87"/>
        <v>75.453251568997672</v>
      </c>
      <c r="Q92" s="22">
        <f t="shared" si="54"/>
        <v>689.58402514933766</v>
      </c>
      <c r="R92" s="62">
        <f t="shared" si="55"/>
        <v>982.91735848267103</v>
      </c>
      <c r="S92" s="62">
        <f ca="1">AVERAGE(OFFSET($R$3,0,0,'Données projet'!$E$9+1,1))-AVERAGE(OFFSET($H$3,0,0,'Données projet'!$E$9+1,1))</f>
        <v>509.56241660612449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10</v>
      </c>
      <c r="AI92" s="14">
        <f>IF('Données projet'!$A$62&gt;35,AI91+AH92-AQ91,IF(A92&lt;'Données projet'!$A$62,$AF$205^A92,IF(A92='Données projet'!$A$62,'Données projet'!$B$62,AI91+AH92-AQ91)))</f>
        <v>694.99999999999989</v>
      </c>
      <c r="AJ92" s="14">
        <f>AI92*VLOOKUP('Données projet'!$B$10,Paramètres!$A$1:$I$89,3,0)*VLOOKUP('Données projet'!$B$10,Paramètres!$A$1:$I$89,5,0)</f>
        <v>596.30999999999995</v>
      </c>
      <c r="AK92" s="14">
        <f t="shared" si="89"/>
        <v>130.60482023426661</v>
      </c>
      <c r="AL92" s="22">
        <f t="shared" si="58"/>
        <v>1266.0433119080142</v>
      </c>
      <c r="AM92" s="62">
        <f t="shared" si="59"/>
        <v>1559.3766452413474</v>
      </c>
      <c r="AN92" s="62">
        <f ca="1">AVERAGE(OFFSET($AM$3,0,0,'Données projet'!$E$10+1,1))-AVERAGE(OFFSET($H$3,0,0,'Données projet'!$E$10+1,1))</f>
        <v>625.17723604265689</v>
      </c>
      <c r="AO92" s="62">
        <f t="shared" si="90"/>
        <v>462.33909258902241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3.8461538461538454</v>
      </c>
      <c r="BD92" s="13">
        <f>IF('Données projet'!$A$88&gt;35,BD91+BC92-BL91,IF(A92&lt;'Données projet'!$A$88,$BA$205^A92,IF(A92='Données projet'!$A$88,'Données projet'!$B$88,BD91+BC92-BL91)))</f>
        <v>244.8717948717948</v>
      </c>
      <c r="BE92" s="14">
        <f>BD92*VLOOKUP('Données projet'!$B$11,Paramètres!$A$1:$I$89,3,0)*VLOOKUP('Données projet'!$B$11,Paramètres!$A$1:$I$89,5,0)</f>
        <v>233.01999999999995</v>
      </c>
      <c r="BF92" s="14">
        <f t="shared" si="91"/>
        <v>56.935179547462297</v>
      </c>
      <c r="BG92" s="22">
        <f t="shared" si="61"/>
        <v>505.00527104516345</v>
      </c>
      <c r="BH92" s="62">
        <f t="shared" si="62"/>
        <v>798.33860437849671</v>
      </c>
      <c r="BI92" s="62">
        <f ca="1">AVERAGE(OFFSET($BH$3,0,0,'Données projet'!$E$11+1,1))-AVERAGE(OFFSET($H$3,0,0,'Données projet'!$E$11+1,1))</f>
        <v>406.24139966722936</v>
      </c>
      <c r="BJ92" s="62">
        <f t="shared" si="92"/>
        <v>295.95724296920577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3.8</v>
      </c>
      <c r="BY92" s="13">
        <f>IF('Données projet'!$A$114&gt;35,BY91+BX92-CG91,IF(A92&lt;'Données projet'!$A$114,$BV$205^A92,IF(A92='Données projet'!$A$114,'Données projet'!$B$114,BY91+BX92-CG91)))</f>
        <v>354.2000000000001</v>
      </c>
      <c r="BZ92" s="14">
        <f>BY92*VLOOKUP('Données projet'!$B$12,Paramètres!$A$1:$I$89,3,0)*VLOOKUP('Données projet'!$B$12,Paramètres!$A$1:$I$89,5,0)</f>
        <v>359.15880000000016</v>
      </c>
      <c r="CA92" s="14">
        <f t="shared" si="93"/>
        <v>83.445558693690174</v>
      </c>
      <c r="CB92" s="22">
        <f t="shared" si="64"/>
        <v>770.86925805817725</v>
      </c>
      <c r="CC92" s="62">
        <f t="shared" si="65"/>
        <v>1064.2025913915106</v>
      </c>
      <c r="CD92" s="62">
        <f ca="1">AVERAGE(OFFSET($CC$3,0,0,'Données projet'!$E$12+1,1))-AVERAGE(OFFSET($H$3,0,0,'Données projet'!$E$12+1,1))</f>
        <v>565.72091871734051</v>
      </c>
      <c r="CE92" s="62">
        <f t="shared" si="94"/>
        <v>306.61893266146666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5.6843418860808015E-14</v>
      </c>
      <c r="CU92" s="18">
        <f>CT92*VLOOKUP('Données projet'!$B$13,Paramètres!$A$1:$I$89,3,0)*VLOOKUP('Données projet'!$B$13,Paramètres!$A$1:$I$89,5,0)</f>
        <v>4.9658410716801891E-14</v>
      </c>
      <c r="CV92" s="14">
        <f t="shared" si="95"/>
        <v>8.0934058173791862E-13</v>
      </c>
      <c r="CW92" s="22">
        <f t="shared" si="67"/>
        <v>1.4960899118586383E-12</v>
      </c>
      <c r="CX92" s="62">
        <f t="shared" si="68"/>
        <v>293.33333333333479</v>
      </c>
      <c r="CY92" s="62">
        <f ca="1">AVERAGE(OFFSET($CX$3,0,0,'Données projet'!$E$13+1,1))-AVERAGE(OFFSET($H$3,0,0,'Données projet'!$E$13+1,1))</f>
        <v>333.56306908115238</v>
      </c>
      <c r="CZ92" s="62">
        <f t="shared" si="96"/>
        <v>523.65456887919618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4.5474735088646412E-13</v>
      </c>
      <c r="DP92" s="18">
        <f>DO92*VLOOKUP('Données projet'!$B$14,Paramètres!$A$1:$I$89,3,0)*VLOOKUP('Données projet'!$B$14,Paramètres!$A$1:$I$89,5,0)</f>
        <v>3.3342075766995548E-13</v>
      </c>
      <c r="DQ92" s="14">
        <f t="shared" si="97"/>
        <v>4.3537988100583648E-12</v>
      </c>
      <c r="DR92" s="22">
        <f t="shared" si="70"/>
        <v>8.1635740804601579E-12</v>
      </c>
      <c r="DS92" s="62">
        <f t="shared" si="71"/>
        <v>293.3333333333415</v>
      </c>
      <c r="DT92" s="62">
        <f ca="1">AVERAGE(OFFSET($DS$3,0,0,'Données projet'!$E$14+1,1))-AVERAGE(OFFSET($H$3,0,0,'Données projet'!$E$14+1,1))</f>
        <v>397.24714625007675</v>
      </c>
      <c r="DU92" s="62">
        <f t="shared" si="98"/>
        <v>431.75775520200608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9">
        <f t="shared" si="56"/>
        <v>256.66666666666669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358</v>
      </c>
      <c r="L93" s="13">
        <f>VLOOKUP(A93,'Données projet'!$A$35:$I$55,9,0)</f>
        <v>3.8</v>
      </c>
      <c r="M93" s="13">
        <f t="array" ref="M93">INDEX(L:L,MIN(IF(ISNUMBER(L93:L289),ROW(L93:L289),"")))</f>
        <v>3.8</v>
      </c>
      <c r="N93" s="14">
        <f>IF('Données projet'!$A$36&gt;35,N92+M93-V92,IF(A93&lt;'Données projet'!$A$36,$K$205^A93,IF(A93='Données projet'!$A$36,'Données projet'!$B$36,N92+M93-V92)))</f>
        <v>358.00000000000011</v>
      </c>
      <c r="O93" s="14">
        <f>N93*VLOOKUP('Données projet'!$B$9,Paramètres!$A$1:$I$89,3,0)*VLOOKUP('Données projet'!$B$9,Paramètres!$A$1:$I$89,5,0)</f>
        <v>323.91840000000008</v>
      </c>
      <c r="P93" s="14">
        <f t="shared" si="87"/>
        <v>76.168074587293091</v>
      </c>
      <c r="Q93" s="22">
        <f t="shared" si="54"/>
        <v>696.81727657286899</v>
      </c>
      <c r="R93" s="62">
        <f t="shared" si="55"/>
        <v>990.15060990620236</v>
      </c>
      <c r="S93" s="62">
        <f ca="1">AVERAGE(OFFSET($R$3,0,0,'Données projet'!$E$9+1,1))-AVERAGE(OFFSET($H$3,0,0,'Données projet'!$E$9+1,1))</f>
        <v>509.56241660612449</v>
      </c>
      <c r="T93" s="62">
        <f t="shared" si="88"/>
        <v>278.21741231699929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56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705</v>
      </c>
      <c r="AG93" s="13">
        <f>VLOOKUP(A93,'Données projet'!$A$61:$I$81,9,0)</f>
        <v>10</v>
      </c>
      <c r="AH93" s="13">
        <f t="array" ref="AH93">INDEX(AG:AG,MIN(IF(ISNUMBER(AG93:AG289),ROW(AG93:AG289),"")))</f>
        <v>10</v>
      </c>
      <c r="AI93" s="14">
        <f>IF('Données projet'!$A$62&gt;35,AI92+AH93-AQ92,IF(A93&lt;'Données projet'!$A$62,$AF$205^A93,IF(A93='Données projet'!$A$62,'Données projet'!$B$62,AI92+AH93-AQ92)))</f>
        <v>704.99999999999989</v>
      </c>
      <c r="AJ93" s="14">
        <f>AI93*VLOOKUP('Données projet'!$B$10,Paramètres!$A$1:$I$89,3,0)*VLOOKUP('Données projet'!$B$10,Paramètres!$A$1:$I$89,5,0)</f>
        <v>604.89</v>
      </c>
      <c r="AK93" s="14">
        <f t="shared" si="89"/>
        <v>132.26390359476616</v>
      </c>
      <c r="AL93" s="22">
        <f t="shared" si="58"/>
        <v>1283.8763820942174</v>
      </c>
      <c r="AM93" s="62">
        <f t="shared" si="59"/>
        <v>1577.2097154275507</v>
      </c>
      <c r="AN93" s="62">
        <f ca="1">AVERAGE(OFFSET($AM$3,0,0,'Données projet'!$E$10+1,1))-AVERAGE(OFFSET($H$3,0,0,'Données projet'!$E$10+1,1))</f>
        <v>625.17723604265689</v>
      </c>
      <c r="AO93" s="62">
        <f t="shared" si="90"/>
        <v>462.33909258902241</v>
      </c>
      <c r="AP93" s="16">
        <f>IF(ISNA(VLOOKUP(A93,'Données projet'!$A$61:$I$81,3,0)),0,VLOOKUP(A93,'Données projet'!$A$61:$I$81,3,0))</f>
        <v>10</v>
      </c>
      <c r="AQ93" s="16">
        <f>IF(ISNA(VLOOKUP(A93,'Données projet'!$A$61:$I$81,4,0)),0,VLOOKUP(A93,'Données projet'!$A$61:$I$81,4,0))</f>
        <v>705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248.7179487179487</v>
      </c>
      <c r="BB93" s="13">
        <f>VLOOKUP(A93,'Données projet'!$A$87:$I$107,9,0)</f>
        <v>3.8461538461538454</v>
      </c>
      <c r="BC93" s="13">
        <f t="array" ref="BC93">INDEX(BB:BB,MIN(IF(ISNUMBER(BB93:BB289),ROW(BB93:BB289),"")))</f>
        <v>3.8461538461538454</v>
      </c>
      <c r="BD93" s="13">
        <f>IF('Données projet'!$A$88&gt;35,BD92+BC93-BL92,IF(A93&lt;'Données projet'!$A$88,$BA$205^A93,IF(A93='Données projet'!$A$88,'Données projet'!$B$88,BD92+BC93-BL92)))</f>
        <v>248.71794871794864</v>
      </c>
      <c r="BE93" s="14">
        <f>BD93*VLOOKUP('Données projet'!$B$11,Paramètres!$A$1:$I$89,3,0)*VLOOKUP('Données projet'!$B$11,Paramètres!$A$1:$I$89,5,0)</f>
        <v>236.67999999999995</v>
      </c>
      <c r="BF93" s="14">
        <f t="shared" si="91"/>
        <v>57.724638232498961</v>
      </c>
      <c r="BG93" s="22">
        <f t="shared" si="61"/>
        <v>512.7547449216022</v>
      </c>
      <c r="BH93" s="62">
        <f t="shared" si="62"/>
        <v>806.08807825493545</v>
      </c>
      <c r="BI93" s="62">
        <f ca="1">AVERAGE(OFFSET($BH$3,0,0,'Données projet'!$E$11+1,1))-AVERAGE(OFFSET($H$3,0,0,'Données projet'!$E$11+1,1))</f>
        <v>406.24139966722936</v>
      </c>
      <c r="BJ93" s="62">
        <f t="shared" si="92"/>
        <v>295.95724296920577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358</v>
      </c>
      <c r="BW93" s="13">
        <f>VLOOKUP(A93,'Données projet'!$A$113:$I$133,9,0)</f>
        <v>3.8</v>
      </c>
      <c r="BX93" s="13">
        <f t="array" ref="BX93">INDEX(BW:BW,MIN(IF(ISNUMBER(BW93:BW289),ROW(BW93:BW289),"")))</f>
        <v>3.8</v>
      </c>
      <c r="BY93" s="13">
        <f>IF('Données projet'!$A$114&gt;35,BY92+BX93-CG92,IF(A93&lt;'Données projet'!$A$114,$BV$205^A93,IF(A93='Données projet'!$A$114,'Données projet'!$B$114,BY92+BX93-CG92)))</f>
        <v>358.00000000000011</v>
      </c>
      <c r="BZ93" s="14">
        <f>BY93*VLOOKUP('Données projet'!$B$12,Paramètres!$A$1:$I$89,3,0)*VLOOKUP('Données projet'!$B$12,Paramètres!$A$1:$I$89,5,0)</f>
        <v>363.01200000000011</v>
      </c>
      <c r="CA93" s="14">
        <f t="shared" si="93"/>
        <v>84.23609859605908</v>
      </c>
      <c r="CB93" s="22">
        <f t="shared" si="64"/>
        <v>778.95710505480304</v>
      </c>
      <c r="CC93" s="62">
        <f t="shared" si="65"/>
        <v>1072.2904383881364</v>
      </c>
      <c r="CD93" s="62">
        <f ca="1">AVERAGE(OFFSET($CC$3,0,0,'Données projet'!$E$12+1,1))-AVERAGE(OFFSET($H$3,0,0,'Données projet'!$E$12+1,1))</f>
        <v>565.72091871734051</v>
      </c>
      <c r="CE93" s="62">
        <f t="shared" si="94"/>
        <v>306.61893266146666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56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5.6843418860808015E-14</v>
      </c>
      <c r="CU93" s="18">
        <f>CT93*VLOOKUP('Données projet'!$B$13,Paramètres!$A$1:$I$89,3,0)*VLOOKUP('Données projet'!$B$13,Paramètres!$A$1:$I$89,5,0)</f>
        <v>4.9658410716801891E-14</v>
      </c>
      <c r="CV93" s="14">
        <f t="shared" si="95"/>
        <v>8.0934058173791862E-13</v>
      </c>
      <c r="CW93" s="22">
        <f t="shared" si="67"/>
        <v>1.4960899118586383E-12</v>
      </c>
      <c r="CX93" s="62">
        <f t="shared" si="68"/>
        <v>293.33333333333479</v>
      </c>
      <c r="CY93" s="62">
        <f ca="1">AVERAGE(OFFSET($CX$3,0,0,'Données projet'!$E$13+1,1))-AVERAGE(OFFSET($H$3,0,0,'Données projet'!$E$13+1,1))</f>
        <v>333.56306908115238</v>
      </c>
      <c r="CZ93" s="62">
        <f t="shared" si="96"/>
        <v>523.65456887919618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4.5474735088646412E-13</v>
      </c>
      <c r="DP93" s="18">
        <f>DO93*VLOOKUP('Données projet'!$B$14,Paramètres!$A$1:$I$89,3,0)*VLOOKUP('Données projet'!$B$14,Paramètres!$A$1:$I$89,5,0)</f>
        <v>3.3342075766995548E-13</v>
      </c>
      <c r="DQ93" s="14">
        <f t="shared" si="97"/>
        <v>4.3537988100583648E-12</v>
      </c>
      <c r="DR93" s="22">
        <f t="shared" si="70"/>
        <v>8.1635740804601579E-12</v>
      </c>
      <c r="DS93" s="62">
        <f t="shared" si="71"/>
        <v>293.3333333333415</v>
      </c>
      <c r="DT93" s="62">
        <f ca="1">AVERAGE(OFFSET($DS$3,0,0,'Données projet'!$E$14+1,1))-AVERAGE(OFFSET($H$3,0,0,'Données projet'!$E$14+1,1))</f>
        <v>397.24714625007675</v>
      </c>
      <c r="DU93" s="62">
        <f t="shared" si="98"/>
        <v>431.75775520200608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9">
        <f t="shared" si="56"/>
        <v>256.66666666666669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307.90000000000009</v>
      </c>
      <c r="O94" s="14">
        <f>N94*VLOOKUP('Données projet'!$B$9,Paramètres!$A$1:$I$89,3,0)*VLOOKUP('Données projet'!$B$9,Paramètres!$A$1:$I$89,5,0)</f>
        <v>278.58792000000011</v>
      </c>
      <c r="P94" s="14">
        <f t="shared" si="87"/>
        <v>66.668508032294213</v>
      </c>
      <c r="Q94" s="22">
        <f t="shared" si="54"/>
        <v>601.32161215624581</v>
      </c>
      <c r="R94" s="62">
        <f t="shared" si="55"/>
        <v>894.65494548957918</v>
      </c>
      <c r="S94" s="62">
        <f ca="1">AVERAGE(OFFSET($R$3,0,0,'Données projet'!$E$9+1,1))-AVERAGE(OFFSET($H$3,0,0,'Données projet'!$E$9+1,1))</f>
        <v>509.56241660612449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-9.7543306765146564E-14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625.17723604265689</v>
      </c>
      <c r="AO94" s="62">
        <f t="shared" si="90"/>
        <v>462.33909258902241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3.8461538461538511</v>
      </c>
      <c r="BD94" s="13">
        <f>IF('Données projet'!$A$88&gt;35,BD93+BC94-BL93,IF(A94&lt;'Données projet'!$A$88,$BA$205^A94,IF(A94='Données projet'!$A$88,'Données projet'!$B$88,BD93+BC94-BL93)))</f>
        <v>252.56410256410248</v>
      </c>
      <c r="BE94" s="14">
        <f>BD94*VLOOKUP('Données projet'!$B$11,Paramètres!$A$1:$I$89,3,0)*VLOOKUP('Données projet'!$B$11,Paramètres!$A$1:$I$89,5,0)</f>
        <v>240.33999999999992</v>
      </c>
      <c r="BF94" s="14">
        <f t="shared" si="91"/>
        <v>58.512677110228594</v>
      </c>
      <c r="BG94" s="22">
        <f t="shared" si="61"/>
        <v>520.50174596698128</v>
      </c>
      <c r="BH94" s="62">
        <f t="shared" si="62"/>
        <v>813.83507930031465</v>
      </c>
      <c r="BI94" s="62">
        <f ca="1">AVERAGE(OFFSET($BH$3,0,0,'Données projet'!$E$11+1,1))-AVERAGE(OFFSET($H$3,0,0,'Données projet'!$E$11+1,1))</f>
        <v>406.24139966722936</v>
      </c>
      <c r="BJ94" s="62">
        <f t="shared" si="92"/>
        <v>295.95724296920577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5.9</v>
      </c>
      <c r="BY94" s="13">
        <f>IF('Données projet'!$A$114&gt;35,BY93+BX94-CG93,IF(A94&lt;'Données projet'!$A$114,$BV$205^A94,IF(A94='Données projet'!$A$114,'Données projet'!$B$114,BY93+BX94-CG93)))</f>
        <v>307.90000000000009</v>
      </c>
      <c r="BZ94" s="14">
        <f>BY94*VLOOKUP('Données projet'!$B$12,Paramètres!$A$1:$I$89,3,0)*VLOOKUP('Données projet'!$B$12,Paramètres!$A$1:$I$89,5,0)</f>
        <v>312.21060000000011</v>
      </c>
      <c r="CA94" s="14">
        <f t="shared" si="93"/>
        <v>73.730300342886324</v>
      </c>
      <c r="CB94" s="22">
        <f t="shared" si="64"/>
        <v>672.18040143052724</v>
      </c>
      <c r="CC94" s="62">
        <f t="shared" si="65"/>
        <v>965.51373476386061</v>
      </c>
      <c r="CD94" s="62">
        <f ca="1">AVERAGE(OFFSET($CC$3,0,0,'Données projet'!$E$12+1,1))-AVERAGE(OFFSET($H$3,0,0,'Données projet'!$E$12+1,1))</f>
        <v>565.72091871734051</v>
      </c>
      <c r="CE94" s="62">
        <f t="shared" si="94"/>
        <v>306.61893266146666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5.6843418860808015E-14</v>
      </c>
      <c r="CU94" s="18">
        <f>CT94*VLOOKUP('Données projet'!$B$13,Paramètres!$A$1:$I$89,3,0)*VLOOKUP('Données projet'!$B$13,Paramètres!$A$1:$I$89,5,0)</f>
        <v>4.9658410716801891E-14</v>
      </c>
      <c r="CV94" s="14">
        <f t="shared" si="95"/>
        <v>8.0934058173791862E-13</v>
      </c>
      <c r="CW94" s="22">
        <f t="shared" si="67"/>
        <v>1.4960899118586383E-12</v>
      </c>
      <c r="CX94" s="62">
        <f t="shared" si="68"/>
        <v>293.33333333333479</v>
      </c>
      <c r="CY94" s="62">
        <f ca="1">AVERAGE(OFFSET($CX$3,0,0,'Données projet'!$E$13+1,1))-AVERAGE(OFFSET($H$3,0,0,'Données projet'!$E$13+1,1))</f>
        <v>333.56306908115238</v>
      </c>
      <c r="CZ94" s="62">
        <f t="shared" si="96"/>
        <v>523.65456887919618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4.5474735088646412E-13</v>
      </c>
      <c r="DP94" s="18">
        <f>DO94*VLOOKUP('Données projet'!$B$14,Paramètres!$A$1:$I$89,3,0)*VLOOKUP('Données projet'!$B$14,Paramètres!$A$1:$I$89,5,0)</f>
        <v>3.3342075766995548E-13</v>
      </c>
      <c r="DQ94" s="14">
        <f t="shared" si="97"/>
        <v>4.3537988100583648E-12</v>
      </c>
      <c r="DR94" s="22">
        <f t="shared" si="70"/>
        <v>8.1635740804601579E-12</v>
      </c>
      <c r="DS94" s="62">
        <f t="shared" si="71"/>
        <v>293.3333333333415</v>
      </c>
      <c r="DT94" s="62">
        <f ca="1">AVERAGE(OFFSET($DS$3,0,0,'Données projet'!$E$14+1,1))-AVERAGE(OFFSET($H$3,0,0,'Données projet'!$E$14+1,1))</f>
        <v>397.24714625007675</v>
      </c>
      <c r="DU94" s="62">
        <f t="shared" si="98"/>
        <v>431.75775520200608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9">
        <f t="shared" si="56"/>
        <v>256.66666666666669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313.80000000000007</v>
      </c>
      <c r="O95" s="14">
        <f>N95*VLOOKUP('Données projet'!$B$9,Paramètres!$A$1:$I$89,3,0)*VLOOKUP('Données projet'!$B$9,Paramètres!$A$1:$I$89,5,0)</f>
        <v>283.92624000000006</v>
      </c>
      <c r="P95" s="14">
        <f t="shared" si="87"/>
        <v>67.796062628528361</v>
      </c>
      <c r="Q95" s="22">
        <f t="shared" si="54"/>
        <v>612.58301041135371</v>
      </c>
      <c r="R95" s="62">
        <f t="shared" si="55"/>
        <v>905.91634374468708</v>
      </c>
      <c r="S95" s="62">
        <f ca="1">AVERAGE(OFFSET($R$3,0,0,'Données projet'!$E$9+1,1))-AVERAGE(OFFSET($H$3,0,0,'Données projet'!$E$9+1,1))</f>
        <v>509.56241660612449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-9.7543306765146564E-14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625.17723604265689</v>
      </c>
      <c r="AO95" s="62">
        <f t="shared" si="90"/>
        <v>462.33909258902241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3.8461538461538511</v>
      </c>
      <c r="BD95" s="13">
        <f>IF('Données projet'!$A$88&gt;35,BD94+BC95-BL94,IF(A95&lt;'Données projet'!$A$88,$BA$205^A95,IF(A95='Données projet'!$A$88,'Données projet'!$B$88,BD94+BC95-BL94)))</f>
        <v>256.41025641025635</v>
      </c>
      <c r="BE95" s="14">
        <f>BD95*VLOOKUP('Données projet'!$B$11,Paramètres!$A$1:$I$89,3,0)*VLOOKUP('Données projet'!$B$11,Paramètres!$A$1:$I$89,5,0)</f>
        <v>243.99999999999997</v>
      </c>
      <c r="BF95" s="14">
        <f t="shared" si="91"/>
        <v>59.299320299313244</v>
      </c>
      <c r="BG95" s="22">
        <f t="shared" si="61"/>
        <v>528.24631618797048</v>
      </c>
      <c r="BH95" s="62">
        <f t="shared" si="62"/>
        <v>821.57964952130374</v>
      </c>
      <c r="BI95" s="62">
        <f ca="1">AVERAGE(OFFSET($BH$3,0,0,'Données projet'!$E$11+1,1))-AVERAGE(OFFSET($H$3,0,0,'Données projet'!$E$11+1,1))</f>
        <v>406.24139966722936</v>
      </c>
      <c r="BJ95" s="62">
        <f t="shared" si="92"/>
        <v>295.95724296920577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5.9</v>
      </c>
      <c r="BY95" s="13">
        <f>IF('Données projet'!$A$114&gt;35,BY94+BX95-CG94,IF(A95&lt;'Données projet'!$A$114,$BV$205^A95,IF(A95='Données projet'!$A$114,'Données projet'!$B$114,BY94+BX95-CG94)))</f>
        <v>313.80000000000007</v>
      </c>
      <c r="BZ95" s="14">
        <f>BY95*VLOOKUP('Données projet'!$B$12,Paramètres!$A$1:$I$89,3,0)*VLOOKUP('Données projet'!$B$12,Paramètres!$A$1:$I$89,5,0)</f>
        <v>318.1932000000001</v>
      </c>
      <c r="CA95" s="14">
        <f t="shared" si="93"/>
        <v>74.977289985928564</v>
      </c>
      <c r="CB95" s="22">
        <f t="shared" si="64"/>
        <v>684.77193672549231</v>
      </c>
      <c r="CC95" s="62">
        <f t="shared" si="65"/>
        <v>978.10527005882568</v>
      </c>
      <c r="CD95" s="62">
        <f ca="1">AVERAGE(OFFSET($CC$3,0,0,'Données projet'!$E$12+1,1))-AVERAGE(OFFSET($H$3,0,0,'Données projet'!$E$12+1,1))</f>
        <v>565.72091871734051</v>
      </c>
      <c r="CE95" s="62">
        <f t="shared" si="94"/>
        <v>306.61893266146666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5.6843418860808015E-14</v>
      </c>
      <c r="CU95" s="18">
        <f>CT95*VLOOKUP('Données projet'!$B$13,Paramètres!$A$1:$I$89,3,0)*VLOOKUP('Données projet'!$B$13,Paramètres!$A$1:$I$89,5,0)</f>
        <v>4.9658410716801891E-14</v>
      </c>
      <c r="CV95" s="14">
        <f t="shared" si="95"/>
        <v>8.0934058173791862E-13</v>
      </c>
      <c r="CW95" s="22">
        <f t="shared" si="67"/>
        <v>1.4960899118586383E-12</v>
      </c>
      <c r="CX95" s="62">
        <f t="shared" si="68"/>
        <v>293.33333333333479</v>
      </c>
      <c r="CY95" s="62">
        <f ca="1">AVERAGE(OFFSET($CX$3,0,0,'Données projet'!$E$13+1,1))-AVERAGE(OFFSET($H$3,0,0,'Données projet'!$E$13+1,1))</f>
        <v>333.56306908115238</v>
      </c>
      <c r="CZ95" s="62">
        <f t="shared" si="96"/>
        <v>523.65456887919618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4.5474735088646412E-13</v>
      </c>
      <c r="DP95" s="18">
        <f>DO95*VLOOKUP('Données projet'!$B$14,Paramètres!$A$1:$I$89,3,0)*VLOOKUP('Données projet'!$B$14,Paramètres!$A$1:$I$89,5,0)</f>
        <v>3.3342075766995548E-13</v>
      </c>
      <c r="DQ95" s="14">
        <f t="shared" si="97"/>
        <v>4.3537988100583648E-12</v>
      </c>
      <c r="DR95" s="22">
        <f t="shared" si="70"/>
        <v>8.1635740804601579E-12</v>
      </c>
      <c r="DS95" s="62">
        <f t="shared" si="71"/>
        <v>293.3333333333415</v>
      </c>
      <c r="DT95" s="62">
        <f ca="1">AVERAGE(OFFSET($DS$3,0,0,'Données projet'!$E$14+1,1))-AVERAGE(OFFSET($H$3,0,0,'Données projet'!$E$14+1,1))</f>
        <v>397.24714625007675</v>
      </c>
      <c r="DU95" s="62">
        <f t="shared" si="98"/>
        <v>431.75775520200608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9">
        <f t="shared" si="56"/>
        <v>256.66666666666669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319.70000000000005</v>
      </c>
      <c r="O96" s="14">
        <f>N96*VLOOKUP('Données projet'!$B$9,Paramètres!$A$1:$I$89,3,0)*VLOOKUP('Données projet'!$B$9,Paramètres!$A$1:$I$89,5,0)</f>
        <v>289.26456000000002</v>
      </c>
      <c r="P96" s="14">
        <f t="shared" si="87"/>
        <v>68.921152085057912</v>
      </c>
      <c r="Q96" s="22">
        <f t="shared" si="54"/>
        <v>623.84011521480932</v>
      </c>
      <c r="R96" s="62">
        <f t="shared" si="55"/>
        <v>917.17344854814269</v>
      </c>
      <c r="S96" s="62">
        <f ca="1">AVERAGE(OFFSET($R$3,0,0,'Données projet'!$E$9+1,1))-AVERAGE(OFFSET($H$3,0,0,'Données projet'!$E$9+1,1))</f>
        <v>509.56241660612449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-9.7543306765146564E-14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625.17723604265689</v>
      </c>
      <c r="AO96" s="62">
        <f t="shared" si="90"/>
        <v>462.33909258902241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3.8461538461538511</v>
      </c>
      <c r="BD96" s="13">
        <f>IF('Données projet'!$A$88&gt;35,BD95+BC96-BL95,IF(A96&lt;'Données projet'!$A$88,$BA$205^A96,IF(A96='Données projet'!$A$88,'Données projet'!$B$88,BD95+BC96-BL95)))</f>
        <v>260.25641025641022</v>
      </c>
      <c r="BE96" s="14">
        <f>BD96*VLOOKUP('Données projet'!$B$11,Paramètres!$A$1:$I$89,3,0)*VLOOKUP('Données projet'!$B$11,Paramètres!$A$1:$I$89,5,0)</f>
        <v>247.65999999999994</v>
      </c>
      <c r="BF96" s="14">
        <f t="shared" si="91"/>
        <v>60.084591153326222</v>
      </c>
      <c r="BG96" s="22">
        <f t="shared" si="61"/>
        <v>535.98849625870969</v>
      </c>
      <c r="BH96" s="62">
        <f t="shared" si="62"/>
        <v>829.32182959204306</v>
      </c>
      <c r="BI96" s="62">
        <f ca="1">AVERAGE(OFFSET($BH$3,0,0,'Données projet'!$E$11+1,1))-AVERAGE(OFFSET($H$3,0,0,'Données projet'!$E$11+1,1))</f>
        <v>406.24139966722936</v>
      </c>
      <c r="BJ96" s="62">
        <f t="shared" si="92"/>
        <v>295.95724296920577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5.9</v>
      </c>
      <c r="BY96" s="13">
        <f>IF('Données projet'!$A$114&gt;35,BY95+BX96-CG95,IF(A96&lt;'Données projet'!$A$114,$BV$205^A96,IF(A96='Données projet'!$A$114,'Données projet'!$B$114,BY95+BX96-CG95)))</f>
        <v>319.70000000000005</v>
      </c>
      <c r="BZ96" s="14">
        <f>BY96*VLOOKUP('Données projet'!$B$12,Paramètres!$A$1:$I$89,3,0)*VLOOKUP('Données projet'!$B$12,Paramètres!$A$1:$I$89,5,0)</f>
        <v>324.17580000000004</v>
      </c>
      <c r="CA96" s="14">
        <f t="shared" si="93"/>
        <v>76.221553371909195</v>
      </c>
      <c r="CB96" s="22">
        <f t="shared" si="64"/>
        <v>697.3587237894086</v>
      </c>
      <c r="CC96" s="62">
        <f t="shared" si="65"/>
        <v>990.69205712274197</v>
      </c>
      <c r="CD96" s="62">
        <f ca="1">AVERAGE(OFFSET($CC$3,0,0,'Données projet'!$E$12+1,1))-AVERAGE(OFFSET($H$3,0,0,'Données projet'!$E$12+1,1))</f>
        <v>565.72091871734051</v>
      </c>
      <c r="CE96" s="62">
        <f t="shared" si="94"/>
        <v>306.61893266146666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5.6843418860808015E-14</v>
      </c>
      <c r="CU96" s="18">
        <f>CT96*VLOOKUP('Données projet'!$B$13,Paramètres!$A$1:$I$89,3,0)*VLOOKUP('Données projet'!$B$13,Paramètres!$A$1:$I$89,5,0)</f>
        <v>4.9658410716801891E-14</v>
      </c>
      <c r="CV96" s="14">
        <f t="shared" si="95"/>
        <v>8.0934058173791862E-13</v>
      </c>
      <c r="CW96" s="22">
        <f t="shared" si="67"/>
        <v>1.4960899118586383E-12</v>
      </c>
      <c r="CX96" s="62">
        <f t="shared" si="68"/>
        <v>293.33333333333479</v>
      </c>
      <c r="CY96" s="62">
        <f ca="1">AVERAGE(OFFSET($CX$3,0,0,'Données projet'!$E$13+1,1))-AVERAGE(OFFSET($H$3,0,0,'Données projet'!$E$13+1,1))</f>
        <v>333.56306908115238</v>
      </c>
      <c r="CZ96" s="62">
        <f t="shared" si="96"/>
        <v>523.65456887919618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4.5474735088646412E-13</v>
      </c>
      <c r="DP96" s="18">
        <f>DO96*VLOOKUP('Données projet'!$B$14,Paramètres!$A$1:$I$89,3,0)*VLOOKUP('Données projet'!$B$14,Paramètres!$A$1:$I$89,5,0)</f>
        <v>3.3342075766995548E-13</v>
      </c>
      <c r="DQ96" s="14">
        <f t="shared" si="97"/>
        <v>4.3537988100583648E-12</v>
      </c>
      <c r="DR96" s="22">
        <f t="shared" si="70"/>
        <v>8.1635740804601579E-12</v>
      </c>
      <c r="DS96" s="62">
        <f t="shared" si="71"/>
        <v>293.3333333333415</v>
      </c>
      <c r="DT96" s="62">
        <f ca="1">AVERAGE(OFFSET($DS$3,0,0,'Données projet'!$E$14+1,1))-AVERAGE(OFFSET($H$3,0,0,'Données projet'!$E$14+1,1))</f>
        <v>397.24714625007675</v>
      </c>
      <c r="DU96" s="62">
        <f t="shared" si="98"/>
        <v>431.75775520200608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9">
        <f t="shared" si="56"/>
        <v>256.66666666666669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325.60000000000002</v>
      </c>
      <c r="O97" s="14">
        <f>N97*VLOOKUP('Données projet'!$B$9,Paramètres!$A$1:$I$89,3,0)*VLOOKUP('Données projet'!$B$9,Paramètres!$A$1:$I$89,5,0)</f>
        <v>294.60288000000003</v>
      </c>
      <c r="P97" s="14">
        <f t="shared" si="87"/>
        <v>70.043827142305744</v>
      </c>
      <c r="Q97" s="22">
        <f t="shared" si="54"/>
        <v>635.09301493951591</v>
      </c>
      <c r="R97" s="62">
        <f t="shared" si="55"/>
        <v>928.42634827284928</v>
      </c>
      <c r="S97" s="62">
        <f ca="1">AVERAGE(OFFSET($R$3,0,0,'Données projet'!$E$9+1,1))-AVERAGE(OFFSET($H$3,0,0,'Données projet'!$E$9+1,1))</f>
        <v>509.56241660612449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-9.7543306765146564E-14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625.17723604265689</v>
      </c>
      <c r="AO97" s="62">
        <f t="shared" si="90"/>
        <v>462.33909258902241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3.8461538461538511</v>
      </c>
      <c r="BD97" s="13">
        <f>IF('Données projet'!$A$88&gt;35,BD96+BC97-BL96,IF(A97&lt;'Données projet'!$A$88,$BA$205^A97,IF(A97='Données projet'!$A$88,'Données projet'!$B$88,BD96+BC97-BL96)))</f>
        <v>264.10256410256409</v>
      </c>
      <c r="BE97" s="14">
        <f>BD97*VLOOKUP('Données projet'!$B$11,Paramètres!$A$1:$I$89,3,0)*VLOOKUP('Données projet'!$B$11,Paramètres!$A$1:$I$89,5,0)</f>
        <v>251.32</v>
      </c>
      <c r="BF97" s="14">
        <f t="shared" si="91"/>
        <v>60.868512295963441</v>
      </c>
      <c r="BG97" s="22">
        <f t="shared" si="61"/>
        <v>543.72832558213634</v>
      </c>
      <c r="BH97" s="62">
        <f t="shared" si="62"/>
        <v>837.06165891546971</v>
      </c>
      <c r="BI97" s="62">
        <f ca="1">AVERAGE(OFFSET($BH$3,0,0,'Données projet'!$E$11+1,1))-AVERAGE(OFFSET($H$3,0,0,'Données projet'!$E$11+1,1))</f>
        <v>406.24139966722936</v>
      </c>
      <c r="BJ97" s="62">
        <f t="shared" si="92"/>
        <v>295.95724296920577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5.9</v>
      </c>
      <c r="BY97" s="13">
        <f>IF('Données projet'!$A$114&gt;35,BY96+BX97-CG96,IF(A97&lt;'Données projet'!$A$114,$BV$205^A97,IF(A97='Données projet'!$A$114,'Données projet'!$B$114,BY96+BX97-CG96)))</f>
        <v>325.60000000000002</v>
      </c>
      <c r="BZ97" s="14">
        <f>BY97*VLOOKUP('Données projet'!$B$12,Paramètres!$A$1:$I$89,3,0)*VLOOKUP('Données projet'!$B$12,Paramètres!$A$1:$I$89,5,0)</f>
        <v>330.15840000000003</v>
      </c>
      <c r="CA97" s="14">
        <f t="shared" si="93"/>
        <v>77.463146615877591</v>
      </c>
      <c r="CB97" s="22">
        <f t="shared" si="64"/>
        <v>709.94086035598684</v>
      </c>
      <c r="CC97" s="62">
        <f t="shared" si="65"/>
        <v>1003.2741936893201</v>
      </c>
      <c r="CD97" s="62">
        <f ca="1">AVERAGE(OFFSET($CC$3,0,0,'Données projet'!$E$12+1,1))-AVERAGE(OFFSET($H$3,0,0,'Données projet'!$E$12+1,1))</f>
        <v>565.72091871734051</v>
      </c>
      <c r="CE97" s="62">
        <f t="shared" si="94"/>
        <v>306.61893266146666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5.6843418860808015E-14</v>
      </c>
      <c r="CU97" s="18">
        <f>CT97*VLOOKUP('Données projet'!$B$13,Paramètres!$A$1:$I$89,3,0)*VLOOKUP('Données projet'!$B$13,Paramètres!$A$1:$I$89,5,0)</f>
        <v>4.9658410716801891E-14</v>
      </c>
      <c r="CV97" s="14">
        <f t="shared" si="95"/>
        <v>8.0934058173791862E-13</v>
      </c>
      <c r="CW97" s="22">
        <f t="shared" si="67"/>
        <v>1.4960899118586383E-12</v>
      </c>
      <c r="CX97" s="62">
        <f t="shared" si="68"/>
        <v>293.33333333333479</v>
      </c>
      <c r="CY97" s="62">
        <f ca="1">AVERAGE(OFFSET($CX$3,0,0,'Données projet'!$E$13+1,1))-AVERAGE(OFFSET($H$3,0,0,'Données projet'!$E$13+1,1))</f>
        <v>333.56306908115238</v>
      </c>
      <c r="CZ97" s="62">
        <f t="shared" si="96"/>
        <v>523.65456887919618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4.5474735088646412E-13</v>
      </c>
      <c r="DP97" s="18">
        <f>DO97*VLOOKUP('Données projet'!$B$14,Paramètres!$A$1:$I$89,3,0)*VLOOKUP('Données projet'!$B$14,Paramètres!$A$1:$I$89,5,0)</f>
        <v>3.3342075766995548E-13</v>
      </c>
      <c r="DQ97" s="14">
        <f t="shared" si="97"/>
        <v>4.3537988100583648E-12</v>
      </c>
      <c r="DR97" s="22">
        <f t="shared" si="70"/>
        <v>8.1635740804601579E-12</v>
      </c>
      <c r="DS97" s="62">
        <f t="shared" si="71"/>
        <v>293.3333333333415</v>
      </c>
      <c r="DT97" s="62">
        <f ca="1">AVERAGE(OFFSET($DS$3,0,0,'Données projet'!$E$14+1,1))-AVERAGE(OFFSET($H$3,0,0,'Données projet'!$E$14+1,1))</f>
        <v>397.24714625007675</v>
      </c>
      <c r="DU97" s="62">
        <f t="shared" si="98"/>
        <v>431.75775520200608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9">
        <f t="shared" si="56"/>
        <v>256.66666666666669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</v>
      </c>
      <c r="O98" s="14">
        <f>N98*VLOOKUP('Données projet'!$B$9,Paramètres!$A$1:$I$89,3,0)*VLOOKUP('Données projet'!$B$9,Paramètres!$A$1:$I$89,5,0)</f>
        <v>299.94119999999998</v>
      </c>
      <c r="P98" s="14">
        <f t="shared" si="87"/>
        <v>71.164136596531506</v>
      </c>
      <c r="Q98" s="22">
        <f t="shared" si="54"/>
        <v>646.34179457229243</v>
      </c>
      <c r="R98" s="62">
        <f t="shared" si="55"/>
        <v>939.67512790562569</v>
      </c>
      <c r="S98" s="62">
        <f ca="1">AVERAGE(OFFSET($R$3,0,0,'Données projet'!$E$9+1,1))-AVERAGE(OFFSET($H$3,0,0,'Données projet'!$E$9+1,1))</f>
        <v>509.56241660612449</v>
      </c>
      <c r="T98" s="62">
        <f t="shared" si="88"/>
        <v>278.21741231699929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-9.7543306765146564E-14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625.17723604265689</v>
      </c>
      <c r="AO98" s="62">
        <f t="shared" si="90"/>
        <v>462.33909258902241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267.94871794871796</v>
      </c>
      <c r="BB98" s="13">
        <f>VLOOKUP(A98,'Données projet'!$A$87:$I$107,9,0)</f>
        <v>3.8461538461538511</v>
      </c>
      <c r="BC98" s="13">
        <f t="array" ref="BC98">INDEX(BB:BB,MIN(IF(ISNUMBER(BB98:BB294),ROW(BB98:BB294),"")))</f>
        <v>3.8461538461538511</v>
      </c>
      <c r="BD98" s="13">
        <f>IF('Données projet'!$A$88&gt;35,BD97+BC98-BL97,IF(A98&lt;'Données projet'!$A$88,$BA$205^A98,IF(A98='Données projet'!$A$88,'Données projet'!$B$88,BD97+BC98-BL97)))</f>
        <v>267.94871794871796</v>
      </c>
      <c r="BE98" s="14">
        <f>BD98*VLOOKUP('Données projet'!$B$11,Paramètres!$A$1:$I$89,3,0)*VLOOKUP('Données projet'!$B$11,Paramètres!$A$1:$I$89,5,0)</f>
        <v>254.98000000000002</v>
      </c>
      <c r="BF98" s="14">
        <f t="shared" si="91"/>
        <v>61.651105654144821</v>
      </c>
      <c r="BG98" s="22">
        <f t="shared" si="61"/>
        <v>551.46584234763566</v>
      </c>
      <c r="BH98" s="62">
        <f t="shared" si="62"/>
        <v>844.79917568096903</v>
      </c>
      <c r="BI98" s="62">
        <f ca="1">AVERAGE(OFFSET($BH$3,0,0,'Données projet'!$E$11+1,1))-AVERAGE(OFFSET($H$3,0,0,'Données projet'!$E$11+1,1))</f>
        <v>406.24139966722936</v>
      </c>
      <c r="BJ98" s="62">
        <f t="shared" si="92"/>
        <v>295.95724296920577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27.564102564102562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5.9</v>
      </c>
      <c r="BY98" s="13">
        <f>IF('Données projet'!$A$114&gt;35,BY97+BX98-CG97,IF(A98&lt;'Données projet'!$A$114,$BV$205^A98,IF(A98='Données projet'!$A$114,'Données projet'!$B$114,BY97+BX98-CG97)))</f>
        <v>331.5</v>
      </c>
      <c r="BZ98" s="14">
        <f>BY98*VLOOKUP('Données projet'!$B$12,Paramètres!$A$1:$I$89,3,0)*VLOOKUP('Données projet'!$B$12,Paramètres!$A$1:$I$89,5,0)</f>
        <v>336.14100000000002</v>
      </c>
      <c r="CA98" s="14">
        <f t="shared" si="93"/>
        <v>78.70212368278645</v>
      </c>
      <c r="CB98" s="22">
        <f t="shared" si="64"/>
        <v>722.51844041418644</v>
      </c>
      <c r="CC98" s="62">
        <f t="shared" si="65"/>
        <v>1015.8517737475197</v>
      </c>
      <c r="CD98" s="62">
        <f ca="1">AVERAGE(OFFSET($CC$3,0,0,'Données projet'!$E$12+1,1))-AVERAGE(OFFSET($H$3,0,0,'Données projet'!$E$12+1,1))</f>
        <v>565.72091871734051</v>
      </c>
      <c r="CE98" s="62">
        <f t="shared" si="94"/>
        <v>306.61893266146666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5.6843418860808015E-14</v>
      </c>
      <c r="CU98" s="18">
        <f>CT98*VLOOKUP('Données projet'!$B$13,Paramètres!$A$1:$I$89,3,0)*VLOOKUP('Données projet'!$B$13,Paramètres!$A$1:$I$89,5,0)</f>
        <v>4.9658410716801891E-14</v>
      </c>
      <c r="CV98" s="14">
        <f t="shared" si="95"/>
        <v>8.0934058173791862E-13</v>
      </c>
      <c r="CW98" s="22">
        <f t="shared" si="67"/>
        <v>1.4960899118586383E-12</v>
      </c>
      <c r="CX98" s="62">
        <f t="shared" si="68"/>
        <v>293.33333333333479</v>
      </c>
      <c r="CY98" s="62">
        <f ca="1">AVERAGE(OFFSET($CX$3,0,0,'Données projet'!$E$13+1,1))-AVERAGE(OFFSET($H$3,0,0,'Données projet'!$E$13+1,1))</f>
        <v>333.56306908115238</v>
      </c>
      <c r="CZ98" s="62">
        <f t="shared" si="96"/>
        <v>523.65456887919618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4.5474735088646412E-13</v>
      </c>
      <c r="DP98" s="18">
        <f>DO98*VLOOKUP('Données projet'!$B$14,Paramètres!$A$1:$I$89,3,0)*VLOOKUP('Données projet'!$B$14,Paramètres!$A$1:$I$89,5,0)</f>
        <v>3.3342075766995548E-13</v>
      </c>
      <c r="DQ98" s="14">
        <f t="shared" si="97"/>
        <v>4.3537988100583648E-12</v>
      </c>
      <c r="DR98" s="22">
        <f t="shared" si="70"/>
        <v>8.1635740804601579E-12</v>
      </c>
      <c r="DS98" s="62">
        <f t="shared" si="71"/>
        <v>293.3333333333415</v>
      </c>
      <c r="DT98" s="62">
        <f ca="1">AVERAGE(OFFSET($DS$3,0,0,'Données projet'!$E$14+1,1))-AVERAGE(OFFSET($H$3,0,0,'Données projet'!$E$14+1,1))</f>
        <v>397.24714625007675</v>
      </c>
      <c r="DU98" s="62">
        <f t="shared" si="98"/>
        <v>431.75775520200608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9">
        <f t="shared" si="56"/>
        <v>256.66666666666669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</v>
      </c>
      <c r="O99" s="14">
        <f>N99*VLOOKUP('Données projet'!$B$9,Paramètres!$A$1:$I$89,3,0)*VLOOKUP('Données projet'!$B$9,Paramètres!$A$1:$I$89,5,0)</f>
        <v>305.27951999999999</v>
      </c>
      <c r="P99" s="14">
        <f t="shared" si="87"/>
        <v>72.282127407576809</v>
      </c>
      <c r="Q99" s="22">
        <f t="shared" ref="Q99:Q130" si="107">(O99+P99)*0.475*44/12</f>
        <v>657.5865359015296</v>
      </c>
      <c r="R99" s="62">
        <f t="shared" si="55"/>
        <v>950.91986923486297</v>
      </c>
      <c r="S99" s="62">
        <f ca="1">AVERAGE(OFFSET($R$3,0,0,'Données projet'!$E$9+1,1))-AVERAGE(OFFSET($H$3,0,0,'Données projet'!$E$9+1,1))</f>
        <v>509.56241660612449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-9.7543306765146564E-14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625.17723604265689</v>
      </c>
      <c r="AO99" s="62">
        <f t="shared" si="90"/>
        <v>462.33909258902241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3.5897435897435854</v>
      </c>
      <c r="BD99" s="13">
        <f>IF('Données projet'!$A$88&gt;35,BD98+BC99-BL98,IF(A99&lt;'Données projet'!$A$88,$BA$205^A99,IF(A99='Données projet'!$A$88,'Données projet'!$B$88,BD98+BC99-BL98)))</f>
        <v>243.97435897435898</v>
      </c>
      <c r="BE99" s="14">
        <f>BD99*VLOOKUP('Données projet'!$B$11,Paramètres!$A$1:$I$89,3,0)*VLOOKUP('Données projet'!$B$11,Paramètres!$A$1:$I$89,5,0)</f>
        <v>232.166</v>
      </c>
      <c r="BF99" s="14">
        <f t="shared" si="91"/>
        <v>56.750765573960223</v>
      </c>
      <c r="BG99" s="22">
        <f t="shared" si="61"/>
        <v>503.19670004131399</v>
      </c>
      <c r="BH99" s="62">
        <f t="shared" si="62"/>
        <v>796.53003337464725</v>
      </c>
      <c r="BI99" s="62">
        <f ca="1">AVERAGE(OFFSET($BH$3,0,0,'Données projet'!$E$11+1,1))-AVERAGE(OFFSET($H$3,0,0,'Données projet'!$E$11+1,1))</f>
        <v>406.24139966722936</v>
      </c>
      <c r="BJ99" s="62">
        <f t="shared" si="92"/>
        <v>295.95724296920577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5.9</v>
      </c>
      <c r="BY99" s="13">
        <f>IF('Données projet'!$A$114&gt;35,BY98+BX99-CG98,IF(A99&lt;'Données projet'!$A$114,$BV$205^A99,IF(A99='Données projet'!$A$114,'Données projet'!$B$114,BY98+BX99-CG98)))</f>
        <v>337.4</v>
      </c>
      <c r="BZ99" s="14">
        <f>BY99*VLOOKUP('Données projet'!$B$12,Paramètres!$A$1:$I$89,3,0)*VLOOKUP('Données projet'!$B$12,Paramètres!$A$1:$I$89,5,0)</f>
        <v>342.12360000000001</v>
      </c>
      <c r="CA99" s="14">
        <f t="shared" si="93"/>
        <v>79.938536506649669</v>
      </c>
      <c r="CB99" s="22">
        <f t="shared" si="64"/>
        <v>735.09155441574819</v>
      </c>
      <c r="CC99" s="62">
        <f t="shared" si="65"/>
        <v>1028.4248877490816</v>
      </c>
      <c r="CD99" s="62">
        <f ca="1">AVERAGE(OFFSET($CC$3,0,0,'Données projet'!$E$12+1,1))-AVERAGE(OFFSET($H$3,0,0,'Données projet'!$E$12+1,1))</f>
        <v>565.72091871734051</v>
      </c>
      <c r="CE99" s="62">
        <f t="shared" si="94"/>
        <v>306.61893266146666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5.6843418860808015E-14</v>
      </c>
      <c r="CU99" s="18">
        <f>CT99*VLOOKUP('Données projet'!$B$13,Paramètres!$A$1:$I$89,3,0)*VLOOKUP('Données projet'!$B$13,Paramètres!$A$1:$I$89,5,0)</f>
        <v>4.9658410716801891E-14</v>
      </c>
      <c r="CV99" s="14">
        <f t="shared" si="95"/>
        <v>8.0934058173791862E-13</v>
      </c>
      <c r="CW99" s="22">
        <f t="shared" si="67"/>
        <v>1.4960899118586383E-12</v>
      </c>
      <c r="CX99" s="62">
        <f t="shared" si="68"/>
        <v>293.33333333333479</v>
      </c>
      <c r="CY99" s="62">
        <f ca="1">AVERAGE(OFFSET($CX$3,0,0,'Données projet'!$E$13+1,1))-AVERAGE(OFFSET($H$3,0,0,'Données projet'!$E$13+1,1))</f>
        <v>333.56306908115238</v>
      </c>
      <c r="CZ99" s="62">
        <f t="shared" si="96"/>
        <v>523.65456887919618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4.5474735088646412E-13</v>
      </c>
      <c r="DP99" s="18">
        <f>DO99*VLOOKUP('Données projet'!$B$14,Paramètres!$A$1:$I$89,3,0)*VLOOKUP('Données projet'!$B$14,Paramètres!$A$1:$I$89,5,0)</f>
        <v>3.3342075766995548E-13</v>
      </c>
      <c r="DQ99" s="14">
        <f t="shared" si="97"/>
        <v>4.3537988100583648E-12</v>
      </c>
      <c r="DR99" s="22">
        <f t="shared" si="70"/>
        <v>8.1635740804601579E-12</v>
      </c>
      <c r="DS99" s="62">
        <f t="shared" si="71"/>
        <v>293.3333333333415</v>
      </c>
      <c r="DT99" s="62">
        <f ca="1">AVERAGE(OFFSET($DS$3,0,0,'Données projet'!$E$14+1,1))-AVERAGE(OFFSET($H$3,0,0,'Données projet'!$E$14+1,1))</f>
        <v>397.24714625007675</v>
      </c>
      <c r="DU99" s="62">
        <f t="shared" si="98"/>
        <v>431.75775520200608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9">
        <f t="shared" si="56"/>
        <v>256.66666666666669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343.29999999999995</v>
      </c>
      <c r="O100" s="14">
        <f>N100*VLOOKUP('Données projet'!$B$9,Paramètres!$A$1:$I$89,3,0)*VLOOKUP('Données projet'!$B$9,Paramètres!$A$1:$I$89,5,0)</f>
        <v>310.61783999999994</v>
      </c>
      <c r="P100" s="14">
        <f t="shared" si="87"/>
        <v>73.397844798859666</v>
      </c>
      <c r="Q100" s="22">
        <f t="shared" si="107"/>
        <v>668.82731769134716</v>
      </c>
      <c r="R100" s="62">
        <f t="shared" si="55"/>
        <v>962.16065102468042</v>
      </c>
      <c r="S100" s="62">
        <f ca="1">AVERAGE(OFFSET($R$3,0,0,'Données projet'!$E$9+1,1))-AVERAGE(OFFSET($H$3,0,0,'Données projet'!$E$9+1,1))</f>
        <v>509.56241660612449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-9.7543306765146564E-14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625.17723604265689</v>
      </c>
      <c r="AO100" s="62">
        <f t="shared" si="90"/>
        <v>462.33909258902241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3.5897435897435854</v>
      </c>
      <c r="BD100" s="13">
        <f>IF('Données projet'!$A$88&gt;35,BD99+BC100-BL99,IF(A100&lt;'Données projet'!$A$88,$BA$205^A100,IF(A100='Données projet'!$A$88,'Données projet'!$B$88,BD99+BC100-BL99)))</f>
        <v>247.56410256410257</v>
      </c>
      <c r="BE100" s="14">
        <f>BD100*VLOOKUP('Données projet'!$B$11,Paramètres!$A$1:$I$89,3,0)*VLOOKUP('Données projet'!$B$11,Paramètres!$A$1:$I$89,5,0)</f>
        <v>235.58199999999999</v>
      </c>
      <c r="BF100" s="14">
        <f t="shared" si="91"/>
        <v>57.487950824806624</v>
      </c>
      <c r="BG100" s="22">
        <f t="shared" si="61"/>
        <v>510.4301643532047</v>
      </c>
      <c r="BH100" s="62">
        <f t="shared" si="62"/>
        <v>803.76349768653802</v>
      </c>
      <c r="BI100" s="62">
        <f ca="1">AVERAGE(OFFSET($BH$3,0,0,'Données projet'!$E$11+1,1))-AVERAGE(OFFSET($H$3,0,0,'Données projet'!$E$11+1,1))</f>
        <v>406.24139966722936</v>
      </c>
      <c r="BJ100" s="62">
        <f t="shared" si="92"/>
        <v>295.95724296920577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5.9</v>
      </c>
      <c r="BY100" s="13">
        <f>IF('Données projet'!$A$114&gt;35,BY99+BX100-CG99,IF(A100&lt;'Données projet'!$A$114,$BV$205^A100,IF(A100='Données projet'!$A$114,'Données projet'!$B$114,BY99+BX100-CG99)))</f>
        <v>343.29999999999995</v>
      </c>
      <c r="BZ100" s="14">
        <f>BY100*VLOOKUP('Données projet'!$B$12,Paramètres!$A$1:$I$89,3,0)*VLOOKUP('Données projet'!$B$12,Paramètres!$A$1:$I$89,5,0)</f>
        <v>348.1062</v>
      </c>
      <c r="CA100" s="14">
        <f t="shared" si="93"/>
        <v>81.172435101128713</v>
      </c>
      <c r="CB100" s="22">
        <f t="shared" si="64"/>
        <v>747.66028946779909</v>
      </c>
      <c r="CC100" s="62">
        <f t="shared" si="65"/>
        <v>1040.9936228011325</v>
      </c>
      <c r="CD100" s="62">
        <f ca="1">AVERAGE(OFFSET($CC$3,0,0,'Données projet'!$E$12+1,1))-AVERAGE(OFFSET($H$3,0,0,'Données projet'!$E$12+1,1))</f>
        <v>565.72091871734051</v>
      </c>
      <c r="CE100" s="62">
        <f t="shared" si="94"/>
        <v>306.61893266146666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5.6843418860808015E-14</v>
      </c>
      <c r="CU100" s="18">
        <f>CT100*VLOOKUP('Données projet'!$B$13,Paramètres!$A$1:$I$89,3,0)*VLOOKUP('Données projet'!$B$13,Paramètres!$A$1:$I$89,5,0)</f>
        <v>4.9658410716801891E-14</v>
      </c>
      <c r="CV100" s="14">
        <f t="shared" si="95"/>
        <v>8.0934058173791862E-13</v>
      </c>
      <c r="CW100" s="22">
        <f t="shared" si="67"/>
        <v>1.4960899118586383E-12</v>
      </c>
      <c r="CX100" s="62">
        <f t="shared" si="68"/>
        <v>293.33333333333479</v>
      </c>
      <c r="CY100" s="62">
        <f ca="1">AVERAGE(OFFSET($CX$3,0,0,'Données projet'!$E$13+1,1))-AVERAGE(OFFSET($H$3,0,0,'Données projet'!$E$13+1,1))</f>
        <v>333.56306908115238</v>
      </c>
      <c r="CZ100" s="62">
        <f t="shared" si="96"/>
        <v>523.65456887919618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4.5474735088646412E-13</v>
      </c>
      <c r="DP100" s="18">
        <f>DO100*VLOOKUP('Données projet'!$B$14,Paramètres!$A$1:$I$89,3,0)*VLOOKUP('Données projet'!$B$14,Paramètres!$A$1:$I$89,5,0)</f>
        <v>3.3342075766995548E-13</v>
      </c>
      <c r="DQ100" s="14">
        <f t="shared" si="97"/>
        <v>4.3537988100583648E-12</v>
      </c>
      <c r="DR100" s="22">
        <f t="shared" si="70"/>
        <v>8.1635740804601579E-12</v>
      </c>
      <c r="DS100" s="62">
        <f t="shared" si="71"/>
        <v>293.3333333333415</v>
      </c>
      <c r="DT100" s="62">
        <f ca="1">AVERAGE(OFFSET($DS$3,0,0,'Données projet'!$E$14+1,1))-AVERAGE(OFFSET($H$3,0,0,'Données projet'!$E$14+1,1))</f>
        <v>397.24714625007675</v>
      </c>
      <c r="DU100" s="62">
        <f t="shared" si="98"/>
        <v>431.75775520200608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9">
        <f t="shared" si="56"/>
        <v>256.66666666666669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349.19999999999993</v>
      </c>
      <c r="O101" s="14">
        <f>N101*VLOOKUP('Données projet'!$B$9,Paramètres!$A$1:$I$89,3,0)*VLOOKUP('Données projet'!$B$9,Paramètres!$A$1:$I$89,5,0)</f>
        <v>315.9561599999999</v>
      </c>
      <c r="P101" s="14">
        <f t="shared" si="87"/>
        <v>74.511332350300975</v>
      </c>
      <c r="Q101" s="22">
        <f t="shared" si="107"/>
        <v>680.06421584344059</v>
      </c>
      <c r="R101" s="62">
        <f t="shared" si="55"/>
        <v>973.39754917677396</v>
      </c>
      <c r="S101" s="62">
        <f ca="1">AVERAGE(OFFSET($R$3,0,0,'Données projet'!$E$9+1,1))-AVERAGE(OFFSET($H$3,0,0,'Données projet'!$E$9+1,1))</f>
        <v>509.56241660612449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-9.7543306765146564E-14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625.17723604265689</v>
      </c>
      <c r="AO101" s="62">
        <f t="shared" si="90"/>
        <v>462.33909258902241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3.5897435897435854</v>
      </c>
      <c r="BD101" s="13">
        <f>IF('Données projet'!$A$88&gt;35,BD100+BC101-BL100,IF(A101&lt;'Données projet'!$A$88,$BA$205^A101,IF(A101='Données projet'!$A$88,'Données projet'!$B$88,BD100+BC101-BL100)))</f>
        <v>251.15384615384616</v>
      </c>
      <c r="BE101" s="14">
        <f>BD101*VLOOKUP('Données projet'!$B$11,Paramètres!$A$1:$I$89,3,0)*VLOOKUP('Données projet'!$B$11,Paramètres!$A$1:$I$89,5,0)</f>
        <v>238.99799999999999</v>
      </c>
      <c r="BF101" s="14">
        <f t="shared" si="91"/>
        <v>58.223892835547517</v>
      </c>
      <c r="BG101" s="22">
        <f t="shared" si="61"/>
        <v>517.66146335524525</v>
      </c>
      <c r="BH101" s="62">
        <f t="shared" si="62"/>
        <v>810.99479668857862</v>
      </c>
      <c r="BI101" s="62">
        <f ca="1">AVERAGE(OFFSET($BH$3,0,0,'Données projet'!$E$11+1,1))-AVERAGE(OFFSET($H$3,0,0,'Données projet'!$E$11+1,1))</f>
        <v>406.24139966722936</v>
      </c>
      <c r="BJ101" s="62">
        <f t="shared" si="92"/>
        <v>295.95724296920577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5.9</v>
      </c>
      <c r="BY101" s="13">
        <f>IF('Données projet'!$A$114&gt;35,BY100+BX101-CG100,IF(A101&lt;'Données projet'!$A$114,$BV$205^A101,IF(A101='Données projet'!$A$114,'Données projet'!$B$114,BY100+BX101-CG100)))</f>
        <v>349.19999999999993</v>
      </c>
      <c r="BZ101" s="14">
        <f>BY101*VLOOKUP('Données projet'!$B$12,Paramètres!$A$1:$I$89,3,0)*VLOOKUP('Données projet'!$B$12,Paramètres!$A$1:$I$89,5,0)</f>
        <v>354.08879999999994</v>
      </c>
      <c r="CA101" s="14">
        <f t="shared" si="93"/>
        <v>82.403867662302346</v>
      </c>
      <c r="CB101" s="22">
        <f t="shared" si="64"/>
        <v>760.22472951184307</v>
      </c>
      <c r="CC101" s="62">
        <f t="shared" si="65"/>
        <v>1053.5580628451764</v>
      </c>
      <c r="CD101" s="62">
        <f ca="1">AVERAGE(OFFSET($CC$3,0,0,'Données projet'!$E$12+1,1))-AVERAGE(OFFSET($H$3,0,0,'Données projet'!$E$12+1,1))</f>
        <v>565.72091871734051</v>
      </c>
      <c r="CE101" s="62">
        <f t="shared" si="94"/>
        <v>306.61893266146666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5.6843418860808015E-14</v>
      </c>
      <c r="CU101" s="18">
        <f>CT101*VLOOKUP('Données projet'!$B$13,Paramètres!$A$1:$I$89,3,0)*VLOOKUP('Données projet'!$B$13,Paramètres!$A$1:$I$89,5,0)</f>
        <v>4.9658410716801891E-14</v>
      </c>
      <c r="CV101" s="14">
        <f t="shared" si="95"/>
        <v>8.0934058173791862E-13</v>
      </c>
      <c r="CW101" s="22">
        <f t="shared" si="67"/>
        <v>1.4960899118586383E-12</v>
      </c>
      <c r="CX101" s="62">
        <f t="shared" si="68"/>
        <v>293.33333333333479</v>
      </c>
      <c r="CY101" s="62">
        <f ca="1">AVERAGE(OFFSET($CX$3,0,0,'Données projet'!$E$13+1,1))-AVERAGE(OFFSET($H$3,0,0,'Données projet'!$E$13+1,1))</f>
        <v>333.56306908115238</v>
      </c>
      <c r="CZ101" s="62">
        <f t="shared" si="96"/>
        <v>523.65456887919618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4.5474735088646412E-13</v>
      </c>
      <c r="DP101" s="18">
        <f>DO101*VLOOKUP('Données projet'!$B$14,Paramètres!$A$1:$I$89,3,0)*VLOOKUP('Données projet'!$B$14,Paramètres!$A$1:$I$89,5,0)</f>
        <v>3.3342075766995548E-13</v>
      </c>
      <c r="DQ101" s="14">
        <f t="shared" si="97"/>
        <v>4.3537988100583648E-12</v>
      </c>
      <c r="DR101" s="22">
        <f t="shared" si="70"/>
        <v>8.1635740804601579E-12</v>
      </c>
      <c r="DS101" s="62">
        <f t="shared" si="71"/>
        <v>293.3333333333415</v>
      </c>
      <c r="DT101" s="62">
        <f ca="1">AVERAGE(OFFSET($DS$3,0,0,'Données projet'!$E$14+1,1))-AVERAGE(OFFSET($H$3,0,0,'Données projet'!$E$14+1,1))</f>
        <v>397.24714625007675</v>
      </c>
      <c r="DU101" s="62">
        <f t="shared" si="98"/>
        <v>431.75775520200608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9">
        <f t="shared" si="56"/>
        <v>256.66666666666669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355.09999999999991</v>
      </c>
      <c r="O102" s="14">
        <f>N102*VLOOKUP('Données projet'!$B$9,Paramètres!$A$1:$I$89,3,0)*VLOOKUP('Données projet'!$B$9,Paramètres!$A$1:$I$89,5,0)</f>
        <v>321.29447999999991</v>
      </c>
      <c r="P102" s="14">
        <f t="shared" si="87"/>
        <v>75.622632084792471</v>
      </c>
      <c r="Q102" s="22">
        <f t="shared" si="107"/>
        <v>691.29730354767992</v>
      </c>
      <c r="R102" s="62">
        <f t="shared" si="55"/>
        <v>984.63063688101329</v>
      </c>
      <c r="S102" s="62">
        <f ca="1">AVERAGE(OFFSET($R$3,0,0,'Données projet'!$E$9+1,1))-AVERAGE(OFFSET($H$3,0,0,'Données projet'!$E$9+1,1))</f>
        <v>509.56241660612449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-9.7543306765146564E-14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625.17723604265689</v>
      </c>
      <c r="AO102" s="62">
        <f t="shared" si="90"/>
        <v>462.33909258902241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3.5897435897435854</v>
      </c>
      <c r="BD102" s="13">
        <f>IF('Données projet'!$A$88&gt;35,BD101+BC102-BL101,IF(A102&lt;'Données projet'!$A$88,$BA$205^A102,IF(A102='Données projet'!$A$88,'Données projet'!$B$88,BD101+BC102-BL101)))</f>
        <v>254.74358974358975</v>
      </c>
      <c r="BE102" s="14">
        <f>BD102*VLOOKUP('Données projet'!$B$11,Paramètres!$A$1:$I$89,3,0)*VLOOKUP('Données projet'!$B$11,Paramètres!$A$1:$I$89,5,0)</f>
        <v>242.41400000000002</v>
      </c>
      <c r="BF102" s="14">
        <f t="shared" si="91"/>
        <v>58.958611429073422</v>
      </c>
      <c r="BG102" s="22">
        <f t="shared" si="61"/>
        <v>524.89063157230294</v>
      </c>
      <c r="BH102" s="62">
        <f t="shared" si="62"/>
        <v>818.22396490563619</v>
      </c>
      <c r="BI102" s="62">
        <f ca="1">AVERAGE(OFFSET($BH$3,0,0,'Données projet'!$E$11+1,1))-AVERAGE(OFFSET($H$3,0,0,'Données projet'!$E$11+1,1))</f>
        <v>406.24139966722936</v>
      </c>
      <c r="BJ102" s="62">
        <f t="shared" si="92"/>
        <v>295.95724296920577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5.9</v>
      </c>
      <c r="BY102" s="13">
        <f>IF('Données projet'!$A$114&gt;35,BY101+BX102-CG101,IF(A102&lt;'Données projet'!$A$114,$BV$205^A102,IF(A102='Données projet'!$A$114,'Données projet'!$B$114,BY101+BX102-CG101)))</f>
        <v>355.09999999999991</v>
      </c>
      <c r="BZ102" s="14">
        <f>BY102*VLOOKUP('Données projet'!$B$12,Paramètres!$A$1:$I$89,3,0)*VLOOKUP('Données projet'!$B$12,Paramètres!$A$1:$I$89,5,0)</f>
        <v>360.07139999999993</v>
      </c>
      <c r="CA102" s="14">
        <f t="shared" si="93"/>
        <v>83.632880664293282</v>
      </c>
      <c r="CB102" s="22">
        <f t="shared" si="64"/>
        <v>772.78495549031061</v>
      </c>
      <c r="CC102" s="62">
        <f t="shared" si="65"/>
        <v>1066.118288823644</v>
      </c>
      <c r="CD102" s="62">
        <f ca="1">AVERAGE(OFFSET($CC$3,0,0,'Données projet'!$E$12+1,1))-AVERAGE(OFFSET($H$3,0,0,'Données projet'!$E$12+1,1))</f>
        <v>565.72091871734051</v>
      </c>
      <c r="CE102" s="62">
        <f t="shared" si="94"/>
        <v>306.61893266146666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5.6843418860808015E-14</v>
      </c>
      <c r="CU102" s="18">
        <f>CT102*VLOOKUP('Données projet'!$B$13,Paramètres!$A$1:$I$89,3,0)*VLOOKUP('Données projet'!$B$13,Paramètres!$A$1:$I$89,5,0)</f>
        <v>4.9658410716801891E-14</v>
      </c>
      <c r="CV102" s="14">
        <f t="shared" si="95"/>
        <v>8.0934058173791862E-13</v>
      </c>
      <c r="CW102" s="22">
        <f t="shared" si="67"/>
        <v>1.4960899118586383E-12</v>
      </c>
      <c r="CX102" s="62">
        <f t="shared" si="68"/>
        <v>293.33333333333479</v>
      </c>
      <c r="CY102" s="62">
        <f ca="1">AVERAGE(OFFSET($CX$3,0,0,'Données projet'!$E$13+1,1))-AVERAGE(OFFSET($H$3,0,0,'Données projet'!$E$13+1,1))</f>
        <v>333.56306908115238</v>
      </c>
      <c r="CZ102" s="62">
        <f t="shared" si="96"/>
        <v>523.65456887919618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4.5474735088646412E-13</v>
      </c>
      <c r="DP102" s="18">
        <f>DO102*VLOOKUP('Données projet'!$B$14,Paramètres!$A$1:$I$89,3,0)*VLOOKUP('Données projet'!$B$14,Paramètres!$A$1:$I$89,5,0)</f>
        <v>3.3342075766995548E-13</v>
      </c>
      <c r="DQ102" s="14">
        <f t="shared" si="97"/>
        <v>4.3537988100583648E-12</v>
      </c>
      <c r="DR102" s="22">
        <f t="shared" si="70"/>
        <v>8.1635740804601579E-12</v>
      </c>
      <c r="DS102" s="62">
        <f t="shared" si="71"/>
        <v>293.3333333333415</v>
      </c>
      <c r="DT102" s="62">
        <f ca="1">AVERAGE(OFFSET($DS$3,0,0,'Données projet'!$E$14+1,1))-AVERAGE(OFFSET($H$3,0,0,'Données projet'!$E$14+1,1))</f>
        <v>397.24714625007675</v>
      </c>
      <c r="DU102" s="62">
        <f t="shared" si="98"/>
        <v>431.75775520200608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9">
        <f t="shared" si="56"/>
        <v>256.66666666666669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360.99999999999989</v>
      </c>
      <c r="O103" s="14">
        <f>N103*VLOOKUP('Données projet'!$B$9,Paramètres!$A$1:$I$89,3,0)*VLOOKUP('Données projet'!$B$9,Paramètres!$A$1:$I$89,5,0)</f>
        <v>326.63279999999986</v>
      </c>
      <c r="P103" s="14">
        <f t="shared" si="87"/>
        <v>76.731784548754774</v>
      </c>
      <c r="Q103" s="22">
        <f t="shared" si="107"/>
        <v>702.52665142241437</v>
      </c>
      <c r="R103" s="62">
        <f t="shared" si="55"/>
        <v>995.85998475574775</v>
      </c>
      <c r="S103" s="62">
        <f ca="1">AVERAGE(OFFSET($R$3,0,0,'Données projet'!$E$9+1,1))-AVERAGE(OFFSET($H$3,0,0,'Données projet'!$E$9+1,1))</f>
        <v>509.56241660612449</v>
      </c>
      <c r="T103" s="62">
        <f t="shared" si="88"/>
        <v>278.21741231699929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55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-9.7543306765146564E-14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625.17723604265689</v>
      </c>
      <c r="AO103" s="62">
        <f t="shared" si="90"/>
        <v>462.33909258902241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258.33333333333331</v>
      </c>
      <c r="BB103" s="13">
        <f>VLOOKUP(A103,'Données projet'!$A$87:$I$107,9,0)</f>
        <v>3.5897435897435854</v>
      </c>
      <c r="BC103" s="13">
        <f t="array" ref="BC103">INDEX(BB:BB,MIN(IF(ISNUMBER(BB103:BB299),ROW(BB103:BB299),"")))</f>
        <v>3.5897435897435854</v>
      </c>
      <c r="BD103" s="13">
        <f>IF('Données projet'!$A$88&gt;35,BD102+BC103-BL102,IF(A103&lt;'Données projet'!$A$88,$BA$205^A103,IF(A103='Données projet'!$A$88,'Données projet'!$B$88,BD102+BC103-BL102)))</f>
        <v>258.33333333333331</v>
      </c>
      <c r="BE103" s="14">
        <f>BD103*VLOOKUP('Données projet'!$B$11,Paramètres!$A$1:$I$89,3,0)*VLOOKUP('Données projet'!$B$11,Paramètres!$A$1:$I$89,5,0)</f>
        <v>245.82999999999998</v>
      </c>
      <c r="BF103" s="14">
        <f t="shared" si="91"/>
        <v>59.692125837514034</v>
      </c>
      <c r="BG103" s="22">
        <f t="shared" si="61"/>
        <v>532.11770250033692</v>
      </c>
      <c r="BH103" s="62">
        <f t="shared" si="62"/>
        <v>825.45103583367018</v>
      </c>
      <c r="BI103" s="62">
        <f ca="1">AVERAGE(OFFSET($BH$3,0,0,'Données projet'!$E$11+1,1))-AVERAGE(OFFSET($H$3,0,0,'Données projet'!$E$11+1,1))</f>
        <v>406.24139966722936</v>
      </c>
      <c r="BJ103" s="62">
        <f t="shared" si="92"/>
        <v>295.95724296920577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361</v>
      </c>
      <c r="BW103" s="13">
        <f>VLOOKUP(A103,'Données projet'!$A$113:$I$133,9,0)</f>
        <v>5.9</v>
      </c>
      <c r="BX103" s="13">
        <f t="array" ref="BX103">INDEX(BW:BW,MIN(IF(ISNUMBER(BW103:BW299),ROW(BW103:BW299),"")))</f>
        <v>5.9</v>
      </c>
      <c r="BY103" s="13">
        <f>IF('Données projet'!$A$114&gt;35,BY102+BX103-CG102,IF(A103&lt;'Données projet'!$A$114,$BV$205^A103,IF(A103='Données projet'!$A$114,'Données projet'!$B$114,BY102+BX103-CG102)))</f>
        <v>360.99999999999989</v>
      </c>
      <c r="BZ103" s="14">
        <f>BY103*VLOOKUP('Données projet'!$B$12,Paramètres!$A$1:$I$89,3,0)*VLOOKUP('Données projet'!$B$12,Paramètres!$A$1:$I$89,5,0)</f>
        <v>366.05399999999986</v>
      </c>
      <c r="CA103" s="14">
        <f t="shared" si="93"/>
        <v>84.85951894835965</v>
      </c>
      <c r="CB103" s="22">
        <f t="shared" si="64"/>
        <v>785.34104550172617</v>
      </c>
      <c r="CC103" s="62">
        <f t="shared" si="65"/>
        <v>1078.6743788350595</v>
      </c>
      <c r="CD103" s="62">
        <f ca="1">AVERAGE(OFFSET($CC$3,0,0,'Données projet'!$E$12+1,1))-AVERAGE(OFFSET($H$3,0,0,'Données projet'!$E$12+1,1))</f>
        <v>565.72091871734051</v>
      </c>
      <c r="CE103" s="62">
        <f t="shared" si="94"/>
        <v>306.61893266146666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55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5.6843418860808015E-14</v>
      </c>
      <c r="CU103" s="18">
        <f>CT103*VLOOKUP('Données projet'!$B$13,Paramètres!$A$1:$I$89,3,0)*VLOOKUP('Données projet'!$B$13,Paramètres!$A$1:$I$89,5,0)</f>
        <v>4.9658410716801891E-14</v>
      </c>
      <c r="CV103" s="14">
        <f t="shared" si="95"/>
        <v>8.0934058173791862E-13</v>
      </c>
      <c r="CW103" s="22">
        <f t="shared" si="67"/>
        <v>1.4960899118586383E-12</v>
      </c>
      <c r="CX103" s="62">
        <f t="shared" si="68"/>
        <v>293.33333333333479</v>
      </c>
      <c r="CY103" s="62">
        <f ca="1">AVERAGE(OFFSET($CX$3,0,0,'Données projet'!$E$13+1,1))-AVERAGE(OFFSET($H$3,0,0,'Données projet'!$E$13+1,1))</f>
        <v>333.56306908115238</v>
      </c>
      <c r="CZ103" s="62">
        <f t="shared" si="96"/>
        <v>523.65456887919618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4.5474735088646412E-13</v>
      </c>
      <c r="DP103" s="18">
        <f>DO103*VLOOKUP('Données projet'!$B$14,Paramètres!$A$1:$I$89,3,0)*VLOOKUP('Données projet'!$B$14,Paramètres!$A$1:$I$89,5,0)</f>
        <v>3.3342075766995548E-13</v>
      </c>
      <c r="DQ103" s="14">
        <f t="shared" si="97"/>
        <v>4.3537988100583648E-12</v>
      </c>
      <c r="DR103" s="22">
        <f t="shared" si="70"/>
        <v>8.1635740804601579E-12</v>
      </c>
      <c r="DS103" s="62">
        <f t="shared" si="71"/>
        <v>293.3333333333415</v>
      </c>
      <c r="DT103" s="62">
        <f ca="1">AVERAGE(OFFSET($DS$3,0,0,'Données projet'!$E$14+1,1))-AVERAGE(OFFSET($H$3,0,0,'Données projet'!$E$14+1,1))</f>
        <v>397.24714625007675</v>
      </c>
      <c r="DU103" s="62">
        <f t="shared" si="98"/>
        <v>431.75775520200608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9">
        <f t="shared" si="56"/>
        <v>256.66666666666669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311.39999999999986</v>
      </c>
      <c r="O104" s="14">
        <f>N104*VLOOKUP('Données projet'!$B$9,Paramètres!$A$1:$I$89,3,0)*VLOOKUP('Données projet'!$B$9,Paramètres!$A$1:$I$89,5,0)</f>
        <v>281.75471999999985</v>
      </c>
      <c r="P104" s="14">
        <f t="shared" si="87"/>
        <v>67.337696723120317</v>
      </c>
      <c r="Q104" s="22">
        <f t="shared" si="107"/>
        <v>608.0026257927675</v>
      </c>
      <c r="R104" s="62">
        <f t="shared" si="55"/>
        <v>901.33595912610076</v>
      </c>
      <c r="S104" s="62">
        <f ca="1">AVERAGE(OFFSET($R$3,0,0,'Données projet'!$E$9+1,1))-AVERAGE(OFFSET($H$3,0,0,'Données projet'!$E$9+1,1))</f>
        <v>509.56241660612449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-9.7543306765146564E-14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625.17723604265689</v>
      </c>
      <c r="AO104" s="62">
        <f t="shared" si="90"/>
        <v>462.33909258902241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3.3974358974359005</v>
      </c>
      <c r="BD104" s="13">
        <f>IF('Données projet'!$A$88&gt;35,BD103+BC104-BL103,IF(A104&lt;'Données projet'!$A$88,$BA$205^A104,IF(A104='Données projet'!$A$88,'Données projet'!$B$88,BD103+BC104-BL103)))</f>
        <v>261.73076923076923</v>
      </c>
      <c r="BE104" s="14">
        <f>BD104*VLOOKUP('Données projet'!$B$11,Paramètres!$A$1:$I$89,3,0)*VLOOKUP('Données projet'!$B$11,Paramètres!$A$1:$I$89,5,0)</f>
        <v>249.06300000000002</v>
      </c>
      <c r="BF104" s="14">
        <f t="shared" si="91"/>
        <v>60.385252576343511</v>
      </c>
      <c r="BG104" s="22">
        <f t="shared" si="61"/>
        <v>538.95570657046494</v>
      </c>
      <c r="BH104" s="62">
        <f t="shared" si="62"/>
        <v>832.28903990379831</v>
      </c>
      <c r="BI104" s="62">
        <f ca="1">AVERAGE(OFFSET($BH$3,0,0,'Données projet'!$E$11+1,1))-AVERAGE(OFFSET($H$3,0,0,'Données projet'!$E$11+1,1))</f>
        <v>406.24139966722936</v>
      </c>
      <c r="BJ104" s="62">
        <f t="shared" si="92"/>
        <v>295.95724296920577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311.39999999999986</v>
      </c>
      <c r="BZ104" s="14">
        <f>BY104*VLOOKUP('Données projet'!$B$12,Paramètres!$A$1:$I$89,3,0)*VLOOKUP('Données projet'!$B$12,Paramètres!$A$1:$I$89,5,0)</f>
        <v>315.75959999999986</v>
      </c>
      <c r="CA104" s="14">
        <f t="shared" si="93"/>
        <v>74.470372149154613</v>
      </c>
      <c r="CB104" s="22">
        <f t="shared" si="64"/>
        <v>679.65053482644407</v>
      </c>
      <c r="CC104" s="62">
        <f t="shared" si="65"/>
        <v>972.98386815977733</v>
      </c>
      <c r="CD104" s="62">
        <f ca="1">AVERAGE(OFFSET($CC$3,0,0,'Données projet'!$E$12+1,1))-AVERAGE(OFFSET($H$3,0,0,'Données projet'!$E$12+1,1))</f>
        <v>565.72091871734051</v>
      </c>
      <c r="CE104" s="62">
        <f t="shared" si="94"/>
        <v>306.61893266146666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5.6843418860808015E-14</v>
      </c>
      <c r="CU104" s="18">
        <f>CT104*VLOOKUP('Données projet'!$B$13,Paramètres!$A$1:$I$89,3,0)*VLOOKUP('Données projet'!$B$13,Paramètres!$A$1:$I$89,5,0)</f>
        <v>4.9658410716801891E-14</v>
      </c>
      <c r="CV104" s="14">
        <f t="shared" si="95"/>
        <v>8.0934058173791862E-13</v>
      </c>
      <c r="CW104" s="22">
        <f t="shared" si="67"/>
        <v>1.4960899118586383E-12</v>
      </c>
      <c r="CX104" s="62">
        <f t="shared" si="68"/>
        <v>293.33333333333479</v>
      </c>
      <c r="CY104" s="62">
        <f ca="1">AVERAGE(OFFSET($CX$3,0,0,'Données projet'!$E$13+1,1))-AVERAGE(OFFSET($H$3,0,0,'Données projet'!$E$13+1,1))</f>
        <v>333.56306908115238</v>
      </c>
      <c r="CZ104" s="62">
        <f t="shared" si="96"/>
        <v>523.65456887919618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4.5474735088646412E-13</v>
      </c>
      <c r="DP104" s="18">
        <f>DO104*VLOOKUP('Données projet'!$B$14,Paramètres!$A$1:$I$89,3,0)*VLOOKUP('Données projet'!$B$14,Paramètres!$A$1:$I$89,5,0)</f>
        <v>3.3342075766995548E-13</v>
      </c>
      <c r="DQ104" s="14">
        <f t="shared" si="97"/>
        <v>4.3537988100583648E-12</v>
      </c>
      <c r="DR104" s="22">
        <f t="shared" si="70"/>
        <v>8.1635740804601579E-12</v>
      </c>
      <c r="DS104" s="62">
        <f t="shared" si="71"/>
        <v>293.3333333333415</v>
      </c>
      <c r="DT104" s="62">
        <f ca="1">AVERAGE(OFFSET($DS$3,0,0,'Données projet'!$E$14+1,1))-AVERAGE(OFFSET($H$3,0,0,'Données projet'!$E$14+1,1))</f>
        <v>397.24714625007675</v>
      </c>
      <c r="DU104" s="62">
        <f t="shared" si="98"/>
        <v>431.75775520200608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9">
        <f t="shared" si="56"/>
        <v>256.66666666666669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316.79999999999984</v>
      </c>
      <c r="O105" s="14">
        <f>N105*VLOOKUP('Données projet'!$B$9,Paramètres!$A$1:$I$89,3,0)*VLOOKUP('Données projet'!$B$9,Paramètres!$A$1:$I$89,5,0)</f>
        <v>286.64063999999985</v>
      </c>
      <c r="P105" s="14">
        <f t="shared" si="87"/>
        <v>68.368446832003599</v>
      </c>
      <c r="Q105" s="22">
        <f t="shared" si="107"/>
        <v>618.3074928990726</v>
      </c>
      <c r="R105" s="62">
        <f t="shared" si="55"/>
        <v>911.64082623240597</v>
      </c>
      <c r="S105" s="62">
        <f ca="1">AVERAGE(OFFSET($R$3,0,0,'Données projet'!$E$9+1,1))-AVERAGE(OFFSET($H$3,0,0,'Données projet'!$E$9+1,1))</f>
        <v>509.56241660612449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-9.7543306765146564E-14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625.17723604265689</v>
      </c>
      <c r="AO105" s="62">
        <f t="shared" si="90"/>
        <v>462.33909258902241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3.3974358974359005</v>
      </c>
      <c r="BD105" s="13">
        <f>IF('Données projet'!$A$88&gt;35,BD104+BC105-BL104,IF(A105&lt;'Données projet'!$A$88,$BA$205^A105,IF(A105='Données projet'!$A$88,'Données projet'!$B$88,BD104+BC105-BL104)))</f>
        <v>265.12820512820514</v>
      </c>
      <c r="BE105" s="14">
        <f>BD105*VLOOKUP('Données projet'!$B$11,Paramètres!$A$1:$I$89,3,0)*VLOOKUP('Données projet'!$B$11,Paramètres!$A$1:$I$89,5,0)</f>
        <v>252.29600000000002</v>
      </c>
      <c r="BF105" s="14">
        <f t="shared" si="91"/>
        <v>61.077332796544965</v>
      </c>
      <c r="BG105" s="22">
        <f t="shared" si="61"/>
        <v>545.7918879539825</v>
      </c>
      <c r="BH105" s="62">
        <f t="shared" si="62"/>
        <v>839.12522128731575</v>
      </c>
      <c r="BI105" s="62">
        <f ca="1">AVERAGE(OFFSET($BH$3,0,0,'Données projet'!$E$11+1,1))-AVERAGE(OFFSET($H$3,0,0,'Données projet'!$E$11+1,1))</f>
        <v>406.24139966722936</v>
      </c>
      <c r="BJ105" s="62">
        <f t="shared" si="92"/>
        <v>295.95724296920577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316.79999999999984</v>
      </c>
      <c r="BZ105" s="14">
        <f>BY105*VLOOKUP('Données projet'!$B$12,Paramètres!$A$1:$I$89,3,0)*VLOOKUP('Données projet'!$B$12,Paramètres!$A$1:$I$89,5,0)</f>
        <v>321.23519999999985</v>
      </c>
      <c r="CA105" s="14">
        <f t="shared" si="93"/>
        <v>75.610303390297929</v>
      </c>
      <c r="CB105" s="22">
        <f t="shared" si="64"/>
        <v>691.17258507143526</v>
      </c>
      <c r="CC105" s="62">
        <f t="shared" si="65"/>
        <v>984.50591840476864</v>
      </c>
      <c r="CD105" s="62">
        <f ca="1">AVERAGE(OFFSET($CC$3,0,0,'Données projet'!$E$12+1,1))-AVERAGE(OFFSET($H$3,0,0,'Données projet'!$E$12+1,1))</f>
        <v>565.72091871734051</v>
      </c>
      <c r="CE105" s="62">
        <f t="shared" si="94"/>
        <v>306.61893266146666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5.6843418860808015E-14</v>
      </c>
      <c r="CU105" s="18">
        <f>CT105*VLOOKUP('Données projet'!$B$13,Paramètres!$A$1:$I$89,3,0)*VLOOKUP('Données projet'!$B$13,Paramètres!$A$1:$I$89,5,0)</f>
        <v>4.9658410716801891E-14</v>
      </c>
      <c r="CV105" s="14">
        <f t="shared" si="95"/>
        <v>8.0934058173791862E-13</v>
      </c>
      <c r="CW105" s="22">
        <f t="shared" si="67"/>
        <v>1.4960899118586383E-12</v>
      </c>
      <c r="CX105" s="62">
        <f t="shared" si="68"/>
        <v>293.33333333333479</v>
      </c>
      <c r="CY105" s="62">
        <f ca="1">AVERAGE(OFFSET($CX$3,0,0,'Données projet'!$E$13+1,1))-AVERAGE(OFFSET($H$3,0,0,'Données projet'!$E$13+1,1))</f>
        <v>333.56306908115238</v>
      </c>
      <c r="CZ105" s="62">
        <f t="shared" si="96"/>
        <v>523.65456887919618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4.5474735088646412E-13</v>
      </c>
      <c r="DP105" s="18">
        <f>DO105*VLOOKUP('Données projet'!$B$14,Paramètres!$A$1:$I$89,3,0)*VLOOKUP('Données projet'!$B$14,Paramètres!$A$1:$I$89,5,0)</f>
        <v>3.3342075766995548E-13</v>
      </c>
      <c r="DQ105" s="14">
        <f t="shared" si="97"/>
        <v>4.3537988100583648E-12</v>
      </c>
      <c r="DR105" s="22">
        <f t="shared" si="70"/>
        <v>8.1635740804601579E-12</v>
      </c>
      <c r="DS105" s="62">
        <f t="shared" si="71"/>
        <v>293.3333333333415</v>
      </c>
      <c r="DT105" s="62">
        <f ca="1">AVERAGE(OFFSET($DS$3,0,0,'Données projet'!$E$14+1,1))-AVERAGE(OFFSET($H$3,0,0,'Données projet'!$E$14+1,1))</f>
        <v>397.24714625007675</v>
      </c>
      <c r="DU105" s="62">
        <f t="shared" si="98"/>
        <v>431.75775520200608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9">
        <f t="shared" si="56"/>
        <v>256.66666666666669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322.19999999999982</v>
      </c>
      <c r="O106" s="14">
        <f>N106*VLOOKUP('Données projet'!$B$9,Paramètres!$A$1:$I$89,3,0)*VLOOKUP('Données projet'!$B$9,Paramètres!$A$1:$I$89,5,0)</f>
        <v>291.52655999999985</v>
      </c>
      <c r="P106" s="14">
        <f t="shared" si="87"/>
        <v>69.397153761857183</v>
      </c>
      <c r="Q106" s="22">
        <f t="shared" si="107"/>
        <v>628.60880146856755</v>
      </c>
      <c r="R106" s="62">
        <f t="shared" si="55"/>
        <v>921.94213480190092</v>
      </c>
      <c r="S106" s="62">
        <f ca="1">AVERAGE(OFFSET($R$3,0,0,'Données projet'!$E$9+1,1))-AVERAGE(OFFSET($H$3,0,0,'Données projet'!$E$9+1,1))</f>
        <v>509.56241660612449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-9.7543306765146564E-14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625.17723604265689</v>
      </c>
      <c r="AO106" s="62">
        <f t="shared" si="90"/>
        <v>462.33909258902241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3.3974358974359005</v>
      </c>
      <c r="BD106" s="13">
        <f>IF('Données projet'!$A$88&gt;35,BD105+BC106-BL105,IF(A106&lt;'Données projet'!$A$88,$BA$205^A106,IF(A106='Données projet'!$A$88,'Données projet'!$B$88,BD105+BC106-BL105)))</f>
        <v>268.52564102564105</v>
      </c>
      <c r="BE106" s="14">
        <f>BD106*VLOOKUP('Données projet'!$B$11,Paramètres!$A$1:$I$89,3,0)*VLOOKUP('Données projet'!$B$11,Paramètres!$A$1:$I$89,5,0)</f>
        <v>255.52900000000002</v>
      </c>
      <c r="BF106" s="14">
        <f t="shared" si="91"/>
        <v>61.768381459172247</v>
      </c>
      <c r="BG106" s="22">
        <f t="shared" si="61"/>
        <v>552.62627270805831</v>
      </c>
      <c r="BH106" s="62">
        <f t="shared" si="62"/>
        <v>845.95960604139168</v>
      </c>
      <c r="BI106" s="62">
        <f ca="1">AVERAGE(OFFSET($BH$3,0,0,'Données projet'!$E$11+1,1))-AVERAGE(OFFSET($H$3,0,0,'Données projet'!$E$11+1,1))</f>
        <v>406.24139966722936</v>
      </c>
      <c r="BJ106" s="62">
        <f t="shared" si="92"/>
        <v>295.95724296920577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322.19999999999982</v>
      </c>
      <c r="BZ106" s="14">
        <f>BY106*VLOOKUP('Données projet'!$B$12,Paramètres!$A$1:$I$89,3,0)*VLOOKUP('Données projet'!$B$12,Paramètres!$A$1:$I$89,5,0)</f>
        <v>326.71079999999984</v>
      </c>
      <c r="CA106" s="14">
        <f t="shared" si="93"/>
        <v>76.747975030799822</v>
      </c>
      <c r="CB106" s="22">
        <f t="shared" si="64"/>
        <v>702.69069984530927</v>
      </c>
      <c r="CC106" s="62">
        <f t="shared" si="65"/>
        <v>996.02403317864264</v>
      </c>
      <c r="CD106" s="62">
        <f ca="1">AVERAGE(OFFSET($CC$3,0,0,'Données projet'!$E$12+1,1))-AVERAGE(OFFSET($H$3,0,0,'Données projet'!$E$12+1,1))</f>
        <v>565.72091871734051</v>
      </c>
      <c r="CE106" s="62">
        <f t="shared" si="94"/>
        <v>306.61893266146666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5.6843418860808015E-14</v>
      </c>
      <c r="CU106" s="18">
        <f>CT106*VLOOKUP('Données projet'!$B$13,Paramètres!$A$1:$I$89,3,0)*VLOOKUP('Données projet'!$B$13,Paramètres!$A$1:$I$89,5,0)</f>
        <v>4.9658410716801891E-14</v>
      </c>
      <c r="CV106" s="14">
        <f t="shared" si="95"/>
        <v>8.0934058173791862E-13</v>
      </c>
      <c r="CW106" s="22">
        <f t="shared" si="67"/>
        <v>1.4960899118586383E-12</v>
      </c>
      <c r="CX106" s="62">
        <f t="shared" si="68"/>
        <v>293.33333333333479</v>
      </c>
      <c r="CY106" s="62">
        <f ca="1">AVERAGE(OFFSET($CX$3,0,0,'Données projet'!$E$13+1,1))-AVERAGE(OFFSET($H$3,0,0,'Données projet'!$E$13+1,1))</f>
        <v>333.56306908115238</v>
      </c>
      <c r="CZ106" s="62">
        <f t="shared" si="96"/>
        <v>523.65456887919618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4.5474735088646412E-13</v>
      </c>
      <c r="DP106" s="18">
        <f>DO106*VLOOKUP('Données projet'!$B$14,Paramètres!$A$1:$I$89,3,0)*VLOOKUP('Données projet'!$B$14,Paramètres!$A$1:$I$89,5,0)</f>
        <v>3.3342075766995548E-13</v>
      </c>
      <c r="DQ106" s="14">
        <f t="shared" si="97"/>
        <v>4.3537988100583648E-12</v>
      </c>
      <c r="DR106" s="22">
        <f t="shared" si="70"/>
        <v>8.1635740804601579E-12</v>
      </c>
      <c r="DS106" s="62">
        <f t="shared" si="71"/>
        <v>293.3333333333415</v>
      </c>
      <c r="DT106" s="62">
        <f ca="1">AVERAGE(OFFSET($DS$3,0,0,'Données projet'!$E$14+1,1))-AVERAGE(OFFSET($H$3,0,0,'Données projet'!$E$14+1,1))</f>
        <v>397.24714625007675</v>
      </c>
      <c r="DU106" s="62">
        <f t="shared" si="98"/>
        <v>431.75775520200608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9">
        <f t="shared" si="56"/>
        <v>256.66666666666669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327.5999999999998</v>
      </c>
      <c r="O107" s="14">
        <f>N107*VLOOKUP('Données projet'!$B$9,Paramètres!$A$1:$I$89,3,0)*VLOOKUP('Données projet'!$B$9,Paramètres!$A$1:$I$89,5,0)</f>
        <v>296.41247999999979</v>
      </c>
      <c r="P107" s="14">
        <f t="shared" si="87"/>
        <v>70.423855708154704</v>
      </c>
      <c r="Q107" s="22">
        <f t="shared" si="107"/>
        <v>638.90661802503575</v>
      </c>
      <c r="R107" s="62">
        <f t="shared" si="55"/>
        <v>932.23995135836913</v>
      </c>
      <c r="S107" s="62">
        <f ca="1">AVERAGE(OFFSET($R$3,0,0,'Données projet'!$E$9+1,1))-AVERAGE(OFFSET($H$3,0,0,'Données projet'!$E$9+1,1))</f>
        <v>509.56241660612449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-9.7543306765146564E-14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625.17723604265689</v>
      </c>
      <c r="AO107" s="62">
        <f t="shared" si="90"/>
        <v>462.33909258902241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3.3974358974359005</v>
      </c>
      <c r="BD107" s="13">
        <f>IF('Données projet'!$A$88&gt;35,BD106+BC107-BL106,IF(A107&lt;'Données projet'!$A$88,$BA$205^A107,IF(A107='Données projet'!$A$88,'Données projet'!$B$88,BD106+BC107-BL106)))</f>
        <v>271.92307692307696</v>
      </c>
      <c r="BE107" s="14">
        <f>BD107*VLOOKUP('Données projet'!$B$11,Paramètres!$A$1:$I$89,3,0)*VLOOKUP('Données projet'!$B$11,Paramètres!$A$1:$I$89,5,0)</f>
        <v>258.76200000000006</v>
      </c>
      <c r="BF107" s="14">
        <f t="shared" si="91"/>
        <v>62.458413124928875</v>
      </c>
      <c r="BG107" s="22">
        <f t="shared" si="61"/>
        <v>559.4588861925846</v>
      </c>
      <c r="BH107" s="62">
        <f t="shared" si="62"/>
        <v>852.79221952591797</v>
      </c>
      <c r="BI107" s="62">
        <f ca="1">AVERAGE(OFFSET($BH$3,0,0,'Données projet'!$E$11+1,1))-AVERAGE(OFFSET($H$3,0,0,'Données projet'!$E$11+1,1))</f>
        <v>406.24139966722936</v>
      </c>
      <c r="BJ107" s="62">
        <f t="shared" si="92"/>
        <v>295.95724296920577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327.5999999999998</v>
      </c>
      <c r="BZ107" s="14">
        <f>BY107*VLOOKUP('Données projet'!$B$12,Paramètres!$A$1:$I$89,3,0)*VLOOKUP('Données projet'!$B$12,Paramètres!$A$1:$I$89,5,0)</f>
        <v>332.18639999999982</v>
      </c>
      <c r="CA107" s="14">
        <f t="shared" si="93"/>
        <v>77.88342931194974</v>
      </c>
      <c r="CB107" s="22">
        <f t="shared" si="64"/>
        <v>714.20495271831214</v>
      </c>
      <c r="CC107" s="62">
        <f t="shared" si="65"/>
        <v>1007.5382860516454</v>
      </c>
      <c r="CD107" s="62">
        <f ca="1">AVERAGE(OFFSET($CC$3,0,0,'Données projet'!$E$12+1,1))-AVERAGE(OFFSET($H$3,0,0,'Données projet'!$E$12+1,1))</f>
        <v>565.72091871734051</v>
      </c>
      <c r="CE107" s="62">
        <f t="shared" si="94"/>
        <v>306.61893266146666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5.6843418860808015E-14</v>
      </c>
      <c r="CU107" s="18">
        <f>CT107*VLOOKUP('Données projet'!$B$13,Paramètres!$A$1:$I$89,3,0)*VLOOKUP('Données projet'!$B$13,Paramètres!$A$1:$I$89,5,0)</f>
        <v>4.9658410716801891E-14</v>
      </c>
      <c r="CV107" s="14">
        <f t="shared" si="95"/>
        <v>8.0934058173791862E-13</v>
      </c>
      <c r="CW107" s="22">
        <f t="shared" si="67"/>
        <v>1.4960899118586383E-12</v>
      </c>
      <c r="CX107" s="62">
        <f t="shared" si="68"/>
        <v>293.33333333333479</v>
      </c>
      <c r="CY107" s="62">
        <f ca="1">AVERAGE(OFFSET($CX$3,0,0,'Données projet'!$E$13+1,1))-AVERAGE(OFFSET($H$3,0,0,'Données projet'!$E$13+1,1))</f>
        <v>333.56306908115238</v>
      </c>
      <c r="CZ107" s="62">
        <f t="shared" si="96"/>
        <v>523.65456887919618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4.5474735088646412E-13</v>
      </c>
      <c r="DP107" s="18">
        <f>DO107*VLOOKUP('Données projet'!$B$14,Paramètres!$A$1:$I$89,3,0)*VLOOKUP('Données projet'!$B$14,Paramètres!$A$1:$I$89,5,0)</f>
        <v>3.3342075766995548E-13</v>
      </c>
      <c r="DQ107" s="14">
        <f t="shared" si="97"/>
        <v>4.3537988100583648E-12</v>
      </c>
      <c r="DR107" s="22">
        <f t="shared" si="70"/>
        <v>8.1635740804601579E-12</v>
      </c>
      <c r="DS107" s="62">
        <f t="shared" si="71"/>
        <v>293.3333333333415</v>
      </c>
      <c r="DT107" s="62">
        <f ca="1">AVERAGE(OFFSET($DS$3,0,0,'Données projet'!$E$14+1,1))-AVERAGE(OFFSET($H$3,0,0,'Données projet'!$E$14+1,1))</f>
        <v>397.24714625007675</v>
      </c>
      <c r="DU107" s="62">
        <f t="shared" si="98"/>
        <v>431.75775520200608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9">
        <f t="shared" si="56"/>
        <v>256.66666666666669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332.99999999999977</v>
      </c>
      <c r="O108" s="14">
        <f>N108*VLOOKUP('Données projet'!$B$9,Paramètres!$A$1:$I$89,3,0)*VLOOKUP('Données projet'!$B$9,Paramètres!$A$1:$I$89,5,0)</f>
        <v>301.29839999999979</v>
      </c>
      <c r="P108" s="14">
        <f t="shared" si="87"/>
        <v>71.448589534990461</v>
      </c>
      <c r="Q108" s="22">
        <f t="shared" si="107"/>
        <v>649.20100677344124</v>
      </c>
      <c r="R108" s="62">
        <f t="shared" si="55"/>
        <v>942.53434010677461</v>
      </c>
      <c r="S108" s="62">
        <f ca="1">AVERAGE(OFFSET($R$3,0,0,'Données projet'!$E$9+1,1))-AVERAGE(OFFSET($H$3,0,0,'Données projet'!$E$9+1,1))</f>
        <v>509.56241660612449</v>
      </c>
      <c r="T108" s="62">
        <f t="shared" si="88"/>
        <v>278.21741231699929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-9.7543306765146564E-14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625.17723604265689</v>
      </c>
      <c r="AO108" s="62">
        <f t="shared" si="90"/>
        <v>462.33909258902241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3.3974358974359005</v>
      </c>
      <c r="BD108" s="13">
        <f>IF('Données projet'!$A$88&gt;35,BD107+BC108-BL107,IF(A108&lt;'Données projet'!$A$88,$BA$205^A108,IF(A108='Données projet'!$A$88,'Données projet'!$B$88,BD107+BC108-BL107)))</f>
        <v>275.32051282051287</v>
      </c>
      <c r="BE108" s="14">
        <f>BD108*VLOOKUP('Données projet'!$B$11,Paramètres!$A$1:$I$89,3,0)*VLOOKUP('Données projet'!$B$11,Paramètres!$A$1:$I$89,5,0)</f>
        <v>261.99500000000006</v>
      </c>
      <c r="BF108" s="14">
        <f t="shared" si="91"/>
        <v>63.147441969746581</v>
      </c>
      <c r="BG108" s="22">
        <f t="shared" si="61"/>
        <v>566.28975309730868</v>
      </c>
      <c r="BH108" s="62">
        <f t="shared" si="62"/>
        <v>859.62308643064193</v>
      </c>
      <c r="BI108" s="62">
        <f ca="1">AVERAGE(OFFSET($BH$3,0,0,'Données projet'!$E$11+1,1))-AVERAGE(OFFSET($H$3,0,0,'Données projet'!$E$11+1,1))</f>
        <v>406.24139966722936</v>
      </c>
      <c r="BJ108" s="62">
        <f t="shared" si="92"/>
        <v>295.95724296920577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332.99999999999977</v>
      </c>
      <c r="BZ108" s="14">
        <f>BY108*VLOOKUP('Données projet'!$B$12,Paramètres!$A$1:$I$89,3,0)*VLOOKUP('Données projet'!$B$12,Paramètres!$A$1:$I$89,5,0)</f>
        <v>337.66199999999975</v>
      </c>
      <c r="CA108" s="14">
        <f t="shared" si="93"/>
        <v>79.016707002632614</v>
      </c>
      <c r="CB108" s="22">
        <f t="shared" si="64"/>
        <v>725.71541469625129</v>
      </c>
      <c r="CC108" s="62">
        <f t="shared" si="65"/>
        <v>1019.0487480295847</v>
      </c>
      <c r="CD108" s="62">
        <f ca="1">AVERAGE(OFFSET($CC$3,0,0,'Données projet'!$E$12+1,1))-AVERAGE(OFFSET($H$3,0,0,'Données projet'!$E$12+1,1))</f>
        <v>565.72091871734051</v>
      </c>
      <c r="CE108" s="62">
        <f t="shared" si="94"/>
        <v>306.61893266146666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5.6843418860808015E-14</v>
      </c>
      <c r="CU108" s="18">
        <f>CT108*VLOOKUP('Données projet'!$B$13,Paramètres!$A$1:$I$89,3,0)*VLOOKUP('Données projet'!$B$13,Paramètres!$A$1:$I$89,5,0)</f>
        <v>4.9658410716801891E-14</v>
      </c>
      <c r="CV108" s="14">
        <f t="shared" si="95"/>
        <v>8.0934058173791862E-13</v>
      </c>
      <c r="CW108" s="22">
        <f t="shared" si="67"/>
        <v>1.4960899118586383E-12</v>
      </c>
      <c r="CX108" s="62">
        <f t="shared" si="68"/>
        <v>293.33333333333479</v>
      </c>
      <c r="CY108" s="62">
        <f ca="1">AVERAGE(OFFSET($CX$3,0,0,'Données projet'!$E$13+1,1))-AVERAGE(OFFSET($H$3,0,0,'Données projet'!$E$13+1,1))</f>
        <v>333.56306908115238</v>
      </c>
      <c r="CZ108" s="62">
        <f t="shared" si="96"/>
        <v>523.65456887919618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4.5474735088646412E-13</v>
      </c>
      <c r="DP108" s="18">
        <f>DO108*VLOOKUP('Données projet'!$B$14,Paramètres!$A$1:$I$89,3,0)*VLOOKUP('Données projet'!$B$14,Paramètres!$A$1:$I$89,5,0)</f>
        <v>3.3342075766995548E-13</v>
      </c>
      <c r="DQ108" s="14">
        <f t="shared" si="97"/>
        <v>4.3537988100583648E-12</v>
      </c>
      <c r="DR108" s="22">
        <f t="shared" si="70"/>
        <v>8.1635740804601579E-12</v>
      </c>
      <c r="DS108" s="62">
        <f t="shared" si="71"/>
        <v>293.3333333333415</v>
      </c>
      <c r="DT108" s="62">
        <f ca="1">AVERAGE(OFFSET($DS$3,0,0,'Données projet'!$E$14+1,1))-AVERAGE(OFFSET($H$3,0,0,'Données projet'!$E$14+1,1))</f>
        <v>397.24714625007675</v>
      </c>
      <c r="DU108" s="62">
        <f t="shared" si="98"/>
        <v>431.75775520200608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9">
        <f t="shared" si="56"/>
        <v>256.66666666666669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5.4</v>
      </c>
      <c r="N109" s="14">
        <f>IF('Données projet'!$A$36&gt;35,N108+M109-V108,IF(A109&lt;'Données projet'!$A$36,$K$205^A109,IF(A109='Données projet'!$A$36,'Données projet'!$B$36,N108+M109-V108)))</f>
        <v>338.39999999999975</v>
      </c>
      <c r="O109" s="14">
        <f>N109*VLOOKUP('Données projet'!$B$9,Paramètres!$A$1:$I$89,3,0)*VLOOKUP('Données projet'!$B$9,Paramètres!$A$1:$I$89,5,0)</f>
        <v>306.18431999999979</v>
      </c>
      <c r="P109" s="14">
        <f t="shared" si="87"/>
        <v>72.471390842310868</v>
      </c>
      <c r="Q109" s="22">
        <f t="shared" si="107"/>
        <v>659.49202971702437</v>
      </c>
      <c r="R109" s="62">
        <f t="shared" si="55"/>
        <v>952.82536305035774</v>
      </c>
      <c r="S109" s="62">
        <f ca="1">AVERAGE(OFFSET($R$3,0,0,'Données projet'!$E$9+1,1))-AVERAGE(OFFSET($H$3,0,0,'Données projet'!$E$9+1,1))</f>
        <v>509.56241660612449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-9.7543306765146564E-14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625.17723604265689</v>
      </c>
      <c r="AO109" s="62">
        <f t="shared" si="90"/>
        <v>462.33909258902241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3.3974358974359005</v>
      </c>
      <c r="BD109" s="13">
        <f>IF('Données projet'!$A$88&gt;35,BD108+BC109-BL108,IF(A109&lt;'Données projet'!$A$88,$BA$205^A109,IF(A109='Données projet'!$A$88,'Données projet'!$B$88,BD108+BC109-BL108)))</f>
        <v>278.71794871794879</v>
      </c>
      <c r="BE109" s="14">
        <f>BD109*VLOOKUP('Données projet'!$B$11,Paramètres!$A$1:$I$89,3,0)*VLOOKUP('Données projet'!$B$11,Paramètres!$A$1:$I$89,5,0)</f>
        <v>265.22800000000007</v>
      </c>
      <c r="BF109" s="14">
        <f t="shared" si="91"/>
        <v>63.835481799573074</v>
      </c>
      <c r="BG109" s="22">
        <f t="shared" si="61"/>
        <v>573.11889746758982</v>
      </c>
      <c r="BH109" s="62">
        <f t="shared" si="62"/>
        <v>866.45223080092319</v>
      </c>
      <c r="BI109" s="62">
        <f ca="1">AVERAGE(OFFSET($BH$3,0,0,'Données projet'!$E$11+1,1))-AVERAGE(OFFSET($H$3,0,0,'Données projet'!$E$11+1,1))</f>
        <v>406.24139966722936</v>
      </c>
      <c r="BJ109" s="62">
        <f t="shared" si="92"/>
        <v>295.95724296920577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5.4</v>
      </c>
      <c r="BY109" s="13">
        <f>IF('Données projet'!$A$114&gt;35,BY108+BX109-CG108,IF(A109&lt;'Données projet'!$A$114,$BV$205^A109,IF(A109='Données projet'!$A$114,'Données projet'!$B$114,BY108+BX109-CG108)))</f>
        <v>338.39999999999975</v>
      </c>
      <c r="BZ109" s="14">
        <f>BY109*VLOOKUP('Données projet'!$B$12,Paramètres!$A$1:$I$89,3,0)*VLOOKUP('Données projet'!$B$12,Paramètres!$A$1:$I$89,5,0)</f>
        <v>343.13759999999974</v>
      </c>
      <c r="CA109" s="14">
        <f t="shared" si="93"/>
        <v>80.14784747368239</v>
      </c>
      <c r="CB109" s="22">
        <f t="shared" si="64"/>
        <v>737.22215434999634</v>
      </c>
      <c r="CC109" s="62">
        <f t="shared" si="65"/>
        <v>1030.5554876833296</v>
      </c>
      <c r="CD109" s="62">
        <f ca="1">AVERAGE(OFFSET($CC$3,0,0,'Données projet'!$E$12+1,1))-AVERAGE(OFFSET($H$3,0,0,'Données projet'!$E$12+1,1))</f>
        <v>565.72091871734051</v>
      </c>
      <c r="CE109" s="62">
        <f t="shared" si="94"/>
        <v>306.61893266146666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5.6843418860808015E-14</v>
      </c>
      <c r="CU109" s="18">
        <f>CT109*VLOOKUP('Données projet'!$B$13,Paramètres!$A$1:$I$89,3,0)*VLOOKUP('Données projet'!$B$13,Paramètres!$A$1:$I$89,5,0)</f>
        <v>4.9658410716801891E-14</v>
      </c>
      <c r="CV109" s="14">
        <f t="shared" si="95"/>
        <v>8.0934058173791862E-13</v>
      </c>
      <c r="CW109" s="22">
        <f t="shared" si="67"/>
        <v>1.4960899118586383E-12</v>
      </c>
      <c r="CX109" s="62">
        <f t="shared" si="68"/>
        <v>293.33333333333479</v>
      </c>
      <c r="CY109" s="62">
        <f ca="1">AVERAGE(OFFSET($CX$3,0,0,'Données projet'!$E$13+1,1))-AVERAGE(OFFSET($H$3,0,0,'Données projet'!$E$13+1,1))</f>
        <v>333.56306908115238</v>
      </c>
      <c r="CZ109" s="62">
        <f t="shared" si="96"/>
        <v>523.65456887919618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4.5474735088646412E-13</v>
      </c>
      <c r="DP109" s="18">
        <f>DO109*VLOOKUP('Données projet'!$B$14,Paramètres!$A$1:$I$89,3,0)*VLOOKUP('Données projet'!$B$14,Paramètres!$A$1:$I$89,5,0)</f>
        <v>3.3342075766995548E-13</v>
      </c>
      <c r="DQ109" s="14">
        <f t="shared" si="97"/>
        <v>4.3537988100583648E-12</v>
      </c>
      <c r="DR109" s="22">
        <f t="shared" si="70"/>
        <v>8.1635740804601579E-12</v>
      </c>
      <c r="DS109" s="62">
        <f t="shared" si="71"/>
        <v>293.3333333333415</v>
      </c>
      <c r="DT109" s="62">
        <f ca="1">AVERAGE(OFFSET($DS$3,0,0,'Données projet'!$E$14+1,1))-AVERAGE(OFFSET($H$3,0,0,'Données projet'!$E$14+1,1))</f>
        <v>397.24714625007675</v>
      </c>
      <c r="DU109" s="62">
        <f t="shared" si="98"/>
        <v>431.75775520200608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9">
        <f t="shared" si="56"/>
        <v>256.66666666666669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5.4</v>
      </c>
      <c r="N110" s="14">
        <f>IF('Données projet'!$A$36&gt;35,N109+M110-V109,IF(A110&lt;'Données projet'!$A$36,$K$205^A110,IF(A110='Données projet'!$A$36,'Données projet'!$B$36,N109+M110-V109)))</f>
        <v>343.79999999999973</v>
      </c>
      <c r="O110" s="14">
        <f>N110*VLOOKUP('Données projet'!$B$9,Paramètres!$A$1:$I$89,3,0)*VLOOKUP('Données projet'!$B$9,Paramètres!$A$1:$I$89,5,0)</f>
        <v>311.07023999999973</v>
      </c>
      <c r="P110" s="14">
        <f t="shared" si="87"/>
        <v>73.492294028732417</v>
      </c>
      <c r="Q110" s="22">
        <f t="shared" si="107"/>
        <v>669.77974676670851</v>
      </c>
      <c r="R110" s="62">
        <f t="shared" si="55"/>
        <v>963.11308010004177</v>
      </c>
      <c r="S110" s="62">
        <f ca="1">AVERAGE(OFFSET($R$3,0,0,'Données projet'!$E$9+1,1))-AVERAGE(OFFSET($H$3,0,0,'Données projet'!$E$9+1,1))</f>
        <v>509.56241660612449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-9.7543306765146564E-14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625.17723604265689</v>
      </c>
      <c r="AO110" s="62">
        <f t="shared" si="90"/>
        <v>462.33909258902241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3.3974358974359005</v>
      </c>
      <c r="BD110" s="13">
        <f>IF('Données projet'!$A$88&gt;35,BD109+BC110-BL109,IF(A110&lt;'Données projet'!$A$88,$BA$205^A110,IF(A110='Données projet'!$A$88,'Données projet'!$B$88,BD109+BC110-BL109)))</f>
        <v>282.1153846153847</v>
      </c>
      <c r="BE110" s="14">
        <f>BD110*VLOOKUP('Données projet'!$B$11,Paramètres!$A$1:$I$89,3,0)*VLOOKUP('Données projet'!$B$11,Paramètres!$A$1:$I$89,5,0)</f>
        <v>268.46100000000007</v>
      </c>
      <c r="BF110" s="14">
        <f t="shared" si="91"/>
        <v>64.522546064418151</v>
      </c>
      <c r="BG110" s="22">
        <f t="shared" si="61"/>
        <v>579.94634272886162</v>
      </c>
      <c r="BH110" s="62">
        <f t="shared" si="62"/>
        <v>873.27967606219499</v>
      </c>
      <c r="BI110" s="62">
        <f ca="1">AVERAGE(OFFSET($BH$3,0,0,'Données projet'!$E$11+1,1))-AVERAGE(OFFSET($H$3,0,0,'Données projet'!$E$11+1,1))</f>
        <v>406.24139966722936</v>
      </c>
      <c r="BJ110" s="62">
        <f t="shared" si="92"/>
        <v>295.95724296920577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5.4</v>
      </c>
      <c r="BY110" s="13">
        <f>IF('Données projet'!$A$114&gt;35,BY109+BX110-CG109,IF(A110&lt;'Données projet'!$A$114,$BV$205^A110,IF(A110='Données projet'!$A$114,'Données projet'!$B$114,BY109+BX110-CG109)))</f>
        <v>343.79999999999973</v>
      </c>
      <c r="BZ110" s="14">
        <f>BY110*VLOOKUP('Données projet'!$B$12,Paramètres!$A$1:$I$89,3,0)*VLOOKUP('Données projet'!$B$12,Paramètres!$A$1:$I$89,5,0)</f>
        <v>348.61319999999972</v>
      </c>
      <c r="CA110" s="14">
        <f t="shared" si="93"/>
        <v>81.276888767352929</v>
      </c>
      <c r="CB110" s="22">
        <f t="shared" si="64"/>
        <v>748.72523793647258</v>
      </c>
      <c r="CC110" s="62">
        <f t="shared" si="65"/>
        <v>1042.058571269806</v>
      </c>
      <c r="CD110" s="62">
        <f ca="1">AVERAGE(OFFSET($CC$3,0,0,'Données projet'!$E$12+1,1))-AVERAGE(OFFSET($H$3,0,0,'Données projet'!$E$12+1,1))</f>
        <v>565.72091871734051</v>
      </c>
      <c r="CE110" s="62">
        <f t="shared" si="94"/>
        <v>306.61893266146666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5.6843418860808015E-14</v>
      </c>
      <c r="CU110" s="18">
        <f>CT110*VLOOKUP('Données projet'!$B$13,Paramètres!$A$1:$I$89,3,0)*VLOOKUP('Données projet'!$B$13,Paramètres!$A$1:$I$89,5,0)</f>
        <v>4.9658410716801891E-14</v>
      </c>
      <c r="CV110" s="14">
        <f t="shared" si="95"/>
        <v>8.0934058173791862E-13</v>
      </c>
      <c r="CW110" s="22">
        <f t="shared" si="67"/>
        <v>1.4960899118586383E-12</v>
      </c>
      <c r="CX110" s="62">
        <f t="shared" si="68"/>
        <v>293.33333333333479</v>
      </c>
      <c r="CY110" s="62">
        <f ca="1">AVERAGE(OFFSET($CX$3,0,0,'Données projet'!$E$13+1,1))-AVERAGE(OFFSET($H$3,0,0,'Données projet'!$E$13+1,1))</f>
        <v>333.56306908115238</v>
      </c>
      <c r="CZ110" s="62">
        <f t="shared" si="96"/>
        <v>523.65456887919618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4.5474735088646412E-13</v>
      </c>
      <c r="DP110" s="18">
        <f>DO110*VLOOKUP('Données projet'!$B$14,Paramètres!$A$1:$I$89,3,0)*VLOOKUP('Données projet'!$B$14,Paramètres!$A$1:$I$89,5,0)</f>
        <v>3.3342075766995548E-13</v>
      </c>
      <c r="DQ110" s="14">
        <f t="shared" si="97"/>
        <v>4.3537988100583648E-12</v>
      </c>
      <c r="DR110" s="22">
        <f t="shared" si="70"/>
        <v>8.1635740804601579E-12</v>
      </c>
      <c r="DS110" s="62">
        <f t="shared" si="71"/>
        <v>293.3333333333415</v>
      </c>
      <c r="DT110" s="62">
        <f ca="1">AVERAGE(OFFSET($DS$3,0,0,'Données projet'!$E$14+1,1))-AVERAGE(OFFSET($H$3,0,0,'Données projet'!$E$14+1,1))</f>
        <v>397.24714625007675</v>
      </c>
      <c r="DU110" s="62">
        <f t="shared" si="98"/>
        <v>431.75775520200608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9">
        <f t="shared" si="56"/>
        <v>256.66666666666669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5.4</v>
      </c>
      <c r="N111" s="14">
        <f>IF('Données projet'!$A$36&gt;35,N110+M111-V110,IF(A111&lt;'Données projet'!$A$36,$K$205^A111,IF(A111='Données projet'!$A$36,'Données projet'!$B$36,N110+M111-V110)))</f>
        <v>349.1999999999997</v>
      </c>
      <c r="O111" s="14">
        <f>N111*VLOOKUP('Données projet'!$B$9,Paramètres!$A$1:$I$89,3,0)*VLOOKUP('Données projet'!$B$9,Paramètres!$A$1:$I$89,5,0)</f>
        <v>315.95615999999973</v>
      </c>
      <c r="P111" s="14">
        <f t="shared" si="87"/>
        <v>74.511332350300975</v>
      </c>
      <c r="Q111" s="22">
        <f t="shared" si="107"/>
        <v>680.06421584344037</v>
      </c>
      <c r="R111" s="62">
        <f t="shared" si="55"/>
        <v>973.39754917677374</v>
      </c>
      <c r="S111" s="62">
        <f ca="1">AVERAGE(OFFSET($R$3,0,0,'Données projet'!$E$9+1,1))-AVERAGE(OFFSET($H$3,0,0,'Données projet'!$E$9+1,1))</f>
        <v>509.56241660612449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-9.7543306765146564E-14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625.17723604265689</v>
      </c>
      <c r="AO111" s="62">
        <f t="shared" si="90"/>
        <v>462.33909258902241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3.3974358974359005</v>
      </c>
      <c r="BD111" s="13">
        <f>IF('Données projet'!$A$88&gt;35,BD110+BC111-BL110,IF(A111&lt;'Données projet'!$A$88,$BA$205^A111,IF(A111='Données projet'!$A$88,'Données projet'!$B$88,BD110+BC111-BL110)))</f>
        <v>285.51282051282061</v>
      </c>
      <c r="BE111" s="14">
        <f>BD111*VLOOKUP('Données projet'!$B$11,Paramètres!$A$1:$I$89,3,0)*VLOOKUP('Données projet'!$B$11,Paramètres!$A$1:$I$89,5,0)</f>
        <v>271.69400000000007</v>
      </c>
      <c r="BF111" s="14">
        <f t="shared" si="91"/>
        <v>65.208647871703889</v>
      </c>
      <c r="BG111" s="22">
        <f t="shared" si="61"/>
        <v>586.77211170988437</v>
      </c>
      <c r="BH111" s="62">
        <f t="shared" si="62"/>
        <v>880.10544504321774</v>
      </c>
      <c r="BI111" s="62">
        <f ca="1">AVERAGE(OFFSET($BH$3,0,0,'Données projet'!$E$11+1,1))-AVERAGE(OFFSET($H$3,0,0,'Données projet'!$E$11+1,1))</f>
        <v>406.24139966722936</v>
      </c>
      <c r="BJ111" s="62">
        <f t="shared" si="92"/>
        <v>295.95724296920577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5.4</v>
      </c>
      <c r="BY111" s="13">
        <f>IF('Données projet'!$A$114&gt;35,BY110+BX111-CG110,IF(A111&lt;'Données projet'!$A$114,$BV$205^A111,IF(A111='Données projet'!$A$114,'Données projet'!$B$114,BY110+BX111-CG110)))</f>
        <v>349.1999999999997</v>
      </c>
      <c r="BZ111" s="14">
        <f>BY111*VLOOKUP('Données projet'!$B$12,Paramètres!$A$1:$I$89,3,0)*VLOOKUP('Données projet'!$B$12,Paramètres!$A$1:$I$89,5,0)</f>
        <v>354.08879999999971</v>
      </c>
      <c r="CA111" s="14">
        <f t="shared" si="93"/>
        <v>82.403867662302346</v>
      </c>
      <c r="CB111" s="22">
        <f t="shared" si="64"/>
        <v>760.22472951184272</v>
      </c>
      <c r="CC111" s="62">
        <f t="shared" si="65"/>
        <v>1053.558062845176</v>
      </c>
      <c r="CD111" s="62">
        <f ca="1">AVERAGE(OFFSET($CC$3,0,0,'Données projet'!$E$12+1,1))-AVERAGE(OFFSET($H$3,0,0,'Données projet'!$E$12+1,1))</f>
        <v>565.72091871734051</v>
      </c>
      <c r="CE111" s="62">
        <f t="shared" si="94"/>
        <v>306.61893266146666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5.6843418860808015E-14</v>
      </c>
      <c r="CU111" s="18">
        <f>CT111*VLOOKUP('Données projet'!$B$13,Paramètres!$A$1:$I$89,3,0)*VLOOKUP('Données projet'!$B$13,Paramètres!$A$1:$I$89,5,0)</f>
        <v>4.9658410716801891E-14</v>
      </c>
      <c r="CV111" s="14">
        <f t="shared" si="95"/>
        <v>8.0934058173791862E-13</v>
      </c>
      <c r="CW111" s="22">
        <f t="shared" si="67"/>
        <v>1.4960899118586383E-12</v>
      </c>
      <c r="CX111" s="62">
        <f t="shared" si="68"/>
        <v>293.33333333333479</v>
      </c>
      <c r="CY111" s="62">
        <f ca="1">AVERAGE(OFFSET($CX$3,0,0,'Données projet'!$E$13+1,1))-AVERAGE(OFFSET($H$3,0,0,'Données projet'!$E$13+1,1))</f>
        <v>333.56306908115238</v>
      </c>
      <c r="CZ111" s="62">
        <f t="shared" si="96"/>
        <v>523.65456887919618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4.5474735088646412E-13</v>
      </c>
      <c r="DP111" s="18">
        <f>DO111*VLOOKUP('Données projet'!$B$14,Paramètres!$A$1:$I$89,3,0)*VLOOKUP('Données projet'!$B$14,Paramètres!$A$1:$I$89,5,0)</f>
        <v>3.3342075766995548E-13</v>
      </c>
      <c r="DQ111" s="14">
        <f t="shared" si="97"/>
        <v>4.3537988100583648E-12</v>
      </c>
      <c r="DR111" s="22">
        <f t="shared" si="70"/>
        <v>8.1635740804601579E-12</v>
      </c>
      <c r="DS111" s="62">
        <f t="shared" si="71"/>
        <v>293.3333333333415</v>
      </c>
      <c r="DT111" s="62">
        <f ca="1">AVERAGE(OFFSET($DS$3,0,0,'Données projet'!$E$14+1,1))-AVERAGE(OFFSET($H$3,0,0,'Données projet'!$E$14+1,1))</f>
        <v>397.24714625007675</v>
      </c>
      <c r="DU111" s="62">
        <f t="shared" si="98"/>
        <v>431.75775520200608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9">
        <f t="shared" si="56"/>
        <v>256.66666666666669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5.4</v>
      </c>
      <c r="N112" s="14">
        <f>IF('Données projet'!$A$36&gt;35,N111+M112-V111,IF(A112&lt;'Données projet'!$A$36,$K$205^A112,IF(A112='Données projet'!$A$36,'Données projet'!$B$36,N111+M112-V111)))</f>
        <v>354.59999999999968</v>
      </c>
      <c r="O112" s="14">
        <f>N112*VLOOKUP('Données projet'!$B$9,Paramètres!$A$1:$I$89,3,0)*VLOOKUP('Données projet'!$B$9,Paramètres!$A$1:$I$89,5,0)</f>
        <v>320.84207999999973</v>
      </c>
      <c r="P112" s="14">
        <f t="shared" si="87"/>
        <v>75.528537975513771</v>
      </c>
      <c r="Q112" s="22">
        <f t="shared" si="107"/>
        <v>690.34549297401929</v>
      </c>
      <c r="R112" s="62">
        <f t="shared" si="55"/>
        <v>983.67882630735267</v>
      </c>
      <c r="S112" s="62">
        <f ca="1">AVERAGE(OFFSET($R$3,0,0,'Données projet'!$E$9+1,1))-AVERAGE(OFFSET($H$3,0,0,'Données projet'!$E$9+1,1))</f>
        <v>509.56241660612449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-9.7543306765146564E-14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625.17723604265689</v>
      </c>
      <c r="AO112" s="62">
        <f t="shared" si="90"/>
        <v>462.33909258902241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3.3974358974359005</v>
      </c>
      <c r="BD112" s="13">
        <f>IF('Données projet'!$A$88&gt;35,BD111+BC112-BL111,IF(A112&lt;'Données projet'!$A$88,$BA$205^A112,IF(A112='Données projet'!$A$88,'Données projet'!$B$88,BD111+BC112-BL111)))</f>
        <v>288.91025641025652</v>
      </c>
      <c r="BE112" s="14">
        <f>BD112*VLOOKUP('Données projet'!$B$11,Paramètres!$A$1:$I$89,3,0)*VLOOKUP('Données projet'!$B$11,Paramètres!$A$1:$I$89,5,0)</f>
        <v>274.92700000000013</v>
      </c>
      <c r="BF112" s="14">
        <f t="shared" si="91"/>
        <v>65.893799998961399</v>
      </c>
      <c r="BG112" s="22">
        <f t="shared" si="61"/>
        <v>593.59622666485791</v>
      </c>
      <c r="BH112" s="62">
        <f t="shared" si="62"/>
        <v>886.92955999819128</v>
      </c>
      <c r="BI112" s="62">
        <f ca="1">AVERAGE(OFFSET($BH$3,0,0,'Données projet'!$E$11+1,1))-AVERAGE(OFFSET($H$3,0,0,'Données projet'!$E$11+1,1))</f>
        <v>406.24139966722936</v>
      </c>
      <c r="BJ112" s="62">
        <f t="shared" si="92"/>
        <v>295.95724296920577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5.4</v>
      </c>
      <c r="BY112" s="13">
        <f>IF('Données projet'!$A$114&gt;35,BY111+BX112-CG111,IF(A112&lt;'Données projet'!$A$114,$BV$205^A112,IF(A112='Données projet'!$A$114,'Données projet'!$B$114,BY111+BX112-CG111)))</f>
        <v>354.59999999999968</v>
      </c>
      <c r="BZ112" s="14">
        <f>BY112*VLOOKUP('Données projet'!$B$12,Paramètres!$A$1:$I$89,3,0)*VLOOKUP('Données projet'!$B$12,Paramètres!$A$1:$I$89,5,0)</f>
        <v>359.56439999999969</v>
      </c>
      <c r="CA112" s="14">
        <f t="shared" si="93"/>
        <v>83.528819734442351</v>
      </c>
      <c r="CB112" s="22">
        <f t="shared" si="64"/>
        <v>771.72069103748652</v>
      </c>
      <c r="CC112" s="62">
        <f t="shared" si="65"/>
        <v>1065.0540243708199</v>
      </c>
      <c r="CD112" s="62">
        <f ca="1">AVERAGE(OFFSET($CC$3,0,0,'Données projet'!$E$12+1,1))-AVERAGE(OFFSET($H$3,0,0,'Données projet'!$E$12+1,1))</f>
        <v>565.72091871734051</v>
      </c>
      <c r="CE112" s="62">
        <f t="shared" si="94"/>
        <v>306.61893266146666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5.6843418860808015E-14</v>
      </c>
      <c r="CU112" s="18">
        <f>CT112*VLOOKUP('Données projet'!$B$13,Paramètres!$A$1:$I$89,3,0)*VLOOKUP('Données projet'!$B$13,Paramètres!$A$1:$I$89,5,0)</f>
        <v>4.9658410716801891E-14</v>
      </c>
      <c r="CV112" s="14">
        <f t="shared" si="95"/>
        <v>8.0934058173791862E-13</v>
      </c>
      <c r="CW112" s="22">
        <f t="shared" si="67"/>
        <v>1.4960899118586383E-12</v>
      </c>
      <c r="CX112" s="62">
        <f t="shared" si="68"/>
        <v>293.33333333333479</v>
      </c>
      <c r="CY112" s="62">
        <f ca="1">AVERAGE(OFFSET($CX$3,0,0,'Données projet'!$E$13+1,1))-AVERAGE(OFFSET($H$3,0,0,'Données projet'!$E$13+1,1))</f>
        <v>333.56306908115238</v>
      </c>
      <c r="CZ112" s="62">
        <f t="shared" si="96"/>
        <v>523.65456887919618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4.5474735088646412E-13</v>
      </c>
      <c r="DP112" s="18">
        <f>DO112*VLOOKUP('Données projet'!$B$14,Paramètres!$A$1:$I$89,3,0)*VLOOKUP('Données projet'!$B$14,Paramètres!$A$1:$I$89,5,0)</f>
        <v>3.3342075766995548E-13</v>
      </c>
      <c r="DQ112" s="14">
        <f t="shared" si="97"/>
        <v>4.3537988100583648E-12</v>
      </c>
      <c r="DR112" s="22">
        <f t="shared" si="70"/>
        <v>8.1635740804601579E-12</v>
      </c>
      <c r="DS112" s="62">
        <f t="shared" si="71"/>
        <v>293.3333333333415</v>
      </c>
      <c r="DT112" s="62">
        <f ca="1">AVERAGE(OFFSET($DS$3,0,0,'Données projet'!$E$14+1,1))-AVERAGE(OFFSET($H$3,0,0,'Données projet'!$E$14+1,1))</f>
        <v>397.24714625007675</v>
      </c>
      <c r="DU112" s="62">
        <f t="shared" si="98"/>
        <v>431.75775520200608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9">
        <f t="shared" si="56"/>
        <v>256.66666666666669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360</v>
      </c>
      <c r="L113" s="13">
        <f>VLOOKUP(A113,'Données projet'!$A$35:$I$55,9,0)</f>
        <v>5.4</v>
      </c>
      <c r="M113" s="13">
        <f t="array" ref="M113">INDEX(L:L,MIN(IF(ISNUMBER(L113:L309),ROW(L113:L309),"")))</f>
        <v>5.4</v>
      </c>
      <c r="N113" s="14">
        <f>IF('Données projet'!$A$36&gt;35,N112+M113-V112,IF(A113&lt;'Données projet'!$A$36,$K$205^A113,IF(A113='Données projet'!$A$36,'Données projet'!$B$36,N112+M113-V112)))</f>
        <v>359.99999999999966</v>
      </c>
      <c r="O113" s="14">
        <f>N113*VLOOKUP('Données projet'!$B$9,Paramètres!$A$1:$I$89,3,0)*VLOOKUP('Données projet'!$B$9,Paramètres!$A$1:$I$89,5,0)</f>
        <v>325.72799999999967</v>
      </c>
      <c r="P113" s="14">
        <f t="shared" si="87"/>
        <v>76.543942036893981</v>
      </c>
      <c r="Q113" s="22">
        <f t="shared" si="107"/>
        <v>700.62363238092303</v>
      </c>
      <c r="R113" s="62">
        <f t="shared" si="55"/>
        <v>993.95696571425628</v>
      </c>
      <c r="S113" s="62">
        <f ca="1">AVERAGE(OFFSET($R$3,0,0,'Données projet'!$E$9+1,1))-AVERAGE(OFFSET($H$3,0,0,'Données projet'!$E$9+1,1))</f>
        <v>509.56241660612449</v>
      </c>
      <c r="T113" s="62">
        <f t="shared" si="88"/>
        <v>278.21741231699929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53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-9.7543306765146564E-14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625.17723604265689</v>
      </c>
      <c r="AO113" s="62">
        <f t="shared" si="90"/>
        <v>462.33909258902241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292.30769230769232</v>
      </c>
      <c r="BB113" s="13">
        <f>VLOOKUP(A113,'Données projet'!$A$87:$I$107,9,0)</f>
        <v>3.3974358974359005</v>
      </c>
      <c r="BC113" s="13">
        <f t="array" ref="BC113">INDEX(BB:BB,MIN(IF(ISNUMBER(BB113:BB309),ROW(BB113:BB309),"")))</f>
        <v>3.3974358974359005</v>
      </c>
      <c r="BD113" s="13">
        <f>IF('Données projet'!$A$88&gt;35,BD112+BC113-BL112,IF(A113&lt;'Données projet'!$A$88,$BA$205^A113,IF(A113='Données projet'!$A$88,'Données projet'!$B$88,BD112+BC113-BL112)))</f>
        <v>292.30769230769243</v>
      </c>
      <c r="BE113" s="14">
        <f>BD113*VLOOKUP('Données projet'!$B$11,Paramètres!$A$1:$I$89,3,0)*VLOOKUP('Données projet'!$B$11,Paramètres!$A$1:$I$89,5,0)</f>
        <v>278.16000000000014</v>
      </c>
      <c r="BF113" s="14">
        <f t="shared" si="91"/>
        <v>66.578014905913179</v>
      </c>
      <c r="BG113" s="22">
        <f t="shared" si="61"/>
        <v>600.41870929446566</v>
      </c>
      <c r="BH113" s="62">
        <f t="shared" si="62"/>
        <v>893.75204262779903</v>
      </c>
      <c r="BI113" s="62">
        <f ca="1">AVERAGE(OFFSET($BH$3,0,0,'Données projet'!$E$11+1,1))-AVERAGE(OFFSET($H$3,0,0,'Données projet'!$E$11+1,1))</f>
        <v>406.24139966722936</v>
      </c>
      <c r="BJ113" s="62">
        <f t="shared" si="92"/>
        <v>295.95724296920577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37.820512820512818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360</v>
      </c>
      <c r="BW113" s="13">
        <f>VLOOKUP(A113,'Données projet'!$A$113:$I$133,9,0)</f>
        <v>5.4</v>
      </c>
      <c r="BX113" s="13">
        <f t="array" ref="BX113">INDEX(BW:BW,MIN(IF(ISNUMBER(BW113:BW309),ROW(BW113:BW309),"")))</f>
        <v>5.4</v>
      </c>
      <c r="BY113" s="13">
        <f>IF('Données projet'!$A$114&gt;35,BY112+BX113-CG112,IF(A113&lt;'Données projet'!$A$114,$BV$205^A113,IF(A113='Données projet'!$A$114,'Données projet'!$B$114,BY112+BX113-CG112)))</f>
        <v>359.99999999999966</v>
      </c>
      <c r="BZ113" s="14">
        <f>BY113*VLOOKUP('Données projet'!$B$12,Paramètres!$A$1:$I$89,3,0)*VLOOKUP('Données projet'!$B$12,Paramètres!$A$1:$I$89,5,0)</f>
        <v>365.03999999999968</v>
      </c>
      <c r="CA113" s="14">
        <f t="shared" si="93"/>
        <v>84.651779413976342</v>
      </c>
      <c r="CB113" s="22">
        <f t="shared" si="64"/>
        <v>783.21318247934141</v>
      </c>
      <c r="CC113" s="62">
        <f t="shared" si="65"/>
        <v>1076.5465158126747</v>
      </c>
      <c r="CD113" s="62">
        <f ca="1">AVERAGE(OFFSET($CC$3,0,0,'Données projet'!$E$12+1,1))-AVERAGE(OFFSET($H$3,0,0,'Données projet'!$E$12+1,1))</f>
        <v>565.72091871734051</v>
      </c>
      <c r="CE113" s="62">
        <f t="shared" si="94"/>
        <v>306.61893266146666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53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5.6843418860808015E-14</v>
      </c>
      <c r="CU113" s="18">
        <f>CT113*VLOOKUP('Données projet'!$B$13,Paramètres!$A$1:$I$89,3,0)*VLOOKUP('Données projet'!$B$13,Paramètres!$A$1:$I$89,5,0)</f>
        <v>4.9658410716801891E-14</v>
      </c>
      <c r="CV113" s="14">
        <f t="shared" si="95"/>
        <v>8.0934058173791862E-13</v>
      </c>
      <c r="CW113" s="22">
        <f t="shared" si="67"/>
        <v>1.4960899118586383E-12</v>
      </c>
      <c r="CX113" s="62">
        <f t="shared" si="68"/>
        <v>293.33333333333479</v>
      </c>
      <c r="CY113" s="62">
        <f ca="1">AVERAGE(OFFSET($CX$3,0,0,'Données projet'!$E$13+1,1))-AVERAGE(OFFSET($H$3,0,0,'Données projet'!$E$13+1,1))</f>
        <v>333.56306908115238</v>
      </c>
      <c r="CZ113" s="62">
        <f t="shared" si="96"/>
        <v>523.65456887919618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4.5474735088646412E-13</v>
      </c>
      <c r="DP113" s="18">
        <f>DO113*VLOOKUP('Données projet'!$B$14,Paramètres!$A$1:$I$89,3,0)*VLOOKUP('Données projet'!$B$14,Paramètres!$A$1:$I$89,5,0)</f>
        <v>3.3342075766995548E-13</v>
      </c>
      <c r="DQ113" s="14">
        <f t="shared" si="97"/>
        <v>4.3537988100583648E-12</v>
      </c>
      <c r="DR113" s="22">
        <f t="shared" si="70"/>
        <v>8.1635740804601579E-12</v>
      </c>
      <c r="DS113" s="62">
        <f t="shared" si="71"/>
        <v>293.3333333333415</v>
      </c>
      <c r="DT113" s="62">
        <f ca="1">AVERAGE(OFFSET($DS$3,0,0,'Données projet'!$E$14+1,1))-AVERAGE(OFFSET($H$3,0,0,'Données projet'!$E$14+1,1))</f>
        <v>397.24714625007675</v>
      </c>
      <c r="DU113" s="62">
        <f t="shared" si="98"/>
        <v>431.75775520200608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9">
        <f t="shared" si="56"/>
        <v>256.66666666666669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311.49999999999966</v>
      </c>
      <c r="O114" s="14">
        <f>N114*VLOOKUP('Données projet'!$B$9,Paramètres!$A$1:$I$89,3,0)*VLOOKUP('Données projet'!$B$9,Paramètres!$A$1:$I$89,5,0)</f>
        <v>281.84519999999969</v>
      </c>
      <c r="P114" s="14">
        <f t="shared" si="87"/>
        <v>67.356803491560427</v>
      </c>
      <c r="Q114" s="22">
        <f t="shared" si="107"/>
        <v>608.19348941446708</v>
      </c>
      <c r="R114" s="62">
        <f t="shared" si="55"/>
        <v>901.52682274780045</v>
      </c>
      <c r="S114" s="62">
        <f ca="1">AVERAGE(OFFSET($R$3,0,0,'Données projet'!$E$9+1,1))-AVERAGE(OFFSET($H$3,0,0,'Données projet'!$E$9+1,1))</f>
        <v>509.56241660612449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-9.7543306765146564E-14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625.17723604265689</v>
      </c>
      <c r="AO114" s="62">
        <f t="shared" si="90"/>
        <v>462.33909258902241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3.141025641025641</v>
      </c>
      <c r="BD114" s="13">
        <f>IF('Données projet'!$A$88&gt;35,BD113+BC114-BL113,IF(A114&lt;'Données projet'!$A$88,$BA$205^A114,IF(A114='Données projet'!$A$88,'Données projet'!$B$88,BD113+BC114-BL113)))</f>
        <v>257.62820512820525</v>
      </c>
      <c r="BE114" s="14">
        <f>BD114*VLOOKUP('Données projet'!$B$11,Paramètres!$A$1:$I$89,3,0)*VLOOKUP('Données projet'!$B$11,Paramètres!$A$1:$I$89,5,0)</f>
        <v>245.15900000000013</v>
      </c>
      <c r="BF114" s="14">
        <f t="shared" si="91"/>
        <v>59.548136793550292</v>
      </c>
      <c r="BG114" s="22">
        <f t="shared" si="61"/>
        <v>530.69826324876692</v>
      </c>
      <c r="BH114" s="62">
        <f t="shared" si="62"/>
        <v>824.03159658210029</v>
      </c>
      <c r="BI114" s="62">
        <f ca="1">AVERAGE(OFFSET($BH$3,0,0,'Données projet'!$E$11+1,1))-AVERAGE(OFFSET($H$3,0,0,'Données projet'!$E$11+1,1))</f>
        <v>406.24139966722936</v>
      </c>
      <c r="BJ114" s="62">
        <f t="shared" si="92"/>
        <v>295.95724296920577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</v>
      </c>
      <c r="BY114" s="13">
        <f>IF('Données projet'!$A$114&gt;35,BY113+BX114-CG113,IF(A114&lt;'Données projet'!$A$114,$BV$205^A114,IF(A114='Données projet'!$A$114,'Données projet'!$B$114,BY113+BX114-CG113)))</f>
        <v>311.49999999999966</v>
      </c>
      <c r="BZ114" s="14">
        <f>BY114*VLOOKUP('Données projet'!$B$12,Paramètres!$A$1:$I$89,3,0)*VLOOKUP('Données projet'!$B$12,Paramètres!$A$1:$I$89,5,0)</f>
        <v>315.86099999999971</v>
      </c>
      <c r="CA114" s="14">
        <f t="shared" si="93"/>
        <v>74.491502782151358</v>
      </c>
      <c r="CB114" s="22">
        <f t="shared" si="64"/>
        <v>679.86394234557974</v>
      </c>
      <c r="CC114" s="62">
        <f t="shared" si="65"/>
        <v>973.197275678913</v>
      </c>
      <c r="CD114" s="62">
        <f ca="1">AVERAGE(OFFSET($CC$3,0,0,'Données projet'!$E$12+1,1))-AVERAGE(OFFSET($H$3,0,0,'Données projet'!$E$12+1,1))</f>
        <v>565.72091871734051</v>
      </c>
      <c r="CE114" s="62">
        <f t="shared" si="94"/>
        <v>306.61893266146666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4.9658410716801891E-14</v>
      </c>
      <c r="CV114" s="14">
        <f t="shared" si="95"/>
        <v>8.0934058173791862E-13</v>
      </c>
      <c r="CW114" s="22">
        <f t="shared" si="67"/>
        <v>1.4960899118586383E-12</v>
      </c>
      <c r="CX114" s="62">
        <f t="shared" si="68"/>
        <v>293.33333333333479</v>
      </c>
      <c r="CY114" s="62">
        <f ca="1">AVERAGE(OFFSET($CX$3,0,0,'Données projet'!$E$13+1,1))-AVERAGE(OFFSET($H$3,0,0,'Données projet'!$E$13+1,1))</f>
        <v>333.56306908115238</v>
      </c>
      <c r="CZ114" s="62">
        <f t="shared" si="96"/>
        <v>523.65456887919618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4.5474735088646412E-13</v>
      </c>
      <c r="DP114" s="18">
        <f>DO114*VLOOKUP('Données projet'!$B$14,Paramètres!$A$1:$I$89,3,0)*VLOOKUP('Données projet'!$B$14,Paramètres!$A$1:$I$89,5,0)</f>
        <v>3.3342075766995548E-13</v>
      </c>
      <c r="DQ114" s="14">
        <f t="shared" si="97"/>
        <v>4.3537988100583648E-12</v>
      </c>
      <c r="DR114" s="22">
        <f t="shared" si="70"/>
        <v>8.1635740804601579E-12</v>
      </c>
      <c r="DS114" s="62">
        <f t="shared" si="71"/>
        <v>293.3333333333415</v>
      </c>
      <c r="DT114" s="62">
        <f ca="1">AVERAGE(OFFSET($DS$3,0,0,'Données projet'!$E$14+1,1))-AVERAGE(OFFSET($H$3,0,0,'Données projet'!$E$14+1,1))</f>
        <v>397.24714625007675</v>
      </c>
      <c r="DU114" s="62">
        <f t="shared" si="98"/>
        <v>431.75775520200608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9">
        <f t="shared" si="56"/>
        <v>256.66666666666669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315.99999999999966</v>
      </c>
      <c r="O115" s="14">
        <f>N115*VLOOKUP('Données projet'!$B$9,Paramètres!$A$1:$I$89,3,0)*VLOOKUP('Données projet'!$B$9,Paramètres!$A$1:$I$89,5,0)</f>
        <v>285.91679999999968</v>
      </c>
      <c r="P115" s="14">
        <f t="shared" si="87"/>
        <v>68.215872977287475</v>
      </c>
      <c r="Q115" s="22">
        <f t="shared" si="107"/>
        <v>616.7810721021084</v>
      </c>
      <c r="R115" s="62">
        <f t="shared" si="55"/>
        <v>910.11440543544177</v>
      </c>
      <c r="S115" s="62">
        <f ca="1">AVERAGE(OFFSET($R$3,0,0,'Données projet'!$E$9+1,1))-AVERAGE(OFFSET($H$3,0,0,'Données projet'!$E$9+1,1))</f>
        <v>509.56241660612449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-9.7543306765146564E-14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625.17723604265689</v>
      </c>
      <c r="AO115" s="62">
        <f t="shared" si="90"/>
        <v>462.33909258902241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3.141025641025641</v>
      </c>
      <c r="BD115" s="13">
        <f>IF('Données projet'!$A$88&gt;35,BD114+BC115-BL114,IF(A115&lt;'Données projet'!$A$88,$BA$205^A115,IF(A115='Données projet'!$A$88,'Données projet'!$B$88,BD114+BC115-BL114)))</f>
        <v>260.76923076923089</v>
      </c>
      <c r="BE115" s="14">
        <f>BD115*VLOOKUP('Données projet'!$B$11,Paramètres!$A$1:$I$89,3,0)*VLOOKUP('Données projet'!$B$11,Paramètres!$A$1:$I$89,5,0)</f>
        <v>248.14800000000011</v>
      </c>
      <c r="BF115" s="14">
        <f t="shared" si="91"/>
        <v>60.189191470108021</v>
      </c>
      <c r="BG115" s="22">
        <f t="shared" si="61"/>
        <v>537.02060847710493</v>
      </c>
      <c r="BH115" s="62">
        <f t="shared" si="62"/>
        <v>830.3539418104383</v>
      </c>
      <c r="BI115" s="62">
        <f ca="1">AVERAGE(OFFSET($BH$3,0,0,'Données projet'!$E$11+1,1))-AVERAGE(OFFSET($H$3,0,0,'Données projet'!$E$11+1,1))</f>
        <v>406.24139966722936</v>
      </c>
      <c r="BJ115" s="62">
        <f t="shared" si="92"/>
        <v>295.95724296920577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</v>
      </c>
      <c r="BY115" s="13">
        <f>IF('Données projet'!$A$114&gt;35,BY114+BX115-CG114,IF(A115&lt;'Données projet'!$A$114,$BV$205^A115,IF(A115='Données projet'!$A$114,'Données projet'!$B$114,BY114+BX115-CG114)))</f>
        <v>315.99999999999966</v>
      </c>
      <c r="BZ115" s="14">
        <f>BY115*VLOOKUP('Données projet'!$B$12,Paramètres!$A$1:$I$89,3,0)*VLOOKUP('Données projet'!$B$12,Paramètres!$A$1:$I$89,5,0)</f>
        <v>320.42399999999964</v>
      </c>
      <c r="CA115" s="14">
        <f t="shared" si="93"/>
        <v>75.441568308852254</v>
      </c>
      <c r="CB115" s="22">
        <f t="shared" si="64"/>
        <v>689.4658648045837</v>
      </c>
      <c r="CC115" s="62">
        <f t="shared" si="65"/>
        <v>982.79919813791707</v>
      </c>
      <c r="CD115" s="62">
        <f ca="1">AVERAGE(OFFSET($CC$3,0,0,'Données projet'!$E$12+1,1))-AVERAGE(OFFSET($H$3,0,0,'Données projet'!$E$12+1,1))</f>
        <v>565.72091871734051</v>
      </c>
      <c r="CE115" s="62">
        <f t="shared" si="94"/>
        <v>306.61893266146666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4.9658410716801891E-14</v>
      </c>
      <c r="CV115" s="14">
        <f t="shared" si="95"/>
        <v>8.0934058173791862E-13</v>
      </c>
      <c r="CW115" s="22">
        <f t="shared" si="67"/>
        <v>1.4960899118586383E-12</v>
      </c>
      <c r="CX115" s="62">
        <f t="shared" si="68"/>
        <v>293.33333333333479</v>
      </c>
      <c r="CY115" s="62">
        <f ca="1">AVERAGE(OFFSET($CX$3,0,0,'Données projet'!$E$13+1,1))-AVERAGE(OFFSET($H$3,0,0,'Données projet'!$E$13+1,1))</f>
        <v>333.56306908115238</v>
      </c>
      <c r="CZ115" s="62">
        <f t="shared" si="96"/>
        <v>523.65456887919618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4.5474735088646412E-13</v>
      </c>
      <c r="DP115" s="18">
        <f>DO115*VLOOKUP('Données projet'!$B$14,Paramètres!$A$1:$I$89,3,0)*VLOOKUP('Données projet'!$B$14,Paramètres!$A$1:$I$89,5,0)</f>
        <v>3.3342075766995548E-13</v>
      </c>
      <c r="DQ115" s="14">
        <f t="shared" si="97"/>
        <v>4.3537988100583648E-12</v>
      </c>
      <c r="DR115" s="22">
        <f t="shared" si="70"/>
        <v>8.1635740804601579E-12</v>
      </c>
      <c r="DS115" s="62">
        <f t="shared" si="71"/>
        <v>293.3333333333415</v>
      </c>
      <c r="DT115" s="62">
        <f ca="1">AVERAGE(OFFSET($DS$3,0,0,'Données projet'!$E$14+1,1))-AVERAGE(OFFSET($H$3,0,0,'Données projet'!$E$14+1,1))</f>
        <v>397.24714625007675</v>
      </c>
      <c r="DU115" s="62">
        <f t="shared" si="98"/>
        <v>431.75775520200608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9">
        <f t="shared" si="56"/>
        <v>256.66666666666669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320.49999999999966</v>
      </c>
      <c r="O116" s="14">
        <f>N116*VLOOKUP('Données projet'!$B$9,Paramètres!$A$1:$I$89,3,0)*VLOOKUP('Données projet'!$B$9,Paramètres!$A$1:$I$89,5,0)</f>
        <v>289.98839999999967</v>
      </c>
      <c r="P116" s="14">
        <f t="shared" si="87"/>
        <v>69.073519602481454</v>
      </c>
      <c r="Q116" s="22">
        <f t="shared" si="107"/>
        <v>625.36617664098787</v>
      </c>
      <c r="R116" s="62">
        <f t="shared" si="55"/>
        <v>918.69950997432124</v>
      </c>
      <c r="S116" s="62">
        <f ca="1">AVERAGE(OFFSET($R$3,0,0,'Données projet'!$E$9+1,1))-AVERAGE(OFFSET($H$3,0,0,'Données projet'!$E$9+1,1))</f>
        <v>509.56241660612449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-9.7543306765146564E-14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625.17723604265689</v>
      </c>
      <c r="AO116" s="62">
        <f t="shared" si="90"/>
        <v>462.33909258902241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3.141025641025641</v>
      </c>
      <c r="BD116" s="13">
        <f>IF('Données projet'!$A$88&gt;35,BD115+BC116-BL115,IF(A116&lt;'Données projet'!$A$88,$BA$205^A116,IF(A116='Données projet'!$A$88,'Données projet'!$B$88,BD115+BC116-BL115)))</f>
        <v>263.91025641025652</v>
      </c>
      <c r="BE116" s="14">
        <f>BD116*VLOOKUP('Données projet'!$B$11,Paramètres!$A$1:$I$89,3,0)*VLOOKUP('Données projet'!$B$11,Paramètres!$A$1:$I$89,5,0)</f>
        <v>251.13700000000011</v>
      </c>
      <c r="BF116" s="14">
        <f t="shared" si="91"/>
        <v>60.82934795323235</v>
      </c>
      <c r="BG116" s="22">
        <f t="shared" si="61"/>
        <v>543.34138935187991</v>
      </c>
      <c r="BH116" s="62">
        <f t="shared" si="62"/>
        <v>836.67472268521328</v>
      </c>
      <c r="BI116" s="62">
        <f ca="1">AVERAGE(OFFSET($BH$3,0,0,'Données projet'!$E$11+1,1))-AVERAGE(OFFSET($H$3,0,0,'Données projet'!$E$11+1,1))</f>
        <v>406.24139966722936</v>
      </c>
      <c r="BJ116" s="62">
        <f t="shared" si="92"/>
        <v>295.95724296920577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</v>
      </c>
      <c r="BY116" s="13">
        <f>IF('Données projet'!$A$114&gt;35,BY115+BX116-CG115,IF(A116&lt;'Données projet'!$A$114,$BV$205^A116,IF(A116='Données projet'!$A$114,'Données projet'!$B$114,BY115+BX116-CG115)))</f>
        <v>320.49999999999966</v>
      </c>
      <c r="BZ116" s="14">
        <f>BY116*VLOOKUP('Données projet'!$B$12,Paramètres!$A$1:$I$89,3,0)*VLOOKUP('Données projet'!$B$12,Paramètres!$A$1:$I$89,5,0)</f>
        <v>324.98699999999968</v>
      </c>
      <c r="CA116" s="14">
        <f t="shared" si="93"/>
        <v>76.390060259999316</v>
      </c>
      <c r="CB116" s="22">
        <f t="shared" si="64"/>
        <v>699.06504661949828</v>
      </c>
      <c r="CC116" s="62">
        <f t="shared" si="65"/>
        <v>992.39837995283165</v>
      </c>
      <c r="CD116" s="62">
        <f ca="1">AVERAGE(OFFSET($CC$3,0,0,'Données projet'!$E$12+1,1))-AVERAGE(OFFSET($H$3,0,0,'Données projet'!$E$12+1,1))</f>
        <v>565.72091871734051</v>
      </c>
      <c r="CE116" s="62">
        <f t="shared" si="94"/>
        <v>306.61893266146666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4.9658410716801891E-14</v>
      </c>
      <c r="CV116" s="14">
        <f t="shared" si="95"/>
        <v>8.0934058173791862E-13</v>
      </c>
      <c r="CW116" s="22">
        <f t="shared" si="67"/>
        <v>1.4960899118586383E-12</v>
      </c>
      <c r="CX116" s="62">
        <f t="shared" si="68"/>
        <v>293.33333333333479</v>
      </c>
      <c r="CY116" s="62">
        <f ca="1">AVERAGE(OFFSET($CX$3,0,0,'Données projet'!$E$13+1,1))-AVERAGE(OFFSET($H$3,0,0,'Données projet'!$E$13+1,1))</f>
        <v>333.56306908115238</v>
      </c>
      <c r="CZ116" s="62">
        <f t="shared" si="96"/>
        <v>523.65456887919618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4.5474735088646412E-13</v>
      </c>
      <c r="DP116" s="18">
        <f>DO116*VLOOKUP('Données projet'!$B$14,Paramètres!$A$1:$I$89,3,0)*VLOOKUP('Données projet'!$B$14,Paramètres!$A$1:$I$89,5,0)</f>
        <v>3.3342075766995548E-13</v>
      </c>
      <c r="DQ116" s="14">
        <f t="shared" si="97"/>
        <v>4.3537988100583648E-12</v>
      </c>
      <c r="DR116" s="22">
        <f t="shared" si="70"/>
        <v>8.1635740804601579E-12</v>
      </c>
      <c r="DS116" s="62">
        <f t="shared" si="71"/>
        <v>293.3333333333415</v>
      </c>
      <c r="DT116" s="62">
        <f ca="1">AVERAGE(OFFSET($DS$3,0,0,'Données projet'!$E$14+1,1))-AVERAGE(OFFSET($H$3,0,0,'Données projet'!$E$14+1,1))</f>
        <v>397.24714625007675</v>
      </c>
      <c r="DU116" s="62">
        <f t="shared" si="98"/>
        <v>431.75775520200608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9">
        <f t="shared" si="56"/>
        <v>256.66666666666669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324.99999999999966</v>
      </c>
      <c r="O117" s="14">
        <f>N117*VLOOKUP('Données projet'!$B$9,Paramètres!$A$1:$I$89,3,0)*VLOOKUP('Données projet'!$B$9,Paramètres!$A$1:$I$89,5,0)</f>
        <v>294.05999999999972</v>
      </c>
      <c r="P117" s="14">
        <f t="shared" si="87"/>
        <v>69.929765653573313</v>
      </c>
      <c r="Q117" s="22">
        <f t="shared" si="107"/>
        <v>633.94884184663977</v>
      </c>
      <c r="R117" s="62">
        <f t="shared" si="55"/>
        <v>927.28217517997314</v>
      </c>
      <c r="S117" s="62">
        <f ca="1">AVERAGE(OFFSET($R$3,0,0,'Données projet'!$E$9+1,1))-AVERAGE(OFFSET($H$3,0,0,'Données projet'!$E$9+1,1))</f>
        <v>509.56241660612449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-9.7543306765146564E-14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625.17723604265689</v>
      </c>
      <c r="AO117" s="62">
        <f t="shared" si="90"/>
        <v>462.33909258902241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3.141025641025641</v>
      </c>
      <c r="BD117" s="13">
        <f>IF('Données projet'!$A$88&gt;35,BD116+BC117-BL116,IF(A117&lt;'Données projet'!$A$88,$BA$205^A117,IF(A117='Données projet'!$A$88,'Données projet'!$B$88,BD116+BC117-BL116)))</f>
        <v>267.05128205128216</v>
      </c>
      <c r="BE117" s="14">
        <f>BD117*VLOOKUP('Données projet'!$B$11,Paramètres!$A$1:$I$89,3,0)*VLOOKUP('Données projet'!$B$11,Paramètres!$A$1:$I$89,5,0)</f>
        <v>254.12600000000012</v>
      </c>
      <c r="BF117" s="14">
        <f t="shared" si="91"/>
        <v>61.46861816974539</v>
      </c>
      <c r="BG117" s="22">
        <f t="shared" si="61"/>
        <v>549.66062664564004</v>
      </c>
      <c r="BH117" s="62">
        <f t="shared" si="62"/>
        <v>842.99395997897341</v>
      </c>
      <c r="BI117" s="62">
        <f ca="1">AVERAGE(OFFSET($BH$3,0,0,'Données projet'!$E$11+1,1))-AVERAGE(OFFSET($H$3,0,0,'Données projet'!$E$11+1,1))</f>
        <v>406.24139966722936</v>
      </c>
      <c r="BJ117" s="62">
        <f t="shared" si="92"/>
        <v>295.95724296920577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</v>
      </c>
      <c r="BY117" s="13">
        <f>IF('Données projet'!$A$114&gt;35,BY116+BX117-CG116,IF(A117&lt;'Données projet'!$A$114,$BV$205^A117,IF(A117='Données projet'!$A$114,'Données projet'!$B$114,BY116+BX117-CG116)))</f>
        <v>324.99999999999966</v>
      </c>
      <c r="BZ117" s="14">
        <f>BY117*VLOOKUP('Données projet'!$B$12,Paramètres!$A$1:$I$89,3,0)*VLOOKUP('Données projet'!$B$12,Paramètres!$A$1:$I$89,5,0)</f>
        <v>329.54999999999967</v>
      </c>
      <c r="CA117" s="14">
        <f t="shared" si="93"/>
        <v>77.337003282690503</v>
      </c>
      <c r="CB117" s="22">
        <f t="shared" si="64"/>
        <v>708.66153071735198</v>
      </c>
      <c r="CC117" s="62">
        <f t="shared" si="65"/>
        <v>1001.9948640506852</v>
      </c>
      <c r="CD117" s="62">
        <f ca="1">AVERAGE(OFFSET($CC$3,0,0,'Données projet'!$E$12+1,1))-AVERAGE(OFFSET($H$3,0,0,'Données projet'!$E$12+1,1))</f>
        <v>565.72091871734051</v>
      </c>
      <c r="CE117" s="62">
        <f t="shared" si="94"/>
        <v>306.61893266146666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4.9658410716801891E-14</v>
      </c>
      <c r="CV117" s="14">
        <f t="shared" si="95"/>
        <v>8.0934058173791862E-13</v>
      </c>
      <c r="CW117" s="22">
        <f t="shared" si="67"/>
        <v>1.4960899118586383E-12</v>
      </c>
      <c r="CX117" s="62">
        <f t="shared" si="68"/>
        <v>293.33333333333479</v>
      </c>
      <c r="CY117" s="62">
        <f ca="1">AVERAGE(OFFSET($CX$3,0,0,'Données projet'!$E$13+1,1))-AVERAGE(OFFSET($H$3,0,0,'Données projet'!$E$13+1,1))</f>
        <v>333.56306908115238</v>
      </c>
      <c r="CZ117" s="62">
        <f t="shared" si="96"/>
        <v>523.65456887919618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4.5474735088646412E-13</v>
      </c>
      <c r="DP117" s="18">
        <f>DO117*VLOOKUP('Données projet'!$B$14,Paramètres!$A$1:$I$89,3,0)*VLOOKUP('Données projet'!$B$14,Paramètres!$A$1:$I$89,5,0)</f>
        <v>3.3342075766995548E-13</v>
      </c>
      <c r="DQ117" s="14">
        <f t="shared" si="97"/>
        <v>4.3537988100583648E-12</v>
      </c>
      <c r="DR117" s="22">
        <f t="shared" si="70"/>
        <v>8.1635740804601579E-12</v>
      </c>
      <c r="DS117" s="62">
        <f t="shared" si="71"/>
        <v>293.3333333333415</v>
      </c>
      <c r="DT117" s="62">
        <f ca="1">AVERAGE(OFFSET($DS$3,0,0,'Données projet'!$E$14+1,1))-AVERAGE(OFFSET($H$3,0,0,'Données projet'!$E$14+1,1))</f>
        <v>397.24714625007675</v>
      </c>
      <c r="DU117" s="62">
        <f t="shared" si="98"/>
        <v>431.75775520200608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9">
        <f t="shared" si="56"/>
        <v>256.66666666666669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329.49999999999966</v>
      </c>
      <c r="O118" s="14">
        <f>N118*VLOOKUP('Données projet'!$B$9,Paramètres!$A$1:$I$89,3,0)*VLOOKUP('Données projet'!$B$9,Paramètres!$A$1:$I$89,5,0)</f>
        <v>298.13159999999965</v>
      </c>
      <c r="P118" s="14">
        <f t="shared" si="87"/>
        <v>70.784632764375971</v>
      </c>
      <c r="Q118" s="22">
        <f t="shared" si="107"/>
        <v>642.52910539795425</v>
      </c>
      <c r="R118" s="62">
        <f t="shared" si="55"/>
        <v>935.86243873128751</v>
      </c>
      <c r="S118" s="62">
        <f ca="1">AVERAGE(OFFSET($R$3,0,0,'Données projet'!$E$9+1,1))-AVERAGE(OFFSET($H$3,0,0,'Données projet'!$E$9+1,1))</f>
        <v>509.56241660612449</v>
      </c>
      <c r="T118" s="62">
        <f t="shared" si="88"/>
        <v>278.21741231699929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-9.7543306765146564E-14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625.17723604265689</v>
      </c>
      <c r="AO118" s="62">
        <f t="shared" si="90"/>
        <v>462.33909258902241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3.141025641025641</v>
      </c>
      <c r="BD118" s="13">
        <f>IF('Données projet'!$A$88&gt;35,BD117+BC118-BL117,IF(A118&lt;'Données projet'!$A$88,$BA$205^A118,IF(A118='Données projet'!$A$88,'Données projet'!$B$88,BD117+BC118-BL117)))</f>
        <v>270.19230769230779</v>
      </c>
      <c r="BE118" s="14">
        <f>BD118*VLOOKUP('Données projet'!$B$11,Paramètres!$A$1:$I$89,3,0)*VLOOKUP('Données projet'!$B$11,Paramètres!$A$1:$I$89,5,0)</f>
        <v>257.11500000000007</v>
      </c>
      <c r="BF118" s="14">
        <f t="shared" si="91"/>
        <v>62.107013749759211</v>
      </c>
      <c r="BG118" s="22">
        <f t="shared" si="61"/>
        <v>555.97834061416404</v>
      </c>
      <c r="BH118" s="62">
        <f t="shared" si="62"/>
        <v>849.31167394749741</v>
      </c>
      <c r="BI118" s="62">
        <f ca="1">AVERAGE(OFFSET($BH$3,0,0,'Données projet'!$E$11+1,1))-AVERAGE(OFFSET($H$3,0,0,'Données projet'!$E$11+1,1))</f>
        <v>406.24139966722936</v>
      </c>
      <c r="BJ118" s="62">
        <f t="shared" si="92"/>
        <v>295.95724296920577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4.5</v>
      </c>
      <c r="BY118" s="13">
        <f>IF('Données projet'!$A$114&gt;35,BY117+BX118-CG117,IF(A118&lt;'Données projet'!$A$114,$BV$205^A118,IF(A118='Données projet'!$A$114,'Données projet'!$B$114,BY117+BX118-CG117)))</f>
        <v>329.49999999999966</v>
      </c>
      <c r="BZ118" s="14">
        <f>BY118*VLOOKUP('Données projet'!$B$12,Paramètres!$A$1:$I$89,3,0)*VLOOKUP('Données projet'!$B$12,Paramètres!$A$1:$I$89,5,0)</f>
        <v>334.11299999999966</v>
      </c>
      <c r="CA118" s="14">
        <f t="shared" si="93"/>
        <v>78.282421302277868</v>
      </c>
      <c r="CB118" s="22">
        <f t="shared" si="64"/>
        <v>718.25535876813331</v>
      </c>
      <c r="CC118" s="62">
        <f t="shared" si="65"/>
        <v>1011.5886921014667</v>
      </c>
      <c r="CD118" s="62">
        <f ca="1">AVERAGE(OFFSET($CC$3,0,0,'Données projet'!$E$12+1,1))-AVERAGE(OFFSET($H$3,0,0,'Données projet'!$E$12+1,1))</f>
        <v>565.72091871734051</v>
      </c>
      <c r="CE118" s="62">
        <f t="shared" si="94"/>
        <v>306.61893266146666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4.9658410716801891E-14</v>
      </c>
      <c r="CV118" s="14">
        <f t="shared" si="95"/>
        <v>8.0934058173791862E-13</v>
      </c>
      <c r="CW118" s="22">
        <f t="shared" si="67"/>
        <v>1.4960899118586383E-12</v>
      </c>
      <c r="CX118" s="62">
        <f t="shared" si="68"/>
        <v>293.33333333333479</v>
      </c>
      <c r="CY118" s="62">
        <f ca="1">AVERAGE(OFFSET($CX$3,0,0,'Données projet'!$E$13+1,1))-AVERAGE(OFFSET($H$3,0,0,'Données projet'!$E$13+1,1))</f>
        <v>333.56306908115238</v>
      </c>
      <c r="CZ118" s="62">
        <f t="shared" si="96"/>
        <v>523.65456887919618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4.5474735088646412E-13</v>
      </c>
      <c r="DP118" s="18">
        <f>DO118*VLOOKUP('Données projet'!$B$14,Paramètres!$A$1:$I$89,3,0)*VLOOKUP('Données projet'!$B$14,Paramètres!$A$1:$I$89,5,0)</f>
        <v>3.3342075766995548E-13</v>
      </c>
      <c r="DQ118" s="14">
        <f t="shared" si="97"/>
        <v>4.3537988100583648E-12</v>
      </c>
      <c r="DR118" s="22">
        <f t="shared" si="70"/>
        <v>8.1635740804601579E-12</v>
      </c>
      <c r="DS118" s="62">
        <f t="shared" si="71"/>
        <v>293.3333333333415</v>
      </c>
      <c r="DT118" s="62">
        <f ca="1">AVERAGE(OFFSET($DS$3,0,0,'Données projet'!$E$14+1,1))-AVERAGE(OFFSET($H$3,0,0,'Données projet'!$E$14+1,1))</f>
        <v>397.24714625007675</v>
      </c>
      <c r="DU118" s="62">
        <f t="shared" si="98"/>
        <v>431.75775520200608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9">
        <f t="shared" si="56"/>
        <v>256.66666666666669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333.99999999999966</v>
      </c>
      <c r="O119" s="14">
        <f>N119*VLOOKUP('Données projet'!$B$9,Paramètres!$A$1:$I$89,3,0)*VLOOKUP('Données projet'!$B$9,Paramètres!$A$1:$I$89,5,0)</f>
        <v>302.2031999999997</v>
      </c>
      <c r="P119" s="14">
        <f t="shared" si="87"/>
        <v>71.638141943842228</v>
      </c>
      <c r="Q119" s="22">
        <f t="shared" si="107"/>
        <v>651.1070038855247</v>
      </c>
      <c r="R119" s="62">
        <f t="shared" si="55"/>
        <v>944.44033721885808</v>
      </c>
      <c r="S119" s="62">
        <f ca="1">AVERAGE(OFFSET($R$3,0,0,'Données projet'!$E$9+1,1))-AVERAGE(OFFSET($H$3,0,0,'Données projet'!$E$9+1,1))</f>
        <v>509.56241660612449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-9.7543306765146564E-14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625.17723604265689</v>
      </c>
      <c r="AO119" s="62">
        <f t="shared" si="90"/>
        <v>462.33909258902241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3.141025641025641</v>
      </c>
      <c r="BD119" s="13">
        <f>IF('Données projet'!$A$88&gt;35,BD118+BC119-BL118,IF(A119&lt;'Données projet'!$A$88,$BA$205^A119,IF(A119='Données projet'!$A$88,'Données projet'!$B$88,BD118+BC119-BL118)))</f>
        <v>273.33333333333343</v>
      </c>
      <c r="BE119" s="14">
        <f>BD119*VLOOKUP('Données projet'!$B$11,Paramètres!$A$1:$I$89,3,0)*VLOOKUP('Données projet'!$B$11,Paramètres!$A$1:$I$89,5,0)</f>
        <v>260.1040000000001</v>
      </c>
      <c r="BF119" s="14">
        <f t="shared" si="91"/>
        <v>62.744546037419411</v>
      </c>
      <c r="BG119" s="22">
        <f t="shared" si="61"/>
        <v>562.29455101517226</v>
      </c>
      <c r="BH119" s="62">
        <f t="shared" si="62"/>
        <v>855.62788434850563</v>
      </c>
      <c r="BI119" s="62">
        <f ca="1">AVERAGE(OFFSET($BH$3,0,0,'Données projet'!$E$11+1,1))-AVERAGE(OFFSET($H$3,0,0,'Données projet'!$E$11+1,1))</f>
        <v>406.24139966722936</v>
      </c>
      <c r="BJ119" s="62">
        <f t="shared" si="92"/>
        <v>295.95724296920577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4.5</v>
      </c>
      <c r="BY119" s="13">
        <f>IF('Données projet'!$A$114&gt;35,BY118+BX119-CG118,IF(A119&lt;'Données projet'!$A$114,$BV$205^A119,IF(A119='Données projet'!$A$114,'Données projet'!$B$114,BY118+BX119-CG118)))</f>
        <v>333.99999999999966</v>
      </c>
      <c r="BZ119" s="14">
        <f>BY119*VLOOKUP('Données projet'!$B$12,Paramètres!$A$1:$I$89,3,0)*VLOOKUP('Données projet'!$B$12,Paramètres!$A$1:$I$89,5,0)</f>
        <v>338.6759999999997</v>
      </c>
      <c r="CA119" s="14">
        <f t="shared" si="93"/>
        <v>79.226337553065648</v>
      </c>
      <c r="CB119" s="22">
        <f t="shared" si="64"/>
        <v>727.84657123825548</v>
      </c>
      <c r="CC119" s="62">
        <f t="shared" si="65"/>
        <v>1021.1799045715888</v>
      </c>
      <c r="CD119" s="62">
        <f ca="1">AVERAGE(OFFSET($CC$3,0,0,'Données projet'!$E$12+1,1))-AVERAGE(OFFSET($H$3,0,0,'Données projet'!$E$12+1,1))</f>
        <v>565.72091871734051</v>
      </c>
      <c r="CE119" s="62">
        <f t="shared" si="94"/>
        <v>306.61893266146666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4.9658410716801891E-14</v>
      </c>
      <c r="CV119" s="14">
        <f t="shared" si="95"/>
        <v>8.0934058173791862E-13</v>
      </c>
      <c r="CW119" s="22">
        <f t="shared" si="67"/>
        <v>1.4960899118586383E-12</v>
      </c>
      <c r="CX119" s="62">
        <f t="shared" si="68"/>
        <v>293.33333333333479</v>
      </c>
      <c r="CY119" s="62">
        <f ca="1">AVERAGE(OFFSET($CX$3,0,0,'Données projet'!$E$13+1,1))-AVERAGE(OFFSET($H$3,0,0,'Données projet'!$E$13+1,1))</f>
        <v>333.56306908115238</v>
      </c>
      <c r="CZ119" s="62">
        <f t="shared" si="96"/>
        <v>523.65456887919618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4.5474735088646412E-13</v>
      </c>
      <c r="DP119" s="18">
        <f>DO119*VLOOKUP('Données projet'!$B$14,Paramètres!$A$1:$I$89,3,0)*VLOOKUP('Données projet'!$B$14,Paramètres!$A$1:$I$89,5,0)</f>
        <v>3.3342075766995548E-13</v>
      </c>
      <c r="DQ119" s="14">
        <f t="shared" si="97"/>
        <v>4.3537988100583648E-12</v>
      </c>
      <c r="DR119" s="22">
        <f t="shared" si="70"/>
        <v>8.1635740804601579E-12</v>
      </c>
      <c r="DS119" s="62">
        <f t="shared" si="71"/>
        <v>293.3333333333415</v>
      </c>
      <c r="DT119" s="62">
        <f ca="1">AVERAGE(OFFSET($DS$3,0,0,'Données projet'!$E$14+1,1))-AVERAGE(OFFSET($H$3,0,0,'Données projet'!$E$14+1,1))</f>
        <v>397.24714625007675</v>
      </c>
      <c r="DU119" s="62">
        <f t="shared" si="98"/>
        <v>431.75775520200608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9">
        <f t="shared" si="56"/>
        <v>256.66666666666669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338.49999999999966</v>
      </c>
      <c r="O120" s="14">
        <f>N120*VLOOKUP('Données projet'!$B$9,Paramètres!$A$1:$I$89,3,0)*VLOOKUP('Données projet'!$B$9,Paramètres!$A$1:$I$89,5,0)</f>
        <v>306.27479999999969</v>
      </c>
      <c r="P120" s="14">
        <f t="shared" si="87"/>
        <v>72.490313602282981</v>
      </c>
      <c r="Q120" s="22">
        <f t="shared" si="107"/>
        <v>659.68257285730897</v>
      </c>
      <c r="R120" s="62">
        <f t="shared" si="55"/>
        <v>953.01590619064223</v>
      </c>
      <c r="S120" s="62">
        <f ca="1">AVERAGE(OFFSET($R$3,0,0,'Données projet'!$E$9+1,1))-AVERAGE(OFFSET($H$3,0,0,'Données projet'!$E$9+1,1))</f>
        <v>509.56241660612449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-9.7543306765146564E-14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625.17723604265689</v>
      </c>
      <c r="AO120" s="62">
        <f t="shared" si="90"/>
        <v>462.33909258902241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3.141025641025641</v>
      </c>
      <c r="BD120" s="13">
        <f>IF('Données projet'!$A$88&gt;35,BD119+BC120-BL119,IF(A120&lt;'Données projet'!$A$88,$BA$205^A120,IF(A120='Données projet'!$A$88,'Données projet'!$B$88,BD119+BC120-BL119)))</f>
        <v>276.47435897435906</v>
      </c>
      <c r="BE120" s="14">
        <f>BD120*VLOOKUP('Données projet'!$B$11,Paramètres!$A$1:$I$89,3,0)*VLOOKUP('Données projet'!$B$11,Paramètres!$A$1:$I$89,5,0)</f>
        <v>263.09300000000007</v>
      </c>
      <c r="BF120" s="14">
        <f t="shared" si="91"/>
        <v>63.381226101139966</v>
      </c>
      <c r="BG120" s="22">
        <f t="shared" si="61"/>
        <v>568.60927712615228</v>
      </c>
      <c r="BH120" s="62">
        <f t="shared" si="62"/>
        <v>861.94261045948565</v>
      </c>
      <c r="BI120" s="62">
        <f ca="1">AVERAGE(OFFSET($BH$3,0,0,'Données projet'!$E$11+1,1))-AVERAGE(OFFSET($H$3,0,0,'Données projet'!$E$11+1,1))</f>
        <v>406.24139966722936</v>
      </c>
      <c r="BJ120" s="62">
        <f t="shared" si="92"/>
        <v>295.95724296920577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4.5</v>
      </c>
      <c r="BY120" s="13">
        <f>IF('Données projet'!$A$114&gt;35,BY119+BX120-CG119,IF(A120&lt;'Données projet'!$A$114,$BV$205^A120,IF(A120='Données projet'!$A$114,'Données projet'!$B$114,BY119+BX120-CG119)))</f>
        <v>338.49999999999966</v>
      </c>
      <c r="BZ120" s="14">
        <f>BY120*VLOOKUP('Données projet'!$B$12,Paramètres!$A$1:$I$89,3,0)*VLOOKUP('Données projet'!$B$12,Paramètres!$A$1:$I$89,5,0)</f>
        <v>343.23899999999969</v>
      </c>
      <c r="CA120" s="14">
        <f t="shared" si="93"/>
        <v>80.168774607305735</v>
      </c>
      <c r="CB120" s="22">
        <f t="shared" si="64"/>
        <v>737.43520744105683</v>
      </c>
      <c r="CC120" s="62">
        <f t="shared" si="65"/>
        <v>1030.7685407743902</v>
      </c>
      <c r="CD120" s="62">
        <f ca="1">AVERAGE(OFFSET($CC$3,0,0,'Données projet'!$E$12+1,1))-AVERAGE(OFFSET($H$3,0,0,'Données projet'!$E$12+1,1))</f>
        <v>565.72091871734051</v>
      </c>
      <c r="CE120" s="62">
        <f t="shared" si="94"/>
        <v>306.61893266146666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4.9658410716801891E-14</v>
      </c>
      <c r="CV120" s="14">
        <f t="shared" si="95"/>
        <v>8.0934058173791862E-13</v>
      </c>
      <c r="CW120" s="22">
        <f t="shared" si="67"/>
        <v>1.4960899118586383E-12</v>
      </c>
      <c r="CX120" s="62">
        <f t="shared" si="68"/>
        <v>293.33333333333479</v>
      </c>
      <c r="CY120" s="62">
        <f ca="1">AVERAGE(OFFSET($CX$3,0,0,'Données projet'!$E$13+1,1))-AVERAGE(OFFSET($H$3,0,0,'Données projet'!$E$13+1,1))</f>
        <v>333.56306908115238</v>
      </c>
      <c r="CZ120" s="62">
        <f t="shared" si="96"/>
        <v>523.65456887919618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4.5474735088646412E-13</v>
      </c>
      <c r="DP120" s="18">
        <f>DO120*VLOOKUP('Données projet'!$B$14,Paramètres!$A$1:$I$89,3,0)*VLOOKUP('Données projet'!$B$14,Paramètres!$A$1:$I$89,5,0)</f>
        <v>3.3342075766995548E-13</v>
      </c>
      <c r="DQ120" s="14">
        <f t="shared" si="97"/>
        <v>4.3537988100583648E-12</v>
      </c>
      <c r="DR120" s="22">
        <f t="shared" si="70"/>
        <v>8.1635740804601579E-12</v>
      </c>
      <c r="DS120" s="62">
        <f t="shared" si="71"/>
        <v>293.3333333333415</v>
      </c>
      <c r="DT120" s="62">
        <f ca="1">AVERAGE(OFFSET($DS$3,0,0,'Données projet'!$E$14+1,1))-AVERAGE(OFFSET($H$3,0,0,'Données projet'!$E$14+1,1))</f>
        <v>397.24714625007675</v>
      </c>
      <c r="DU120" s="62">
        <f t="shared" si="98"/>
        <v>431.75775520200608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9">
        <f t="shared" si="56"/>
        <v>256.66666666666669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342.99999999999966</v>
      </c>
      <c r="O121" s="14">
        <f>N121*VLOOKUP('Données projet'!$B$9,Paramètres!$A$1:$I$89,3,0)*VLOOKUP('Données projet'!$B$9,Paramètres!$A$1:$I$89,5,0)</f>
        <v>310.34639999999968</v>
      </c>
      <c r="P121" s="14">
        <f t="shared" si="87"/>
        <v>73.341167576152998</v>
      </c>
      <c r="Q121" s="22">
        <f t="shared" si="107"/>
        <v>668.25584686179923</v>
      </c>
      <c r="R121" s="62">
        <f t="shared" si="55"/>
        <v>961.58918019513249</v>
      </c>
      <c r="S121" s="62">
        <f ca="1">AVERAGE(OFFSET($R$3,0,0,'Données projet'!$E$9+1,1))-AVERAGE(OFFSET($H$3,0,0,'Données projet'!$E$9+1,1))</f>
        <v>509.56241660612449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-9.7543306765146564E-14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625.17723604265689</v>
      </c>
      <c r="AO121" s="62">
        <f t="shared" si="90"/>
        <v>462.33909258902241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3.141025641025641</v>
      </c>
      <c r="BD121" s="13">
        <f>IF('Données projet'!$A$88&gt;35,BD120+BC121-BL120,IF(A121&lt;'Données projet'!$A$88,$BA$205^A121,IF(A121='Données projet'!$A$88,'Données projet'!$B$88,BD120+BC121-BL120)))</f>
        <v>279.6153846153847</v>
      </c>
      <c r="BE121" s="14">
        <f>BD121*VLOOKUP('Données projet'!$B$11,Paramètres!$A$1:$I$89,3,0)*VLOOKUP('Données projet'!$B$11,Paramètres!$A$1:$I$89,5,0)</f>
        <v>266.08200000000005</v>
      </c>
      <c r="BF121" s="14">
        <f t="shared" si="91"/>
        <v>64.017064743360152</v>
      </c>
      <c r="BG121" s="22">
        <f t="shared" si="61"/>
        <v>574.92253776135237</v>
      </c>
      <c r="BH121" s="62">
        <f t="shared" si="62"/>
        <v>868.25587109468574</v>
      </c>
      <c r="BI121" s="62">
        <f ca="1">AVERAGE(OFFSET($BH$3,0,0,'Données projet'!$E$11+1,1))-AVERAGE(OFFSET($H$3,0,0,'Données projet'!$E$11+1,1))</f>
        <v>406.24139966722936</v>
      </c>
      <c r="BJ121" s="62">
        <f t="shared" si="92"/>
        <v>295.95724296920577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4.5</v>
      </c>
      <c r="BY121" s="13">
        <f>IF('Données projet'!$A$114&gt;35,BY120+BX121-CG120,IF(A121&lt;'Données projet'!$A$114,$BV$205^A121,IF(A121='Données projet'!$A$114,'Données projet'!$B$114,BY120+BX121-CG120)))</f>
        <v>342.99999999999966</v>
      </c>
      <c r="BZ121" s="14">
        <f>BY121*VLOOKUP('Données projet'!$B$12,Paramètres!$A$1:$I$89,3,0)*VLOOKUP('Données projet'!$B$12,Paramètres!$A$1:$I$89,5,0)</f>
        <v>347.80199999999968</v>
      </c>
      <c r="CA121" s="14">
        <f t="shared" si="93"/>
        <v>81.109754402608502</v>
      </c>
      <c r="CB121" s="22">
        <f t="shared" si="64"/>
        <v>747.02130558454246</v>
      </c>
      <c r="CC121" s="62">
        <f t="shared" si="65"/>
        <v>1040.3546389178757</v>
      </c>
      <c r="CD121" s="62">
        <f ca="1">AVERAGE(OFFSET($CC$3,0,0,'Données projet'!$E$12+1,1))-AVERAGE(OFFSET($H$3,0,0,'Données projet'!$E$12+1,1))</f>
        <v>565.72091871734051</v>
      </c>
      <c r="CE121" s="62">
        <f t="shared" si="94"/>
        <v>306.61893266146666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4.9658410716801891E-14</v>
      </c>
      <c r="CV121" s="14">
        <f t="shared" si="95"/>
        <v>8.0934058173791862E-13</v>
      </c>
      <c r="CW121" s="22">
        <f t="shared" si="67"/>
        <v>1.4960899118586383E-12</v>
      </c>
      <c r="CX121" s="62">
        <f t="shared" si="68"/>
        <v>293.33333333333479</v>
      </c>
      <c r="CY121" s="62">
        <f ca="1">AVERAGE(OFFSET($CX$3,0,0,'Données projet'!$E$13+1,1))-AVERAGE(OFFSET($H$3,0,0,'Données projet'!$E$13+1,1))</f>
        <v>333.56306908115238</v>
      </c>
      <c r="CZ121" s="62">
        <f t="shared" si="96"/>
        <v>523.65456887919618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4.5474735088646412E-13</v>
      </c>
      <c r="DP121" s="18">
        <f>DO121*VLOOKUP('Données projet'!$B$14,Paramètres!$A$1:$I$89,3,0)*VLOOKUP('Données projet'!$B$14,Paramètres!$A$1:$I$89,5,0)</f>
        <v>3.3342075766995548E-13</v>
      </c>
      <c r="DQ121" s="14">
        <f t="shared" si="97"/>
        <v>4.3537988100583648E-12</v>
      </c>
      <c r="DR121" s="22">
        <f t="shared" si="70"/>
        <v>8.1635740804601579E-12</v>
      </c>
      <c r="DS121" s="62">
        <f t="shared" si="71"/>
        <v>293.3333333333415</v>
      </c>
      <c r="DT121" s="62">
        <f ca="1">AVERAGE(OFFSET($DS$3,0,0,'Données projet'!$E$14+1,1))-AVERAGE(OFFSET($H$3,0,0,'Données projet'!$E$14+1,1))</f>
        <v>397.24714625007675</v>
      </c>
      <c r="DU121" s="62">
        <f t="shared" si="98"/>
        <v>431.75775520200608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9">
        <f t="shared" si="56"/>
        <v>256.66666666666669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347.49999999999966</v>
      </c>
      <c r="O122" s="14">
        <f>N122*VLOOKUP('Données projet'!$B$9,Paramètres!$A$1:$I$89,3,0)*VLOOKUP('Données projet'!$B$9,Paramètres!$A$1:$I$89,5,0)</f>
        <v>314.41799999999967</v>
      </c>
      <c r="P122" s="14">
        <f t="shared" si="87"/>
        <v>74.190723151497266</v>
      </c>
      <c r="Q122" s="22">
        <f t="shared" si="107"/>
        <v>676.82685948885705</v>
      </c>
      <c r="R122" s="62">
        <f t="shared" si="55"/>
        <v>970.16019282219031</v>
      </c>
      <c r="S122" s="62">
        <f ca="1">AVERAGE(OFFSET($R$3,0,0,'Données projet'!$E$9+1,1))-AVERAGE(OFFSET($H$3,0,0,'Données projet'!$E$9+1,1))</f>
        <v>509.56241660612449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-9.7543306765146564E-14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625.17723604265689</v>
      </c>
      <c r="AO122" s="62">
        <f t="shared" si="90"/>
        <v>462.33909258902241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3.141025641025641</v>
      </c>
      <c r="BD122" s="13">
        <f>IF('Données projet'!$A$88&gt;35,BD121+BC122-BL121,IF(A122&lt;'Données projet'!$A$88,$BA$205^A122,IF(A122='Données projet'!$A$88,'Données projet'!$B$88,BD121+BC122-BL121)))</f>
        <v>282.75641025641033</v>
      </c>
      <c r="BE122" s="14">
        <f>BD122*VLOOKUP('Données projet'!$B$11,Paramètres!$A$1:$I$89,3,0)*VLOOKUP('Données projet'!$B$11,Paramètres!$A$1:$I$89,5,0)</f>
        <v>269.07100000000008</v>
      </c>
      <c r="BF122" s="14">
        <f t="shared" si="91"/>
        <v>64.652072509850228</v>
      </c>
      <c r="BG122" s="22">
        <f t="shared" si="61"/>
        <v>581.2343512879894</v>
      </c>
      <c r="BH122" s="62">
        <f t="shared" si="62"/>
        <v>874.56768462132277</v>
      </c>
      <c r="BI122" s="62">
        <f ca="1">AVERAGE(OFFSET($BH$3,0,0,'Données projet'!$E$11+1,1))-AVERAGE(OFFSET($H$3,0,0,'Données projet'!$E$11+1,1))</f>
        <v>406.24139966722936</v>
      </c>
      <c r="BJ122" s="62">
        <f t="shared" si="92"/>
        <v>295.95724296920577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4.5</v>
      </c>
      <c r="BY122" s="13">
        <f>IF('Données projet'!$A$114&gt;35,BY121+BX122-CG121,IF(A122&lt;'Données projet'!$A$114,$BV$205^A122,IF(A122='Données projet'!$A$114,'Données projet'!$B$114,BY121+BX122-CG121)))</f>
        <v>347.49999999999966</v>
      </c>
      <c r="BZ122" s="14">
        <f>BY122*VLOOKUP('Données projet'!$B$12,Paramètres!$A$1:$I$89,3,0)*VLOOKUP('Données projet'!$B$12,Paramètres!$A$1:$I$89,5,0)</f>
        <v>352.36499999999967</v>
      </c>
      <c r="CA122" s="14">
        <f t="shared" si="93"/>
        <v>82.049298267873496</v>
      </c>
      <c r="CB122" s="22">
        <f t="shared" si="64"/>
        <v>756.60490281654575</v>
      </c>
      <c r="CC122" s="62">
        <f t="shared" si="65"/>
        <v>1049.938236149879</v>
      </c>
      <c r="CD122" s="62">
        <f ca="1">AVERAGE(OFFSET($CC$3,0,0,'Données projet'!$E$12+1,1))-AVERAGE(OFFSET($H$3,0,0,'Données projet'!$E$12+1,1))</f>
        <v>565.72091871734051</v>
      </c>
      <c r="CE122" s="62">
        <f t="shared" si="94"/>
        <v>306.61893266146666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4.9658410716801891E-14</v>
      </c>
      <c r="CV122" s="14">
        <f t="shared" si="95"/>
        <v>8.0934058173791862E-13</v>
      </c>
      <c r="CW122" s="22">
        <f t="shared" si="67"/>
        <v>1.4960899118586383E-12</v>
      </c>
      <c r="CX122" s="62">
        <f t="shared" si="68"/>
        <v>293.33333333333479</v>
      </c>
      <c r="CY122" s="62">
        <f ca="1">AVERAGE(OFFSET($CX$3,0,0,'Données projet'!$E$13+1,1))-AVERAGE(OFFSET($H$3,0,0,'Données projet'!$E$13+1,1))</f>
        <v>333.56306908115238</v>
      </c>
      <c r="CZ122" s="62">
        <f t="shared" si="96"/>
        <v>523.65456887919618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4.5474735088646412E-13</v>
      </c>
      <c r="DP122" s="18">
        <f>DO122*VLOOKUP('Données projet'!$B$14,Paramètres!$A$1:$I$89,3,0)*VLOOKUP('Données projet'!$B$14,Paramètres!$A$1:$I$89,5,0)</f>
        <v>3.3342075766995548E-13</v>
      </c>
      <c r="DQ122" s="14">
        <f t="shared" si="97"/>
        <v>4.3537988100583648E-12</v>
      </c>
      <c r="DR122" s="22">
        <f t="shared" si="70"/>
        <v>8.1635740804601579E-12</v>
      </c>
      <c r="DS122" s="62">
        <f t="shared" si="71"/>
        <v>293.3333333333415</v>
      </c>
      <c r="DT122" s="62">
        <f ca="1">AVERAGE(OFFSET($DS$3,0,0,'Données projet'!$E$14+1,1))-AVERAGE(OFFSET($H$3,0,0,'Données projet'!$E$14+1,1))</f>
        <v>397.24714625007675</v>
      </c>
      <c r="DU122" s="62">
        <f t="shared" si="98"/>
        <v>431.75775520200608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9">
        <f t="shared" si="56"/>
        <v>256.66666666666669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351.99999999999966</v>
      </c>
      <c r="O123" s="14">
        <f>N123*VLOOKUP('Données projet'!$B$9,Paramètres!$A$1:$I$89,3,0)*VLOOKUP('Données projet'!$B$9,Paramètres!$A$1:$I$89,5,0)</f>
        <v>318.48959999999971</v>
      </c>
      <c r="P123" s="14">
        <f t="shared" si="87"/>
        <v>75.038999086150227</v>
      </c>
      <c r="Q123" s="22">
        <f t="shared" si="107"/>
        <v>685.39564340837785</v>
      </c>
      <c r="R123" s="62">
        <f t="shared" si="55"/>
        <v>978.72897674171122</v>
      </c>
      <c r="S123" s="62">
        <f ca="1">AVERAGE(OFFSET($R$3,0,0,'Données projet'!$E$9+1,1))-AVERAGE(OFFSET($H$3,0,0,'Données projet'!$E$9+1,1))</f>
        <v>509.56241660612449</v>
      </c>
      <c r="T123" s="62">
        <f t="shared" si="88"/>
        <v>278.21741231699929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47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-9.7543306765146564E-14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625.17723604265689</v>
      </c>
      <c r="AO123" s="62">
        <f t="shared" si="90"/>
        <v>462.33909258902241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285.89743589743591</v>
      </c>
      <c r="BB123" s="13">
        <f>VLOOKUP(A123,'Données projet'!$A$87:$I$107,9,0)</f>
        <v>3.141025641025641</v>
      </c>
      <c r="BC123" s="13">
        <f t="array" ref="BC123">INDEX(BB:BB,MIN(IF(ISNUMBER(BB123:BB319),ROW(BB123:BB319),"")))</f>
        <v>3.141025641025641</v>
      </c>
      <c r="BD123" s="13">
        <f>IF('Données projet'!$A$88&gt;35,BD122+BC123-BL122,IF(A123&lt;'Données projet'!$A$88,$BA$205^A123,IF(A123='Données projet'!$A$88,'Données projet'!$B$88,BD122+BC123-BL122)))</f>
        <v>285.89743589743597</v>
      </c>
      <c r="BE123" s="14">
        <f>BD123*VLOOKUP('Données projet'!$B$11,Paramètres!$A$1:$I$89,3,0)*VLOOKUP('Données projet'!$B$11,Paramètres!$A$1:$I$89,5,0)</f>
        <v>272.06000000000006</v>
      </c>
      <c r="BF123" s="14">
        <f t="shared" si="91"/>
        <v>65.286259698592175</v>
      </c>
      <c r="BG123" s="22">
        <f t="shared" si="61"/>
        <v>587.54473564171474</v>
      </c>
      <c r="BH123" s="62">
        <f t="shared" si="62"/>
        <v>880.87806897504811</v>
      </c>
      <c r="BI123" s="62">
        <f ca="1">AVERAGE(OFFSET($BH$3,0,0,'Données projet'!$E$11+1,1))-AVERAGE(OFFSET($H$3,0,0,'Données projet'!$E$11+1,1))</f>
        <v>406.24139966722936</v>
      </c>
      <c r="BJ123" s="62">
        <f t="shared" si="92"/>
        <v>295.95724296920577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285.89743589743591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352</v>
      </c>
      <c r="BW123" s="13">
        <f>VLOOKUP(A123,'Données projet'!$A$113:$I$133,9,0)</f>
        <v>4.5</v>
      </c>
      <c r="BX123" s="13">
        <f t="array" ref="BX123">INDEX(BW:BW,MIN(IF(ISNUMBER(BW123:BW319),ROW(BW123:BW319),"")))</f>
        <v>4.5</v>
      </c>
      <c r="BY123" s="13">
        <f>IF('Données projet'!$A$114&gt;35,BY122+BX123-CG122,IF(A123&lt;'Données projet'!$A$114,$BV$205^A123,IF(A123='Données projet'!$A$114,'Données projet'!$B$114,BY122+BX123-CG122)))</f>
        <v>351.99999999999966</v>
      </c>
      <c r="BZ123" s="14">
        <f>BY123*VLOOKUP('Données projet'!$B$12,Paramètres!$A$1:$I$89,3,0)*VLOOKUP('Données projet'!$B$12,Paramètres!$A$1:$I$89,5,0)</f>
        <v>356.92799999999966</v>
      </c>
      <c r="CA123" s="14">
        <f t="shared" si="93"/>
        <v>82.987426947838912</v>
      </c>
      <c r="CB123" s="22">
        <f t="shared" si="64"/>
        <v>766.18603526748541</v>
      </c>
      <c r="CC123" s="62">
        <f t="shared" si="65"/>
        <v>1059.5193686008188</v>
      </c>
      <c r="CD123" s="62">
        <f ca="1">AVERAGE(OFFSET($CC$3,0,0,'Données projet'!$E$12+1,1))-AVERAGE(OFFSET($H$3,0,0,'Données projet'!$E$12+1,1))</f>
        <v>565.72091871734051</v>
      </c>
      <c r="CE123" s="62">
        <f t="shared" si="94"/>
        <v>306.61893266146666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47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4.9658410716801891E-14</v>
      </c>
      <c r="CV123" s="14">
        <f t="shared" si="95"/>
        <v>8.0934058173791862E-13</v>
      </c>
      <c r="CW123" s="22">
        <f t="shared" si="67"/>
        <v>1.4960899118586383E-12</v>
      </c>
      <c r="CX123" s="62">
        <f t="shared" si="68"/>
        <v>293.33333333333479</v>
      </c>
      <c r="CY123" s="62">
        <f ca="1">AVERAGE(OFFSET($CX$3,0,0,'Données projet'!$E$13+1,1))-AVERAGE(OFFSET($H$3,0,0,'Données projet'!$E$13+1,1))</f>
        <v>333.56306908115238</v>
      </c>
      <c r="CZ123" s="62">
        <f t="shared" si="96"/>
        <v>523.65456887919618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4.5474735088646412E-13</v>
      </c>
      <c r="DP123" s="18">
        <f>DO123*VLOOKUP('Données projet'!$B$14,Paramètres!$A$1:$I$89,3,0)*VLOOKUP('Données projet'!$B$14,Paramètres!$A$1:$I$89,5,0)</f>
        <v>3.3342075766995548E-13</v>
      </c>
      <c r="DQ123" s="14">
        <f t="shared" si="97"/>
        <v>4.3537988100583648E-12</v>
      </c>
      <c r="DR123" s="22">
        <f t="shared" si="70"/>
        <v>8.1635740804601579E-12</v>
      </c>
      <c r="DS123" s="62">
        <f t="shared" si="71"/>
        <v>293.3333333333415</v>
      </c>
      <c r="DT123" s="62">
        <f ca="1">AVERAGE(OFFSET($DS$3,0,0,'Données projet'!$E$14+1,1))-AVERAGE(OFFSET($H$3,0,0,'Données projet'!$E$14+1,1))</f>
        <v>397.24714625007675</v>
      </c>
      <c r="DU123" s="62">
        <f t="shared" si="98"/>
        <v>431.75775520200608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9">
        <f t="shared" si="56"/>
        <v>256.66666666666669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309.19999999999965</v>
      </c>
      <c r="O124" s="14">
        <f>N124*VLOOKUP('Données projet'!$B$9,Paramètres!$A$1:$I$89,3,0)*VLOOKUP('Données projet'!$B$9,Paramètres!$A$1:$I$89,5,0)</f>
        <v>279.76415999999966</v>
      </c>
      <c r="P124" s="14">
        <f t="shared" si="87"/>
        <v>66.917166665547271</v>
      </c>
      <c r="Q124" s="22">
        <f t="shared" si="107"/>
        <v>603.8033106091608</v>
      </c>
      <c r="R124" s="62">
        <f t="shared" si="55"/>
        <v>897.13664394249417</v>
      </c>
      <c r="S124" s="62">
        <f ca="1">AVERAGE(OFFSET($R$3,0,0,'Données projet'!$E$9+1,1))-AVERAGE(OFFSET($H$3,0,0,'Données projet'!$E$9+1,1))</f>
        <v>509.56241660612449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-9.7543306765146564E-14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625.17723604265689</v>
      </c>
      <c r="AO124" s="62">
        <f t="shared" si="90"/>
        <v>462.33909258902241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5.4092197387944907E-14</v>
      </c>
      <c r="BF124" s="14">
        <f t="shared" si="91"/>
        <v>8.7287050538073676E-13</v>
      </c>
      <c r="BG124" s="22">
        <f t="shared" si="61"/>
        <v>1.6144600406554537E-12</v>
      </c>
      <c r="BH124" s="62">
        <f t="shared" si="62"/>
        <v>293.33333333333491</v>
      </c>
      <c r="BI124" s="62">
        <f ca="1">AVERAGE(OFFSET($BH$3,0,0,'Données projet'!$E$11+1,1))-AVERAGE(OFFSET($H$3,0,0,'Données projet'!$E$11+1,1))</f>
        <v>406.24139966722936</v>
      </c>
      <c r="BJ124" s="62">
        <f t="shared" si="92"/>
        <v>295.95724296920577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4.2</v>
      </c>
      <c r="BY124" s="13">
        <f>IF('Données projet'!$A$114&gt;35,BY123+BX124-CG123,IF(A124&lt;'Données projet'!$A$114,$BV$205^A124,IF(A124='Données projet'!$A$114,'Données projet'!$B$114,BY123+BX124-CG123)))</f>
        <v>309.19999999999965</v>
      </c>
      <c r="BZ124" s="14">
        <f>BY124*VLOOKUP('Données projet'!$B$12,Paramètres!$A$1:$I$89,3,0)*VLOOKUP('Données projet'!$B$12,Paramètres!$A$1:$I$89,5,0)</f>
        <v>313.52879999999971</v>
      </c>
      <c r="CA124" s="14">
        <f t="shared" si="93"/>
        <v>74.005297883010172</v>
      </c>
      <c r="CB124" s="22">
        <f t="shared" si="64"/>
        <v>674.95522047957547</v>
      </c>
      <c r="CC124" s="62">
        <f t="shared" si="65"/>
        <v>968.28855381290873</v>
      </c>
      <c r="CD124" s="62">
        <f ca="1">AVERAGE(OFFSET($CC$3,0,0,'Données projet'!$E$12+1,1))-AVERAGE(OFFSET($H$3,0,0,'Données projet'!$E$12+1,1))</f>
        <v>565.72091871734051</v>
      </c>
      <c r="CE124" s="62">
        <f t="shared" si="94"/>
        <v>306.61893266146666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4.9658410716801891E-14</v>
      </c>
      <c r="CV124" s="14">
        <f t="shared" si="95"/>
        <v>8.0934058173791862E-13</v>
      </c>
      <c r="CW124" s="22">
        <f t="shared" si="67"/>
        <v>1.4960899118586383E-12</v>
      </c>
      <c r="CX124" s="62">
        <f t="shared" si="68"/>
        <v>293.33333333333479</v>
      </c>
      <c r="CY124" s="62">
        <f ca="1">AVERAGE(OFFSET($CX$3,0,0,'Données projet'!$E$13+1,1))-AVERAGE(OFFSET($H$3,0,0,'Données projet'!$E$13+1,1))</f>
        <v>333.56306908115238</v>
      </c>
      <c r="CZ124" s="62">
        <f t="shared" si="96"/>
        <v>523.65456887919618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4.5474735088646412E-13</v>
      </c>
      <c r="DP124" s="18">
        <f>DO124*VLOOKUP('Données projet'!$B$14,Paramètres!$A$1:$I$89,3,0)*VLOOKUP('Données projet'!$B$14,Paramètres!$A$1:$I$89,5,0)</f>
        <v>3.3342075766995548E-13</v>
      </c>
      <c r="DQ124" s="14">
        <f t="shared" si="97"/>
        <v>4.3537988100583648E-12</v>
      </c>
      <c r="DR124" s="22">
        <f t="shared" si="70"/>
        <v>8.1635740804601579E-12</v>
      </c>
      <c r="DS124" s="62">
        <f t="shared" si="71"/>
        <v>293.3333333333415</v>
      </c>
      <c r="DT124" s="62">
        <f ca="1">AVERAGE(OFFSET($DS$3,0,0,'Données projet'!$E$14+1,1))-AVERAGE(OFFSET($H$3,0,0,'Données projet'!$E$14+1,1))</f>
        <v>397.24714625007675</v>
      </c>
      <c r="DU124" s="62">
        <f t="shared" si="98"/>
        <v>431.75775520200608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9">
        <f t="shared" si="56"/>
        <v>256.66666666666669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313.39999999999964</v>
      </c>
      <c r="O125" s="14">
        <f>N125*VLOOKUP('Données projet'!$B$9,Paramètres!$A$1:$I$89,3,0)*VLOOKUP('Données projet'!$B$9,Paramètres!$A$1:$I$89,5,0)</f>
        <v>283.56431999999967</v>
      </c>
      <c r="P125" s="14">
        <f t="shared" si="87"/>
        <v>67.71969673023186</v>
      </c>
      <c r="Q125" s="22">
        <f t="shared" si="107"/>
        <v>611.81966247181992</v>
      </c>
      <c r="R125" s="62">
        <f t="shared" si="55"/>
        <v>905.1529958051533</v>
      </c>
      <c r="S125" s="62">
        <f ca="1">AVERAGE(OFFSET($R$3,0,0,'Données projet'!$E$9+1,1))-AVERAGE(OFFSET($H$3,0,0,'Données projet'!$E$9+1,1))</f>
        <v>509.56241660612449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-9.7543306765146564E-14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625.17723604265689</v>
      </c>
      <c r="AO125" s="62">
        <f t="shared" si="90"/>
        <v>462.33909258902241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5.4092197387944907E-14</v>
      </c>
      <c r="BF125" s="14">
        <f t="shared" si="91"/>
        <v>8.7287050538073676E-13</v>
      </c>
      <c r="BG125" s="22">
        <f t="shared" si="61"/>
        <v>1.6144600406554537E-12</v>
      </c>
      <c r="BH125" s="62">
        <f t="shared" si="62"/>
        <v>293.33333333333491</v>
      </c>
      <c r="BI125" s="62">
        <f ca="1">AVERAGE(OFFSET($BH$3,0,0,'Données projet'!$E$11+1,1))-AVERAGE(OFFSET($H$3,0,0,'Données projet'!$E$11+1,1))</f>
        <v>406.24139966722936</v>
      </c>
      <c r="BJ125" s="62">
        <f t="shared" si="92"/>
        <v>295.95724296920577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4.2</v>
      </c>
      <c r="BY125" s="13">
        <f>IF('Données projet'!$A$114&gt;35,BY124+BX125-CG124,IF(A125&lt;'Données projet'!$A$114,$BV$205^A125,IF(A125='Données projet'!$A$114,'Données projet'!$B$114,BY124+BX125-CG124)))</f>
        <v>313.39999999999964</v>
      </c>
      <c r="BZ125" s="14">
        <f>BY125*VLOOKUP('Données projet'!$B$12,Paramètres!$A$1:$I$89,3,0)*VLOOKUP('Données projet'!$B$12,Paramètres!$A$1:$I$89,5,0)</f>
        <v>317.78759999999966</v>
      </c>
      <c r="CA125" s="14">
        <f t="shared" si="93"/>
        <v>74.892835109352845</v>
      </c>
      <c r="CB125" s="22">
        <f t="shared" si="64"/>
        <v>683.9184244821223</v>
      </c>
      <c r="CC125" s="62">
        <f t="shared" si="65"/>
        <v>977.25175781545568</v>
      </c>
      <c r="CD125" s="62">
        <f ca="1">AVERAGE(OFFSET($CC$3,0,0,'Données projet'!$E$12+1,1))-AVERAGE(OFFSET($H$3,0,0,'Données projet'!$E$12+1,1))</f>
        <v>565.72091871734051</v>
      </c>
      <c r="CE125" s="62">
        <f t="shared" si="94"/>
        <v>306.61893266146666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4.9658410716801891E-14</v>
      </c>
      <c r="CV125" s="14">
        <f t="shared" si="95"/>
        <v>8.0934058173791862E-13</v>
      </c>
      <c r="CW125" s="22">
        <f t="shared" si="67"/>
        <v>1.4960899118586383E-12</v>
      </c>
      <c r="CX125" s="62">
        <f t="shared" si="68"/>
        <v>293.33333333333479</v>
      </c>
      <c r="CY125" s="62">
        <f ca="1">AVERAGE(OFFSET($CX$3,0,0,'Données projet'!$E$13+1,1))-AVERAGE(OFFSET($H$3,0,0,'Données projet'!$E$13+1,1))</f>
        <v>333.56306908115238</v>
      </c>
      <c r="CZ125" s="62">
        <f t="shared" si="96"/>
        <v>523.65456887919618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4.5474735088646412E-13</v>
      </c>
      <c r="DP125" s="18">
        <f>DO125*VLOOKUP('Données projet'!$B$14,Paramètres!$A$1:$I$89,3,0)*VLOOKUP('Données projet'!$B$14,Paramètres!$A$1:$I$89,5,0)</f>
        <v>3.3342075766995548E-13</v>
      </c>
      <c r="DQ125" s="14">
        <f t="shared" si="97"/>
        <v>4.3537988100583648E-12</v>
      </c>
      <c r="DR125" s="22">
        <f t="shared" si="70"/>
        <v>8.1635740804601579E-12</v>
      </c>
      <c r="DS125" s="62">
        <f t="shared" si="71"/>
        <v>293.3333333333415</v>
      </c>
      <c r="DT125" s="62">
        <f ca="1">AVERAGE(OFFSET($DS$3,0,0,'Données projet'!$E$14+1,1))-AVERAGE(OFFSET($H$3,0,0,'Données projet'!$E$14+1,1))</f>
        <v>397.24714625007675</v>
      </c>
      <c r="DU125" s="62">
        <f t="shared" si="98"/>
        <v>431.75775520200608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9">
        <f t="shared" si="56"/>
        <v>256.66666666666669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317.59999999999962</v>
      </c>
      <c r="O126" s="14">
        <f>N126*VLOOKUP('Données projet'!$B$9,Paramètres!$A$1:$I$89,3,0)*VLOOKUP('Données projet'!$B$9,Paramètres!$A$1:$I$89,5,0)</f>
        <v>287.36447999999967</v>
      </c>
      <c r="P126" s="14">
        <f t="shared" si="87"/>
        <v>68.52097584579333</v>
      </c>
      <c r="Q126" s="22">
        <f t="shared" si="107"/>
        <v>619.83383559808942</v>
      </c>
      <c r="R126" s="62">
        <f t="shared" si="55"/>
        <v>913.16716893142279</v>
      </c>
      <c r="S126" s="62">
        <f ca="1">AVERAGE(OFFSET($R$3,0,0,'Données projet'!$E$9+1,1))-AVERAGE(OFFSET($H$3,0,0,'Données projet'!$E$9+1,1))</f>
        <v>509.56241660612449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-9.7543306765146564E-14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625.17723604265689</v>
      </c>
      <c r="AO126" s="62">
        <f t="shared" si="90"/>
        <v>462.33909258902241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5.4092197387944907E-14</v>
      </c>
      <c r="BF126" s="14">
        <f t="shared" si="91"/>
        <v>8.7287050538073676E-13</v>
      </c>
      <c r="BG126" s="22">
        <f t="shared" si="61"/>
        <v>1.6144600406554537E-12</v>
      </c>
      <c r="BH126" s="62">
        <f t="shared" si="62"/>
        <v>293.33333333333491</v>
      </c>
      <c r="BI126" s="62">
        <f ca="1">AVERAGE(OFFSET($BH$3,0,0,'Données projet'!$E$11+1,1))-AVERAGE(OFFSET($H$3,0,0,'Données projet'!$E$11+1,1))</f>
        <v>406.24139966722936</v>
      </c>
      <c r="BJ126" s="62">
        <f t="shared" si="92"/>
        <v>295.95724296920577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4.2</v>
      </c>
      <c r="BY126" s="13">
        <f>IF('Données projet'!$A$114&gt;35,BY125+BX126-CG125,IF(A126&lt;'Données projet'!$A$114,$BV$205^A126,IF(A126='Données projet'!$A$114,'Données projet'!$B$114,BY125+BX126-CG125)))</f>
        <v>317.59999999999962</v>
      </c>
      <c r="BZ126" s="14">
        <f>BY126*VLOOKUP('Données projet'!$B$12,Paramètres!$A$1:$I$89,3,0)*VLOOKUP('Données projet'!$B$12,Paramètres!$A$1:$I$89,5,0)</f>
        <v>322.04639999999966</v>
      </c>
      <c r="CA126" s="14">
        <f t="shared" si="93"/>
        <v>75.77898888108885</v>
      </c>
      <c r="CB126" s="22">
        <f t="shared" si="64"/>
        <v>692.87921896789578</v>
      </c>
      <c r="CC126" s="62">
        <f t="shared" si="65"/>
        <v>986.21255230122915</v>
      </c>
      <c r="CD126" s="62">
        <f ca="1">AVERAGE(OFFSET($CC$3,0,0,'Données projet'!$E$12+1,1))-AVERAGE(OFFSET($H$3,0,0,'Données projet'!$E$12+1,1))</f>
        <v>565.72091871734051</v>
      </c>
      <c r="CE126" s="62">
        <f t="shared" si="94"/>
        <v>306.61893266146666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4.9658410716801891E-14</v>
      </c>
      <c r="CV126" s="14">
        <f t="shared" si="95"/>
        <v>8.0934058173791862E-13</v>
      </c>
      <c r="CW126" s="22">
        <f t="shared" si="67"/>
        <v>1.4960899118586383E-12</v>
      </c>
      <c r="CX126" s="62">
        <f t="shared" si="68"/>
        <v>293.33333333333479</v>
      </c>
      <c r="CY126" s="62">
        <f ca="1">AVERAGE(OFFSET($CX$3,0,0,'Données projet'!$E$13+1,1))-AVERAGE(OFFSET($H$3,0,0,'Données projet'!$E$13+1,1))</f>
        <v>333.56306908115238</v>
      </c>
      <c r="CZ126" s="62">
        <f t="shared" si="96"/>
        <v>523.65456887919618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4.5474735088646412E-13</v>
      </c>
      <c r="DP126" s="18">
        <f>DO126*VLOOKUP('Données projet'!$B$14,Paramètres!$A$1:$I$89,3,0)*VLOOKUP('Données projet'!$B$14,Paramètres!$A$1:$I$89,5,0)</f>
        <v>3.3342075766995548E-13</v>
      </c>
      <c r="DQ126" s="14">
        <f t="shared" si="97"/>
        <v>4.3537988100583648E-12</v>
      </c>
      <c r="DR126" s="22">
        <f t="shared" si="70"/>
        <v>8.1635740804601579E-12</v>
      </c>
      <c r="DS126" s="62">
        <f t="shared" si="71"/>
        <v>293.3333333333415</v>
      </c>
      <c r="DT126" s="62">
        <f ca="1">AVERAGE(OFFSET($DS$3,0,0,'Données projet'!$E$14+1,1))-AVERAGE(OFFSET($H$3,0,0,'Données projet'!$E$14+1,1))</f>
        <v>397.24714625007675</v>
      </c>
      <c r="DU126" s="62">
        <f t="shared" si="98"/>
        <v>431.75775520200608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9">
        <f t="shared" si="56"/>
        <v>256.66666666666669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321.79999999999961</v>
      </c>
      <c r="O127" s="14">
        <f>N127*VLOOKUP('Données projet'!$B$9,Paramètres!$A$1:$I$89,3,0)*VLOOKUP('Données projet'!$B$9,Paramètres!$A$1:$I$89,5,0)</f>
        <v>291.16463999999962</v>
      </c>
      <c r="P127" s="14">
        <f t="shared" si="87"/>
        <v>69.321022467464573</v>
      </c>
      <c r="Q127" s="22">
        <f t="shared" si="107"/>
        <v>627.84586213083344</v>
      </c>
      <c r="R127" s="62">
        <f t="shared" si="55"/>
        <v>921.1791954641667</v>
      </c>
      <c r="S127" s="62">
        <f ca="1">AVERAGE(OFFSET($R$3,0,0,'Données projet'!$E$9+1,1))-AVERAGE(OFFSET($H$3,0,0,'Données projet'!$E$9+1,1))</f>
        <v>509.56241660612449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-9.7543306765146564E-14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625.17723604265689</v>
      </c>
      <c r="AO127" s="62">
        <f t="shared" si="90"/>
        <v>462.33909258902241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5.4092197387944907E-14</v>
      </c>
      <c r="BF127" s="14">
        <f t="shared" si="91"/>
        <v>8.7287050538073676E-13</v>
      </c>
      <c r="BG127" s="22">
        <f t="shared" si="61"/>
        <v>1.6144600406554537E-12</v>
      </c>
      <c r="BH127" s="62">
        <f t="shared" si="62"/>
        <v>293.33333333333491</v>
      </c>
      <c r="BI127" s="62">
        <f ca="1">AVERAGE(OFFSET($BH$3,0,0,'Données projet'!$E$11+1,1))-AVERAGE(OFFSET($H$3,0,0,'Données projet'!$E$11+1,1))</f>
        <v>406.24139966722936</v>
      </c>
      <c r="BJ127" s="62">
        <f t="shared" si="92"/>
        <v>295.95724296920577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4.2</v>
      </c>
      <c r="BY127" s="13">
        <f>IF('Données projet'!$A$114&gt;35,BY126+BX127-CG126,IF(A127&lt;'Données projet'!$A$114,$BV$205^A127,IF(A127='Données projet'!$A$114,'Données projet'!$B$114,BY126+BX127-CG126)))</f>
        <v>321.79999999999961</v>
      </c>
      <c r="BZ127" s="14">
        <f>BY127*VLOOKUP('Données projet'!$B$12,Paramètres!$A$1:$I$89,3,0)*VLOOKUP('Données projet'!$B$12,Paramètres!$A$1:$I$89,5,0)</f>
        <v>326.30519999999962</v>
      </c>
      <c r="CA127" s="14">
        <f t="shared" si="93"/>
        <v>76.663779608302278</v>
      </c>
      <c r="CB127" s="22">
        <f t="shared" si="64"/>
        <v>701.83763948445903</v>
      </c>
      <c r="CC127" s="62">
        <f t="shared" si="65"/>
        <v>995.17097281779229</v>
      </c>
      <c r="CD127" s="62">
        <f ca="1">AVERAGE(OFFSET($CC$3,0,0,'Données projet'!$E$12+1,1))-AVERAGE(OFFSET($H$3,0,0,'Données projet'!$E$12+1,1))</f>
        <v>565.72091871734051</v>
      </c>
      <c r="CE127" s="62">
        <f t="shared" si="94"/>
        <v>306.61893266146666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4.9658410716801891E-14</v>
      </c>
      <c r="CV127" s="14">
        <f t="shared" si="95"/>
        <v>8.0934058173791862E-13</v>
      </c>
      <c r="CW127" s="22">
        <f t="shared" si="67"/>
        <v>1.4960899118586383E-12</v>
      </c>
      <c r="CX127" s="62">
        <f t="shared" si="68"/>
        <v>293.33333333333479</v>
      </c>
      <c r="CY127" s="62">
        <f ca="1">AVERAGE(OFFSET($CX$3,0,0,'Données projet'!$E$13+1,1))-AVERAGE(OFFSET($H$3,0,0,'Données projet'!$E$13+1,1))</f>
        <v>333.56306908115238</v>
      </c>
      <c r="CZ127" s="62">
        <f t="shared" si="96"/>
        <v>523.65456887919618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4.5474735088646412E-13</v>
      </c>
      <c r="DP127" s="18">
        <f>DO127*VLOOKUP('Données projet'!$B$14,Paramètres!$A$1:$I$89,3,0)*VLOOKUP('Données projet'!$B$14,Paramètres!$A$1:$I$89,5,0)</f>
        <v>3.3342075766995548E-13</v>
      </c>
      <c r="DQ127" s="14">
        <f t="shared" si="97"/>
        <v>4.3537988100583648E-12</v>
      </c>
      <c r="DR127" s="22">
        <f t="shared" si="70"/>
        <v>8.1635740804601579E-12</v>
      </c>
      <c r="DS127" s="62">
        <f t="shared" si="71"/>
        <v>293.3333333333415</v>
      </c>
      <c r="DT127" s="62">
        <f ca="1">AVERAGE(OFFSET($DS$3,0,0,'Données projet'!$E$14+1,1))-AVERAGE(OFFSET($H$3,0,0,'Données projet'!$E$14+1,1))</f>
        <v>397.24714625007675</v>
      </c>
      <c r="DU127" s="62">
        <f t="shared" si="98"/>
        <v>431.75775520200608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9">
        <f t="shared" si="56"/>
        <v>256.66666666666669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325.9999999999996</v>
      </c>
      <c r="O128" s="14">
        <f>N128*VLOOKUP('Données projet'!$B$9,Paramètres!$A$1:$I$89,3,0)*VLOOKUP('Données projet'!$B$9,Paramètres!$A$1:$I$89,5,0)</f>
        <v>294.96479999999963</v>
      </c>
      <c r="P128" s="14">
        <f t="shared" si="87"/>
        <v>70.119854541045001</v>
      </c>
      <c r="Q128" s="22">
        <f t="shared" si="107"/>
        <v>635.85577332565276</v>
      </c>
      <c r="R128" s="62">
        <f t="shared" si="55"/>
        <v>929.18910665898602</v>
      </c>
      <c r="S128" s="62">
        <f ca="1">AVERAGE(OFFSET($R$3,0,0,'Données projet'!$E$9+1,1))-AVERAGE(OFFSET($H$3,0,0,'Données projet'!$E$9+1,1))</f>
        <v>509.56241660612449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-9.7543306765146564E-14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625.17723604265689</v>
      </c>
      <c r="AO128" s="62">
        <f t="shared" si="90"/>
        <v>462.33909258902241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5.4092197387944907E-14</v>
      </c>
      <c r="BF128" s="14">
        <f t="shared" si="91"/>
        <v>8.7287050538073676E-13</v>
      </c>
      <c r="BG128" s="22">
        <f t="shared" si="61"/>
        <v>1.6144600406554537E-12</v>
      </c>
      <c r="BH128" s="62">
        <f t="shared" si="62"/>
        <v>293.33333333333491</v>
      </c>
      <c r="BI128" s="62">
        <f ca="1">AVERAGE(OFFSET($BH$3,0,0,'Données projet'!$E$11+1,1))-AVERAGE(OFFSET($H$3,0,0,'Données projet'!$E$11+1,1))</f>
        <v>406.24139966722936</v>
      </c>
      <c r="BJ128" s="62">
        <f t="shared" si="92"/>
        <v>295.95724296920577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4.2</v>
      </c>
      <c r="BY128" s="13">
        <f>IF('Données projet'!$A$114&gt;35,BY127+BX128-CG127,IF(A128&lt;'Données projet'!$A$114,$BV$205^A128,IF(A128='Données projet'!$A$114,'Données projet'!$B$114,BY127+BX128-CG127)))</f>
        <v>325.9999999999996</v>
      </c>
      <c r="BZ128" s="14">
        <f>BY128*VLOOKUP('Données projet'!$B$12,Paramètres!$A$1:$I$89,3,0)*VLOOKUP('Données projet'!$B$12,Paramètres!$A$1:$I$89,5,0)</f>
        <v>330.56399999999962</v>
      </c>
      <c r="CA128" s="14">
        <f t="shared" si="93"/>
        <v>77.547227137682782</v>
      </c>
      <c r="CB128" s="22">
        <f t="shared" si="64"/>
        <v>710.79372059813011</v>
      </c>
      <c r="CC128" s="62">
        <f t="shared" si="65"/>
        <v>1004.1270539314635</v>
      </c>
      <c r="CD128" s="62">
        <f ca="1">AVERAGE(OFFSET($CC$3,0,0,'Données projet'!$E$12+1,1))-AVERAGE(OFFSET($H$3,0,0,'Données projet'!$E$12+1,1))</f>
        <v>565.72091871734051</v>
      </c>
      <c r="CE128" s="62">
        <f t="shared" si="94"/>
        <v>306.61893266146666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4.9658410716801891E-14</v>
      </c>
      <c r="CV128" s="14">
        <f t="shared" si="95"/>
        <v>8.0934058173791862E-13</v>
      </c>
      <c r="CW128" s="22">
        <f t="shared" si="67"/>
        <v>1.4960899118586383E-12</v>
      </c>
      <c r="CX128" s="62">
        <f t="shared" si="68"/>
        <v>293.33333333333479</v>
      </c>
      <c r="CY128" s="62">
        <f ca="1">AVERAGE(OFFSET($CX$3,0,0,'Données projet'!$E$13+1,1))-AVERAGE(OFFSET($H$3,0,0,'Données projet'!$E$13+1,1))</f>
        <v>333.56306908115238</v>
      </c>
      <c r="CZ128" s="62">
        <f t="shared" si="96"/>
        <v>523.65456887919618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4.5474735088646412E-13</v>
      </c>
      <c r="DP128" s="18">
        <f>DO128*VLOOKUP('Données projet'!$B$14,Paramètres!$A$1:$I$89,3,0)*VLOOKUP('Données projet'!$B$14,Paramètres!$A$1:$I$89,5,0)</f>
        <v>3.3342075766995548E-13</v>
      </c>
      <c r="DQ128" s="14">
        <f t="shared" si="97"/>
        <v>4.3537988100583648E-12</v>
      </c>
      <c r="DR128" s="22">
        <f t="shared" si="70"/>
        <v>8.1635740804601579E-12</v>
      </c>
      <c r="DS128" s="62">
        <f t="shared" si="71"/>
        <v>293.3333333333415</v>
      </c>
      <c r="DT128" s="62">
        <f ca="1">AVERAGE(OFFSET($DS$3,0,0,'Données projet'!$E$14+1,1))-AVERAGE(OFFSET($H$3,0,0,'Données projet'!$E$14+1,1))</f>
        <v>397.24714625007675</v>
      </c>
      <c r="DU128" s="62">
        <f t="shared" si="98"/>
        <v>431.75775520200608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9">
        <f t="shared" si="56"/>
        <v>256.66666666666669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330.19999999999959</v>
      </c>
      <c r="O129" s="14">
        <f>N129*VLOOKUP('Données projet'!$B$9,Paramètres!$A$1:$I$89,3,0)*VLOOKUP('Données projet'!$B$9,Paramètres!$A$1:$I$89,5,0)</f>
        <v>298.76495999999958</v>
      </c>
      <c r="P129" s="14">
        <f t="shared" si="87"/>
        <v>70.917489523341189</v>
      </c>
      <c r="Q129" s="22">
        <f t="shared" si="107"/>
        <v>643.86359958648518</v>
      </c>
      <c r="R129" s="62">
        <f t="shared" si="55"/>
        <v>937.19693291981844</v>
      </c>
      <c r="S129" s="62">
        <f ca="1">AVERAGE(OFFSET($R$3,0,0,'Données projet'!$E$9+1,1))-AVERAGE(OFFSET($H$3,0,0,'Données projet'!$E$9+1,1))</f>
        <v>509.56241660612449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-9.7543306765146564E-14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625.17723604265689</v>
      </c>
      <c r="AO129" s="62">
        <f t="shared" si="90"/>
        <v>462.33909258902241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5.4092197387944907E-14</v>
      </c>
      <c r="BF129" s="14">
        <f t="shared" si="91"/>
        <v>8.7287050538073676E-13</v>
      </c>
      <c r="BG129" s="22">
        <f t="shared" si="61"/>
        <v>1.6144600406554537E-12</v>
      </c>
      <c r="BH129" s="62">
        <f t="shared" si="62"/>
        <v>293.33333333333491</v>
      </c>
      <c r="BI129" s="62">
        <f ca="1">AVERAGE(OFFSET($BH$3,0,0,'Données projet'!$E$11+1,1))-AVERAGE(OFFSET($H$3,0,0,'Données projet'!$E$11+1,1))</f>
        <v>406.24139966722936</v>
      </c>
      <c r="BJ129" s="62">
        <f t="shared" si="92"/>
        <v>295.95724296920577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4.2</v>
      </c>
      <c r="BY129" s="13">
        <f>IF('Données projet'!$A$114&gt;35,BY128+BX129-CG128,IF(A129&lt;'Données projet'!$A$114,$BV$205^A129,IF(A129='Données projet'!$A$114,'Données projet'!$B$114,BY128+BX129-CG128)))</f>
        <v>330.19999999999959</v>
      </c>
      <c r="BZ129" s="14">
        <f>BY129*VLOOKUP('Données projet'!$B$12,Paramètres!$A$1:$I$89,3,0)*VLOOKUP('Données projet'!$B$12,Paramètres!$A$1:$I$89,5,0)</f>
        <v>334.82279999999963</v>
      </c>
      <c r="CA129" s="14">
        <f t="shared" si="93"/>
        <v>78.429350775131056</v>
      </c>
      <c r="CB129" s="22">
        <f t="shared" si="64"/>
        <v>719.74749593335264</v>
      </c>
      <c r="CC129" s="62">
        <f t="shared" si="65"/>
        <v>1013.0808292666859</v>
      </c>
      <c r="CD129" s="62">
        <f ca="1">AVERAGE(OFFSET($CC$3,0,0,'Données projet'!$E$12+1,1))-AVERAGE(OFFSET($H$3,0,0,'Données projet'!$E$12+1,1))</f>
        <v>565.72091871734051</v>
      </c>
      <c r="CE129" s="62">
        <f t="shared" si="94"/>
        <v>306.61893266146666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4.9658410716801891E-14</v>
      </c>
      <c r="CV129" s="14">
        <f t="shared" si="95"/>
        <v>8.0934058173791862E-13</v>
      </c>
      <c r="CW129" s="22">
        <f t="shared" si="67"/>
        <v>1.4960899118586383E-12</v>
      </c>
      <c r="CX129" s="62">
        <f t="shared" si="68"/>
        <v>293.33333333333479</v>
      </c>
      <c r="CY129" s="62">
        <f ca="1">AVERAGE(OFFSET($CX$3,0,0,'Données projet'!$E$13+1,1))-AVERAGE(OFFSET($H$3,0,0,'Données projet'!$E$13+1,1))</f>
        <v>333.56306908115238</v>
      </c>
      <c r="CZ129" s="62">
        <f t="shared" si="96"/>
        <v>523.65456887919618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4.5474735088646412E-13</v>
      </c>
      <c r="DP129" s="18">
        <f>DO129*VLOOKUP('Données projet'!$B$14,Paramètres!$A$1:$I$89,3,0)*VLOOKUP('Données projet'!$B$14,Paramètres!$A$1:$I$89,5,0)</f>
        <v>3.3342075766995548E-13</v>
      </c>
      <c r="DQ129" s="14">
        <f t="shared" si="97"/>
        <v>4.3537988100583648E-12</v>
      </c>
      <c r="DR129" s="22">
        <f t="shared" si="70"/>
        <v>8.1635740804601579E-12</v>
      </c>
      <c r="DS129" s="62">
        <f t="shared" si="71"/>
        <v>293.3333333333415</v>
      </c>
      <c r="DT129" s="62">
        <f ca="1">AVERAGE(OFFSET($DS$3,0,0,'Données projet'!$E$14+1,1))-AVERAGE(OFFSET($H$3,0,0,'Données projet'!$E$14+1,1))</f>
        <v>397.24714625007675</v>
      </c>
      <c r="DU129" s="62">
        <f t="shared" si="98"/>
        <v>431.75775520200608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9">
        <f t="shared" si="56"/>
        <v>256.66666666666669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334.39999999999958</v>
      </c>
      <c r="O130" s="14">
        <f>N130*VLOOKUP('Données projet'!$B$9,Paramètres!$A$1:$I$89,3,0)*VLOOKUP('Données projet'!$B$9,Paramètres!$A$1:$I$89,5,0)</f>
        <v>302.56511999999958</v>
      </c>
      <c r="P130" s="14">
        <f t="shared" si="87"/>
        <v>71.713944401538271</v>
      </c>
      <c r="Q130" s="22">
        <f t="shared" si="107"/>
        <v>651.86937049934511</v>
      </c>
      <c r="R130" s="62">
        <f t="shared" si="55"/>
        <v>945.20270383267848</v>
      </c>
      <c r="S130" s="62">
        <f ca="1">AVERAGE(OFFSET($R$3,0,0,'Données projet'!$E$9+1,1))-AVERAGE(OFFSET($H$3,0,0,'Données projet'!$E$9+1,1))</f>
        <v>509.56241660612449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-9.7543306765146564E-14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625.17723604265689</v>
      </c>
      <c r="AO130" s="62">
        <f t="shared" si="90"/>
        <v>462.33909258902241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5.4092197387944907E-14</v>
      </c>
      <c r="BF130" s="14">
        <f t="shared" si="91"/>
        <v>8.7287050538073676E-13</v>
      </c>
      <c r="BG130" s="22">
        <f t="shared" si="61"/>
        <v>1.6144600406554537E-12</v>
      </c>
      <c r="BH130" s="62">
        <f t="shared" si="62"/>
        <v>293.33333333333491</v>
      </c>
      <c r="BI130" s="62">
        <f ca="1">AVERAGE(OFFSET($BH$3,0,0,'Données projet'!$E$11+1,1))-AVERAGE(OFFSET($H$3,0,0,'Données projet'!$E$11+1,1))</f>
        <v>406.24139966722936</v>
      </c>
      <c r="BJ130" s="62">
        <f t="shared" si="92"/>
        <v>295.95724296920577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4.2</v>
      </c>
      <c r="BY130" s="13">
        <f>IF('Données projet'!$A$114&gt;35,BY129+BX130-CG129,IF(A130&lt;'Données projet'!$A$114,$BV$205^A130,IF(A130='Données projet'!$A$114,'Données projet'!$B$114,BY129+BX130-CG129)))</f>
        <v>334.39999999999958</v>
      </c>
      <c r="BZ130" s="14">
        <f>BY130*VLOOKUP('Données projet'!$B$12,Paramètres!$A$1:$I$89,3,0)*VLOOKUP('Données projet'!$B$12,Paramètres!$A$1:$I$89,5,0)</f>
        <v>339.08159999999958</v>
      </c>
      <c r="CA130" s="14">
        <f t="shared" si="93"/>
        <v>79.310169307181852</v>
      </c>
      <c r="CB130" s="22">
        <f t="shared" si="64"/>
        <v>728.69899821000763</v>
      </c>
      <c r="CC130" s="62">
        <f t="shared" si="65"/>
        <v>1022.0323315433409</v>
      </c>
      <c r="CD130" s="62">
        <f ca="1">AVERAGE(OFFSET($CC$3,0,0,'Données projet'!$E$12+1,1))-AVERAGE(OFFSET($H$3,0,0,'Données projet'!$E$12+1,1))</f>
        <v>565.72091871734051</v>
      </c>
      <c r="CE130" s="62">
        <f t="shared" si="94"/>
        <v>306.61893266146666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4.9658410716801891E-14</v>
      </c>
      <c r="CV130" s="14">
        <f t="shared" si="95"/>
        <v>8.0934058173791862E-13</v>
      </c>
      <c r="CW130" s="22">
        <f t="shared" si="67"/>
        <v>1.4960899118586383E-12</v>
      </c>
      <c r="CX130" s="62">
        <f t="shared" si="68"/>
        <v>293.33333333333479</v>
      </c>
      <c r="CY130" s="62">
        <f ca="1">AVERAGE(OFFSET($CX$3,0,0,'Données projet'!$E$13+1,1))-AVERAGE(OFFSET($H$3,0,0,'Données projet'!$E$13+1,1))</f>
        <v>333.56306908115238</v>
      </c>
      <c r="CZ130" s="62">
        <f t="shared" si="96"/>
        <v>523.65456887919618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4.5474735088646412E-13</v>
      </c>
      <c r="DP130" s="18">
        <f>DO130*VLOOKUP('Données projet'!$B$14,Paramètres!$A$1:$I$89,3,0)*VLOOKUP('Données projet'!$B$14,Paramètres!$A$1:$I$89,5,0)</f>
        <v>3.3342075766995548E-13</v>
      </c>
      <c r="DQ130" s="14">
        <f t="shared" si="97"/>
        <v>4.3537988100583648E-12</v>
      </c>
      <c r="DR130" s="22">
        <f t="shared" si="70"/>
        <v>8.1635740804601579E-12</v>
      </c>
      <c r="DS130" s="62">
        <f t="shared" si="71"/>
        <v>293.3333333333415</v>
      </c>
      <c r="DT130" s="62">
        <f ca="1">AVERAGE(OFFSET($DS$3,0,0,'Données projet'!$E$14+1,1))-AVERAGE(OFFSET($H$3,0,0,'Données projet'!$E$14+1,1))</f>
        <v>397.24714625007675</v>
      </c>
      <c r="DU130" s="62">
        <f t="shared" si="98"/>
        <v>431.75775520200608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9">
        <f t="shared" si="56"/>
        <v>256.66666666666669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338.59999999999957</v>
      </c>
      <c r="O131" s="14">
        <f>N131*VLOOKUP('Données projet'!$B$9,Paramètres!$A$1:$I$89,3,0)*VLOOKUP('Données projet'!$B$9,Paramètres!$A$1:$I$89,5,0)</f>
        <v>306.36527999999964</v>
      </c>
      <c r="P131" s="14">
        <f t="shared" si="87"/>
        <v>72.509235711569417</v>
      </c>
      <c r="Q131" s="22">
        <f t="shared" ref="Q131:Q153" si="108">(O131+P131)*0.475*44/12</f>
        <v>659.87311486431611</v>
      </c>
      <c r="R131" s="62">
        <f t="shared" ref="R131:R194" si="109">Q131+(I131+J131)*44/12</f>
        <v>953.20644819764948</v>
      </c>
      <c r="S131" s="62">
        <f ca="1">AVERAGE(OFFSET($R$3,0,0,'Données projet'!$E$9+1,1))-AVERAGE(OFFSET($H$3,0,0,'Données projet'!$E$9+1,1))</f>
        <v>509.56241660612449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-9.7543306765146564E-14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625.17723604265689</v>
      </c>
      <c r="AO131" s="62">
        <f t="shared" si="90"/>
        <v>462.33909258902241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5.4092197387944907E-14</v>
      </c>
      <c r="BF131" s="14">
        <f t="shared" si="91"/>
        <v>8.7287050538073676E-13</v>
      </c>
      <c r="BG131" s="22">
        <f t="shared" si="61"/>
        <v>1.6144600406554537E-12</v>
      </c>
      <c r="BH131" s="62">
        <f t="shared" si="62"/>
        <v>293.33333333333491</v>
      </c>
      <c r="BI131" s="62">
        <f ca="1">AVERAGE(OFFSET($BH$3,0,0,'Données projet'!$E$11+1,1))-AVERAGE(OFFSET($H$3,0,0,'Données projet'!$E$11+1,1))</f>
        <v>406.24139966722936</v>
      </c>
      <c r="BJ131" s="62">
        <f t="shared" si="92"/>
        <v>295.95724296920577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4.2</v>
      </c>
      <c r="BY131" s="13">
        <f>IF('Données projet'!$A$114&gt;35,BY130+BX131-CG130,IF(A131&lt;'Données projet'!$A$114,$BV$205^A131,IF(A131='Données projet'!$A$114,'Données projet'!$B$114,BY130+BX131-CG130)))</f>
        <v>338.59999999999957</v>
      </c>
      <c r="BZ131" s="14">
        <f>BY131*VLOOKUP('Données projet'!$B$12,Paramètres!$A$1:$I$89,3,0)*VLOOKUP('Données projet'!$B$12,Paramètres!$A$1:$I$89,5,0)</f>
        <v>343.34039999999959</v>
      </c>
      <c r="CA131" s="14">
        <f t="shared" si="93"/>
        <v>80.189701021320118</v>
      </c>
      <c r="CB131" s="22">
        <f t="shared" si="64"/>
        <v>737.64825927879849</v>
      </c>
      <c r="CC131" s="62">
        <f t="shared" si="65"/>
        <v>1030.9815926121319</v>
      </c>
      <c r="CD131" s="62">
        <f ca="1">AVERAGE(OFFSET($CC$3,0,0,'Données projet'!$E$12+1,1))-AVERAGE(OFFSET($H$3,0,0,'Données projet'!$E$12+1,1))</f>
        <v>565.72091871734051</v>
      </c>
      <c r="CE131" s="62">
        <f t="shared" si="94"/>
        <v>306.61893266146666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4.9658410716801891E-14</v>
      </c>
      <c r="CV131" s="14">
        <f t="shared" si="95"/>
        <v>8.0934058173791862E-13</v>
      </c>
      <c r="CW131" s="22">
        <f t="shared" si="67"/>
        <v>1.4960899118586383E-12</v>
      </c>
      <c r="CX131" s="62">
        <f t="shared" si="68"/>
        <v>293.33333333333479</v>
      </c>
      <c r="CY131" s="62">
        <f ca="1">AVERAGE(OFFSET($CX$3,0,0,'Données projet'!$E$13+1,1))-AVERAGE(OFFSET($H$3,0,0,'Données projet'!$E$13+1,1))</f>
        <v>333.56306908115238</v>
      </c>
      <c r="CZ131" s="62">
        <f t="shared" si="96"/>
        <v>523.65456887919618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4.5474735088646412E-13</v>
      </c>
      <c r="DP131" s="18">
        <f>DO131*VLOOKUP('Données projet'!$B$14,Paramètres!$A$1:$I$89,3,0)*VLOOKUP('Données projet'!$B$14,Paramètres!$A$1:$I$89,5,0)</f>
        <v>3.3342075766995548E-13</v>
      </c>
      <c r="DQ131" s="14">
        <f t="shared" si="97"/>
        <v>4.3537988100583648E-12</v>
      </c>
      <c r="DR131" s="22">
        <f t="shared" si="70"/>
        <v>8.1635740804601579E-12</v>
      </c>
      <c r="DS131" s="62">
        <f t="shared" si="71"/>
        <v>293.3333333333415</v>
      </c>
      <c r="DT131" s="62">
        <f ca="1">AVERAGE(OFFSET($DS$3,0,0,'Données projet'!$E$14+1,1))-AVERAGE(OFFSET($H$3,0,0,'Données projet'!$E$14+1,1))</f>
        <v>397.24714625007675</v>
      </c>
      <c r="DU131" s="62">
        <f t="shared" si="98"/>
        <v>431.75775520200608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9">
        <f t="shared" ref="H132:H195" si="110">(B132+E132+F132)*44/12+(C132+D132)*0.475*44/12</f>
        <v>256.66666666666669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342.79999999999956</v>
      </c>
      <c r="O132" s="14">
        <f>N132*VLOOKUP('Données projet'!$B$9,Paramètres!$A$1:$I$89,3,0)*VLOOKUP('Données projet'!$B$9,Paramètres!$A$1:$I$89,5,0)</f>
        <v>310.16543999999959</v>
      </c>
      <c r="P132" s="14">
        <f t="shared" si="87"/>
        <v>73.303379555549043</v>
      </c>
      <c r="Q132" s="22">
        <f t="shared" si="108"/>
        <v>667.87486072591389</v>
      </c>
      <c r="R132" s="62">
        <f t="shared" si="109"/>
        <v>961.20819405924726</v>
      </c>
      <c r="S132" s="62">
        <f ca="1">AVERAGE(OFFSET($R$3,0,0,'Données projet'!$E$9+1,1))-AVERAGE(OFFSET($H$3,0,0,'Données projet'!$E$9+1,1))</f>
        <v>509.56241660612449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-9.7543306765146564E-14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625.17723604265689</v>
      </c>
      <c r="AO132" s="62">
        <f t="shared" si="90"/>
        <v>462.33909258902241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5.4092197387944907E-14</v>
      </c>
      <c r="BF132" s="14">
        <f t="shared" si="91"/>
        <v>8.7287050538073676E-13</v>
      </c>
      <c r="BG132" s="22">
        <f t="shared" ref="BG132:BG153" si="115">(BE132+BF132)*0.475*44/12</f>
        <v>1.6144600406554537E-12</v>
      </c>
      <c r="BH132" s="62">
        <f t="shared" ref="BH132:BH195" si="116">BG132+(AY132+AZ132)*44/12</f>
        <v>293.33333333333491</v>
      </c>
      <c r="BI132" s="62">
        <f ca="1">AVERAGE(OFFSET($BH$3,0,0,'Données projet'!$E$11+1,1))-AVERAGE(OFFSET($H$3,0,0,'Données projet'!$E$11+1,1))</f>
        <v>406.24139966722936</v>
      </c>
      <c r="BJ132" s="62">
        <f t="shared" si="92"/>
        <v>295.95724296920577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4.2</v>
      </c>
      <c r="BY132" s="13">
        <f>IF('Données projet'!$A$114&gt;35,BY131+BX132-CG131,IF(A132&lt;'Données projet'!$A$114,$BV$205^A132,IF(A132='Données projet'!$A$114,'Données projet'!$B$114,BY131+BX132-CG131)))</f>
        <v>342.79999999999956</v>
      </c>
      <c r="BZ132" s="14">
        <f>BY132*VLOOKUP('Données projet'!$B$12,Paramètres!$A$1:$I$89,3,0)*VLOOKUP('Données projet'!$B$12,Paramètres!$A$1:$I$89,5,0)</f>
        <v>347.59919999999954</v>
      </c>
      <c r="CA132" s="14">
        <f t="shared" si="93"/>
        <v>81.067963725259872</v>
      </c>
      <c r="CB132" s="22">
        <f t="shared" ref="CB132:CB153" si="118">(BZ132+CA132)*0.475*44/12</f>
        <v>746.59531015482673</v>
      </c>
      <c r="CC132" s="62">
        <f t="shared" ref="CC132:CC195" si="119">CB132+(BT132+BU132)*44/12</f>
        <v>1039.9286434881601</v>
      </c>
      <c r="CD132" s="62">
        <f ca="1">AVERAGE(OFFSET($CC$3,0,0,'Données projet'!$E$12+1,1))-AVERAGE(OFFSET($H$3,0,0,'Données projet'!$E$12+1,1))</f>
        <v>565.72091871734051</v>
      </c>
      <c r="CE132" s="62">
        <f t="shared" si="94"/>
        <v>306.61893266146666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4.9658410716801891E-14</v>
      </c>
      <c r="CV132" s="14">
        <f t="shared" si="95"/>
        <v>8.0934058173791862E-13</v>
      </c>
      <c r="CW132" s="22">
        <f t="shared" ref="CW132:CW153" si="121">(CU132+CV132)*0.475*44/12</f>
        <v>1.4960899118586383E-12</v>
      </c>
      <c r="CX132" s="62">
        <f t="shared" ref="CX132:CX195" si="122">CW132+(CO132+CP132)*44/12</f>
        <v>293.33333333333479</v>
      </c>
      <c r="CY132" s="62">
        <f ca="1">AVERAGE(OFFSET($CX$3,0,0,'Données projet'!$E$13+1,1))-AVERAGE(OFFSET($H$3,0,0,'Données projet'!$E$13+1,1))</f>
        <v>333.56306908115238</v>
      </c>
      <c r="CZ132" s="62">
        <f t="shared" si="96"/>
        <v>523.65456887919618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4.5474735088646412E-13</v>
      </c>
      <c r="DP132" s="18">
        <f>DO132*VLOOKUP('Données projet'!$B$14,Paramètres!$A$1:$I$89,3,0)*VLOOKUP('Données projet'!$B$14,Paramètres!$A$1:$I$89,5,0)</f>
        <v>3.3342075766995548E-13</v>
      </c>
      <c r="DQ132" s="14">
        <f t="shared" si="97"/>
        <v>4.3537988100583648E-12</v>
      </c>
      <c r="DR132" s="22">
        <f t="shared" ref="DR132:DR153" si="124">(DP132+DQ132)*0.475*44/12</f>
        <v>8.1635740804601579E-12</v>
      </c>
      <c r="DS132" s="62">
        <f t="shared" ref="DS132:DS195" si="125">DR132+(DJ132+DK132)*44/12</f>
        <v>293.3333333333415</v>
      </c>
      <c r="DT132" s="62">
        <f ca="1">AVERAGE(OFFSET($DS$3,0,0,'Données projet'!$E$14+1,1))-AVERAGE(OFFSET($H$3,0,0,'Données projet'!$E$14+1,1))</f>
        <v>397.24714625007675</v>
      </c>
      <c r="DU132" s="62">
        <f t="shared" si="98"/>
        <v>431.75775520200608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9">
        <f t="shared" si="110"/>
        <v>256.66666666666669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347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346.99999999999955</v>
      </c>
      <c r="O133" s="14">
        <f>N133*VLOOKUP('Données projet'!$B$9,Paramètres!$A$1:$I$89,3,0)*VLOOKUP('Données projet'!$B$9,Paramètres!$A$1:$I$89,5,0)</f>
        <v>313.9655999999996</v>
      </c>
      <c r="P133" s="14">
        <f t="shared" ref="P133:P196" si="141">EXP(-1.0587+0.8836*LN(O133)+0.284)</f>
        <v>74.096391618326706</v>
      </c>
      <c r="Q133" s="22">
        <f t="shared" si="108"/>
        <v>675.87463540191834</v>
      </c>
      <c r="R133" s="62">
        <f t="shared" si="109"/>
        <v>969.2079687352516</v>
      </c>
      <c r="S133" s="62">
        <f ca="1">AVERAGE(OFFSET($R$3,0,0,'Données projet'!$E$9+1,1))-AVERAGE(OFFSET($H$3,0,0,'Données projet'!$E$9+1,1))</f>
        <v>509.56241660612449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44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-9.7543306765146564E-14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625.17723604265689</v>
      </c>
      <c r="AO133" s="62">
        <f t="shared" ref="AO133:AO196" si="144">$AO$3</f>
        <v>462.33909258902241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5.4092197387944907E-14</v>
      </c>
      <c r="BF133" s="14">
        <f t="shared" ref="BF133:BF153" si="145">EXP(-1.0587+0.8836*LN(BE133)+0.284)</f>
        <v>8.7287050538073676E-13</v>
      </c>
      <c r="BG133" s="22">
        <f t="shared" si="115"/>
        <v>1.6144600406554537E-12</v>
      </c>
      <c r="BH133" s="62">
        <f t="shared" si="116"/>
        <v>293.33333333333491</v>
      </c>
      <c r="BI133" s="62">
        <f ca="1">AVERAGE(OFFSET($BH$3,0,0,'Données projet'!$E$11+1,1))-AVERAGE(OFFSET($H$3,0,0,'Données projet'!$E$11+1,1))</f>
        <v>406.24139966722936</v>
      </c>
      <c r="BJ133" s="62">
        <f t="shared" ref="BJ133:BJ196" si="146">$BJ$3</f>
        <v>295.95724296920577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347</v>
      </c>
      <c r="BW133" s="13">
        <f>VLOOKUP(A133,'Données projet'!$A$113:$I$133,9,0)</f>
        <v>4.2</v>
      </c>
      <c r="BX133" s="13">
        <f t="array" ref="BX133">INDEX(BW:BW,MIN(IF(ISNUMBER(BW133:BW329),ROW(BW133:BW329),"")))</f>
        <v>4.2</v>
      </c>
      <c r="BY133" s="13">
        <f>IF('Données projet'!$A$114&gt;35,BY132+BX133-CG132,IF(A133&lt;'Données projet'!$A$114,$BV$205^A133,IF(A133='Données projet'!$A$114,'Données projet'!$B$114,BY132+BX133-CG132)))</f>
        <v>346.99999999999955</v>
      </c>
      <c r="BZ133" s="14">
        <f>BY133*VLOOKUP('Données projet'!$B$12,Paramètres!$A$1:$I$89,3,0)*VLOOKUP('Données projet'!$B$12,Paramètres!$A$1:$I$89,5,0)</f>
        <v>351.85799999999955</v>
      </c>
      <c r="CA133" s="14">
        <f t="shared" ref="CA133:CA153" si="147">EXP(-1.0587+0.8836*LN(BZ133)+0.284)</f>
        <v>81.944974765252041</v>
      </c>
      <c r="CB133" s="22">
        <f t="shared" si="118"/>
        <v>755.54018104947966</v>
      </c>
      <c r="CC133" s="62">
        <f t="shared" si="119"/>
        <v>1048.873514382813</v>
      </c>
      <c r="CD133" s="62">
        <f ca="1">AVERAGE(OFFSET($CC$3,0,0,'Données projet'!$E$12+1,1))-AVERAGE(OFFSET($H$3,0,0,'Données projet'!$E$12+1,1))</f>
        <v>565.72091871734051</v>
      </c>
      <c r="CE133" s="62">
        <f t="shared" ref="CE133:CE196" si="148">$CE$3</f>
        <v>306.61893266146666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44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4.9658410716801891E-14</v>
      </c>
      <c r="CV133" s="14">
        <f t="shared" ref="CV133:CV153" si="149">EXP(-1.0587+0.8836*LN(CU133)+0.284)</f>
        <v>8.0934058173791862E-13</v>
      </c>
      <c r="CW133" s="22">
        <f t="shared" si="121"/>
        <v>1.4960899118586383E-12</v>
      </c>
      <c r="CX133" s="62">
        <f t="shared" si="122"/>
        <v>293.33333333333479</v>
      </c>
      <c r="CY133" s="62">
        <f ca="1">AVERAGE(OFFSET($CX$3,0,0,'Données projet'!$E$13+1,1))-AVERAGE(OFFSET($H$3,0,0,'Données projet'!$E$13+1,1))</f>
        <v>333.56306908115238</v>
      </c>
      <c r="CZ133" s="62">
        <f t="shared" ref="CZ133:CZ196" si="150">$CZ$3</f>
        <v>523.65456887919618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4.5474735088646412E-13</v>
      </c>
      <c r="DP133" s="18">
        <f>DO133*VLOOKUP('Données projet'!$B$14,Paramètres!$A$1:$I$89,3,0)*VLOOKUP('Données projet'!$B$14,Paramètres!$A$1:$I$89,5,0)</f>
        <v>3.3342075766995548E-13</v>
      </c>
      <c r="DQ133" s="14">
        <f t="shared" ref="DQ133:DQ153" si="151">EXP(-1.0587+0.8836*LN(DP133)+0.284)</f>
        <v>4.3537988100583648E-12</v>
      </c>
      <c r="DR133" s="22">
        <f t="shared" si="124"/>
        <v>8.1635740804601579E-12</v>
      </c>
      <c r="DS133" s="62">
        <f t="shared" si="125"/>
        <v>293.3333333333415</v>
      </c>
      <c r="DT133" s="62">
        <f ca="1">AVERAGE(OFFSET($DS$3,0,0,'Données projet'!$E$14+1,1))-AVERAGE(OFFSET($H$3,0,0,'Données projet'!$E$14+1,1))</f>
        <v>397.24714625007675</v>
      </c>
      <c r="DU133" s="62">
        <f t="shared" ref="DU133:DU196" si="152">$DU$3</f>
        <v>431.75775520200608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9">
        <f t="shared" si="110"/>
        <v>256.66666666666669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</v>
      </c>
      <c r="N134" s="14">
        <f>IF('Données projet'!$A$36&gt;35,N133+M134-V133,IF(A134&lt;'Données projet'!$A$36,$K$205^A134,IF(A134='Données projet'!$A$36,'Données projet'!$B$36,N133+M134-V133)))</f>
        <v>306.99999999999955</v>
      </c>
      <c r="O134" s="14">
        <f>N134*VLOOKUP('Données projet'!$B$9,Paramètres!$A$1:$I$89,3,0)*VLOOKUP('Données projet'!$B$9,Paramètres!$A$1:$I$89,5,0)</f>
        <v>277.77359999999959</v>
      </c>
      <c r="P134" s="14">
        <f t="shared" si="141"/>
        <v>66.496288176842299</v>
      </c>
      <c r="Q134" s="22">
        <f t="shared" si="108"/>
        <v>599.60338857466627</v>
      </c>
      <c r="R134" s="62">
        <f t="shared" si="109"/>
        <v>892.93672190799953</v>
      </c>
      <c r="S134" s="62">
        <f ca="1">AVERAGE(OFFSET($R$3,0,0,'Données projet'!$E$9+1,1))-AVERAGE(OFFSET($H$3,0,0,'Données projet'!$E$9+1,1))</f>
        <v>509.56241660612449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-9.7543306765146564E-14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625.17723604265689</v>
      </c>
      <c r="AO134" s="62">
        <f t="shared" si="144"/>
        <v>462.33909258902241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5.4092197387944907E-14</v>
      </c>
      <c r="BF134" s="14">
        <f t="shared" si="145"/>
        <v>8.7287050538073676E-13</v>
      </c>
      <c r="BG134" s="22">
        <f t="shared" si="115"/>
        <v>1.6144600406554537E-12</v>
      </c>
      <c r="BH134" s="62">
        <f t="shared" si="116"/>
        <v>293.33333333333491</v>
      </c>
      <c r="BI134" s="62">
        <f ca="1">AVERAGE(OFFSET($BH$3,0,0,'Données projet'!$E$11+1,1))-AVERAGE(OFFSET($H$3,0,0,'Données projet'!$E$11+1,1))</f>
        <v>406.24139966722936</v>
      </c>
      <c r="BJ134" s="62">
        <f t="shared" si="146"/>
        <v>295.95724296920577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4</v>
      </c>
      <c r="BY134" s="13">
        <f>IF('Données projet'!$A$114&gt;35,BY133+BX134-CG133,IF(A134&lt;'Données projet'!$A$114,$BV$205^A134,IF(A134='Données projet'!$A$114,'Données projet'!$B$114,BY133+BX134-CG133)))</f>
        <v>306.99999999999955</v>
      </c>
      <c r="BZ134" s="14">
        <f>BY134*VLOOKUP('Données projet'!$B$12,Paramètres!$A$1:$I$89,3,0)*VLOOKUP('Données projet'!$B$12,Paramètres!$A$1:$I$89,5,0)</f>
        <v>311.29799999999955</v>
      </c>
      <c r="CA134" s="14">
        <f t="shared" si="147"/>
        <v>73.53983827852862</v>
      </c>
      <c r="CB134" s="22">
        <f t="shared" si="118"/>
        <v>670.25923500176987</v>
      </c>
      <c r="CC134" s="62">
        <f t="shared" si="119"/>
        <v>963.59256833510312</v>
      </c>
      <c r="CD134" s="62">
        <f ca="1">AVERAGE(OFFSET($CC$3,0,0,'Données projet'!$E$12+1,1))-AVERAGE(OFFSET($H$3,0,0,'Données projet'!$E$12+1,1))</f>
        <v>565.72091871734051</v>
      </c>
      <c r="CE134" s="62">
        <f t="shared" si="148"/>
        <v>306.61893266146666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4.9658410716801891E-14</v>
      </c>
      <c r="CV134" s="14">
        <f t="shared" si="149"/>
        <v>8.0934058173791862E-13</v>
      </c>
      <c r="CW134" s="22">
        <f t="shared" si="121"/>
        <v>1.4960899118586383E-12</v>
      </c>
      <c r="CX134" s="62">
        <f t="shared" si="122"/>
        <v>293.33333333333479</v>
      </c>
      <c r="CY134" s="62">
        <f ca="1">AVERAGE(OFFSET($CX$3,0,0,'Données projet'!$E$13+1,1))-AVERAGE(OFFSET($H$3,0,0,'Données projet'!$E$13+1,1))</f>
        <v>333.56306908115238</v>
      </c>
      <c r="CZ134" s="62">
        <f t="shared" si="150"/>
        <v>523.65456887919618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4.5474735088646412E-13</v>
      </c>
      <c r="DP134" s="18">
        <f>DO134*VLOOKUP('Données projet'!$B$14,Paramètres!$A$1:$I$89,3,0)*VLOOKUP('Données projet'!$B$14,Paramètres!$A$1:$I$89,5,0)</f>
        <v>3.3342075766995548E-13</v>
      </c>
      <c r="DQ134" s="14">
        <f t="shared" si="151"/>
        <v>4.3537988100583648E-12</v>
      </c>
      <c r="DR134" s="22">
        <f t="shared" si="124"/>
        <v>8.1635740804601579E-12</v>
      </c>
      <c r="DS134" s="62">
        <f t="shared" si="125"/>
        <v>293.3333333333415</v>
      </c>
      <c r="DT134" s="62">
        <f ca="1">AVERAGE(OFFSET($DS$3,0,0,'Données projet'!$E$14+1,1))-AVERAGE(OFFSET($H$3,0,0,'Données projet'!$E$14+1,1))</f>
        <v>397.24714625007675</v>
      </c>
      <c r="DU134" s="62">
        <f t="shared" si="152"/>
        <v>431.75775520200608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9">
        <f t="shared" si="110"/>
        <v>256.66666666666669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</v>
      </c>
      <c r="N135" s="14">
        <f>IF('Données projet'!$A$36&gt;35,N134+M135-V134,IF(A135&lt;'Données projet'!$A$36,$K$205^A135,IF(A135='Données projet'!$A$36,'Données projet'!$B$36,N134+M135-V134)))</f>
        <v>310.99999999999955</v>
      </c>
      <c r="O135" s="14">
        <f>N135*VLOOKUP('Données projet'!$B$9,Paramètres!$A$1:$I$89,3,0)*VLOOKUP('Données projet'!$B$9,Paramètres!$A$1:$I$89,5,0)</f>
        <v>281.39279999999957</v>
      </c>
      <c r="P135" s="14">
        <f t="shared" si="141"/>
        <v>67.261262504634587</v>
      </c>
      <c r="Q135" s="22">
        <f t="shared" si="108"/>
        <v>607.23915886223779</v>
      </c>
      <c r="R135" s="62">
        <f t="shared" si="109"/>
        <v>900.57249219557116</v>
      </c>
      <c r="S135" s="62">
        <f ca="1">AVERAGE(OFFSET($R$3,0,0,'Données projet'!$E$9+1,1))-AVERAGE(OFFSET($H$3,0,0,'Données projet'!$E$9+1,1))</f>
        <v>509.56241660612449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-9.7543306765146564E-14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625.17723604265689</v>
      </c>
      <c r="AO135" s="62">
        <f t="shared" si="144"/>
        <v>462.33909258902241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5.4092197387944907E-14</v>
      </c>
      <c r="BF135" s="14">
        <f t="shared" si="145"/>
        <v>8.7287050538073676E-13</v>
      </c>
      <c r="BG135" s="22">
        <f t="shared" si="115"/>
        <v>1.6144600406554537E-12</v>
      </c>
      <c r="BH135" s="62">
        <f t="shared" si="116"/>
        <v>293.33333333333491</v>
      </c>
      <c r="BI135" s="62">
        <f ca="1">AVERAGE(OFFSET($BH$3,0,0,'Données projet'!$E$11+1,1))-AVERAGE(OFFSET($H$3,0,0,'Données projet'!$E$11+1,1))</f>
        <v>406.24139966722936</v>
      </c>
      <c r="BJ135" s="62">
        <f t="shared" si="146"/>
        <v>295.95724296920577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4</v>
      </c>
      <c r="BY135" s="13">
        <f>IF('Données projet'!$A$114&gt;35,BY134+BX135-CG134,IF(A135&lt;'Données projet'!$A$114,$BV$205^A135,IF(A135='Données projet'!$A$114,'Données projet'!$B$114,BY134+BX135-CG134)))</f>
        <v>310.99999999999955</v>
      </c>
      <c r="BZ135" s="14">
        <f>BY135*VLOOKUP('Données projet'!$B$12,Paramètres!$A$1:$I$89,3,0)*VLOOKUP('Données projet'!$B$12,Paramètres!$A$1:$I$89,5,0)</f>
        <v>315.35399999999959</v>
      </c>
      <c r="CA135" s="14">
        <f t="shared" si="147"/>
        <v>74.38584171564473</v>
      </c>
      <c r="CB135" s="22">
        <f t="shared" si="118"/>
        <v>678.79689098808058</v>
      </c>
      <c r="CC135" s="62">
        <f t="shared" si="119"/>
        <v>972.13022432141383</v>
      </c>
      <c r="CD135" s="62">
        <f ca="1">AVERAGE(OFFSET($CC$3,0,0,'Données projet'!$E$12+1,1))-AVERAGE(OFFSET($H$3,0,0,'Données projet'!$E$12+1,1))</f>
        <v>565.72091871734051</v>
      </c>
      <c r="CE135" s="62">
        <f t="shared" si="148"/>
        <v>306.61893266146666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4.9658410716801891E-14</v>
      </c>
      <c r="CV135" s="14">
        <f t="shared" si="149"/>
        <v>8.0934058173791862E-13</v>
      </c>
      <c r="CW135" s="22">
        <f t="shared" si="121"/>
        <v>1.4960899118586383E-12</v>
      </c>
      <c r="CX135" s="62">
        <f t="shared" si="122"/>
        <v>293.33333333333479</v>
      </c>
      <c r="CY135" s="62">
        <f ca="1">AVERAGE(OFFSET($CX$3,0,0,'Données projet'!$E$13+1,1))-AVERAGE(OFFSET($H$3,0,0,'Données projet'!$E$13+1,1))</f>
        <v>333.56306908115238</v>
      </c>
      <c r="CZ135" s="62">
        <f t="shared" si="150"/>
        <v>523.65456887919618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4.5474735088646412E-13</v>
      </c>
      <c r="DP135" s="18">
        <f>DO135*VLOOKUP('Données projet'!$B$14,Paramètres!$A$1:$I$89,3,0)*VLOOKUP('Données projet'!$B$14,Paramètres!$A$1:$I$89,5,0)</f>
        <v>3.3342075766995548E-13</v>
      </c>
      <c r="DQ135" s="14">
        <f t="shared" si="151"/>
        <v>4.3537988100583648E-12</v>
      </c>
      <c r="DR135" s="22">
        <f t="shared" si="124"/>
        <v>8.1635740804601579E-12</v>
      </c>
      <c r="DS135" s="62">
        <f t="shared" si="125"/>
        <v>293.3333333333415</v>
      </c>
      <c r="DT135" s="62">
        <f ca="1">AVERAGE(OFFSET($DS$3,0,0,'Données projet'!$E$14+1,1))-AVERAGE(OFFSET($H$3,0,0,'Données projet'!$E$14+1,1))</f>
        <v>397.24714625007675</v>
      </c>
      <c r="DU135" s="62">
        <f t="shared" si="152"/>
        <v>431.75775520200608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9">
        <f t="shared" si="110"/>
        <v>256.66666666666669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</v>
      </c>
      <c r="N136" s="14">
        <f>IF('Données projet'!$A$36&gt;35,N135+M136-V135,IF(A136&lt;'Données projet'!$A$36,$K$205^A136,IF(A136='Données projet'!$A$36,'Données projet'!$B$36,N135+M136-V135)))</f>
        <v>314.99999999999955</v>
      </c>
      <c r="O136" s="14">
        <f>N136*VLOOKUP('Données projet'!$B$9,Paramètres!$A$1:$I$89,3,0)*VLOOKUP('Données projet'!$B$9,Paramètres!$A$1:$I$89,5,0)</f>
        <v>285.0119999999996</v>
      </c>
      <c r="P136" s="14">
        <f t="shared" si="141"/>
        <v>68.025092408173052</v>
      </c>
      <c r="Q136" s="22">
        <f t="shared" si="108"/>
        <v>614.87293594423409</v>
      </c>
      <c r="R136" s="62">
        <f t="shared" si="109"/>
        <v>908.20626927756734</v>
      </c>
      <c r="S136" s="62">
        <f ca="1">AVERAGE(OFFSET($R$3,0,0,'Données projet'!$E$9+1,1))-AVERAGE(OFFSET($H$3,0,0,'Données projet'!$E$9+1,1))</f>
        <v>509.56241660612449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-9.7543306765146564E-14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625.17723604265689</v>
      </c>
      <c r="AO136" s="62">
        <f t="shared" si="144"/>
        <v>462.33909258902241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5.4092197387944907E-14</v>
      </c>
      <c r="BF136" s="14">
        <f t="shared" si="145"/>
        <v>8.7287050538073676E-13</v>
      </c>
      <c r="BG136" s="22">
        <f t="shared" si="115"/>
        <v>1.6144600406554537E-12</v>
      </c>
      <c r="BH136" s="62">
        <f t="shared" si="116"/>
        <v>293.33333333333491</v>
      </c>
      <c r="BI136" s="62">
        <f ca="1">AVERAGE(OFFSET($BH$3,0,0,'Données projet'!$E$11+1,1))-AVERAGE(OFFSET($H$3,0,0,'Données projet'!$E$11+1,1))</f>
        <v>406.24139966722936</v>
      </c>
      <c r="BJ136" s="62">
        <f t="shared" si="146"/>
        <v>295.95724296920577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4</v>
      </c>
      <c r="BY136" s="13">
        <f>IF('Données projet'!$A$114&gt;35,BY135+BX136-CG135,IF(A136&lt;'Données projet'!$A$114,$BV$205^A136,IF(A136='Données projet'!$A$114,'Données projet'!$B$114,BY135+BX136-CG135)))</f>
        <v>314.99999999999955</v>
      </c>
      <c r="BZ136" s="14">
        <f>BY136*VLOOKUP('Données projet'!$B$12,Paramètres!$A$1:$I$89,3,0)*VLOOKUP('Données projet'!$B$12,Paramètres!$A$1:$I$89,5,0)</f>
        <v>319.40999999999957</v>
      </c>
      <c r="CA136" s="14">
        <f t="shared" si="147"/>
        <v>75.230579506559266</v>
      </c>
      <c r="CB136" s="22">
        <f t="shared" si="118"/>
        <v>687.3323426405899</v>
      </c>
      <c r="CC136" s="62">
        <f t="shared" si="119"/>
        <v>980.66567597392327</v>
      </c>
      <c r="CD136" s="62">
        <f ca="1">AVERAGE(OFFSET($CC$3,0,0,'Données projet'!$E$12+1,1))-AVERAGE(OFFSET($H$3,0,0,'Données projet'!$E$12+1,1))</f>
        <v>565.72091871734051</v>
      </c>
      <c r="CE136" s="62">
        <f t="shared" si="148"/>
        <v>306.61893266146666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4.9658410716801891E-14</v>
      </c>
      <c r="CV136" s="14">
        <f t="shared" si="149"/>
        <v>8.0934058173791862E-13</v>
      </c>
      <c r="CW136" s="22">
        <f t="shared" si="121"/>
        <v>1.4960899118586383E-12</v>
      </c>
      <c r="CX136" s="62">
        <f t="shared" si="122"/>
        <v>293.33333333333479</v>
      </c>
      <c r="CY136" s="62">
        <f ca="1">AVERAGE(OFFSET($CX$3,0,0,'Données projet'!$E$13+1,1))-AVERAGE(OFFSET($H$3,0,0,'Données projet'!$E$13+1,1))</f>
        <v>333.56306908115238</v>
      </c>
      <c r="CZ136" s="62">
        <f t="shared" si="150"/>
        <v>523.65456887919618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4.5474735088646412E-13</v>
      </c>
      <c r="DP136" s="18">
        <f>DO136*VLOOKUP('Données projet'!$B$14,Paramètres!$A$1:$I$89,3,0)*VLOOKUP('Données projet'!$B$14,Paramètres!$A$1:$I$89,5,0)</f>
        <v>3.3342075766995548E-13</v>
      </c>
      <c r="DQ136" s="14">
        <f t="shared" si="151"/>
        <v>4.3537988100583648E-12</v>
      </c>
      <c r="DR136" s="22">
        <f t="shared" si="124"/>
        <v>8.1635740804601579E-12</v>
      </c>
      <c r="DS136" s="62">
        <f t="shared" si="125"/>
        <v>293.3333333333415</v>
      </c>
      <c r="DT136" s="62">
        <f ca="1">AVERAGE(OFFSET($DS$3,0,0,'Données projet'!$E$14+1,1))-AVERAGE(OFFSET($H$3,0,0,'Données projet'!$E$14+1,1))</f>
        <v>397.24714625007675</v>
      </c>
      <c r="DU136" s="62">
        <f t="shared" si="152"/>
        <v>431.75775520200608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9">
        <f t="shared" si="110"/>
        <v>256.66666666666669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</v>
      </c>
      <c r="N137" s="14">
        <f>IF('Données projet'!$A$36&gt;35,N136+M137-V136,IF(A137&lt;'Données projet'!$A$36,$K$205^A137,IF(A137='Données projet'!$A$36,'Données projet'!$B$36,N136+M137-V136)))</f>
        <v>318.99999999999955</v>
      </c>
      <c r="O137" s="14">
        <f>N137*VLOOKUP('Données projet'!$B$9,Paramètres!$A$1:$I$89,3,0)*VLOOKUP('Données projet'!$B$9,Paramètres!$A$1:$I$89,5,0)</f>
        <v>288.63119999999958</v>
      </c>
      <c r="P137" s="14">
        <f t="shared" si="141"/>
        <v>68.787794100289148</v>
      </c>
      <c r="Q137" s="22">
        <f t="shared" si="108"/>
        <v>622.50474805800286</v>
      </c>
      <c r="R137" s="62">
        <f t="shared" si="109"/>
        <v>915.83808139133612</v>
      </c>
      <c r="S137" s="62">
        <f ca="1">AVERAGE(OFFSET($R$3,0,0,'Données projet'!$E$9+1,1))-AVERAGE(OFFSET($H$3,0,0,'Données projet'!$E$9+1,1))</f>
        <v>509.56241660612449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-9.7543306765146564E-14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625.17723604265689</v>
      </c>
      <c r="AO137" s="62">
        <f t="shared" si="144"/>
        <v>462.33909258902241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5.4092197387944907E-14</v>
      </c>
      <c r="BF137" s="14">
        <f t="shared" si="145"/>
        <v>8.7287050538073676E-13</v>
      </c>
      <c r="BG137" s="22">
        <f t="shared" si="115"/>
        <v>1.6144600406554537E-12</v>
      </c>
      <c r="BH137" s="62">
        <f t="shared" si="116"/>
        <v>293.33333333333491</v>
      </c>
      <c r="BI137" s="62">
        <f ca="1">AVERAGE(OFFSET($BH$3,0,0,'Données projet'!$E$11+1,1))-AVERAGE(OFFSET($H$3,0,0,'Données projet'!$E$11+1,1))</f>
        <v>406.24139966722936</v>
      </c>
      <c r="BJ137" s="62">
        <f t="shared" si="146"/>
        <v>295.95724296920577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4</v>
      </c>
      <c r="BY137" s="13">
        <f>IF('Données projet'!$A$114&gt;35,BY136+BX137-CG136,IF(A137&lt;'Données projet'!$A$114,$BV$205^A137,IF(A137='Données projet'!$A$114,'Données projet'!$B$114,BY136+BX137-CG136)))</f>
        <v>318.99999999999955</v>
      </c>
      <c r="BZ137" s="14">
        <f>BY137*VLOOKUP('Données projet'!$B$12,Paramètres!$A$1:$I$89,3,0)*VLOOKUP('Données projet'!$B$12,Paramètres!$A$1:$I$89,5,0)</f>
        <v>323.46599999999955</v>
      </c>
      <c r="CA137" s="14">
        <f t="shared" si="147"/>
        <v>76.07406958143109</v>
      </c>
      <c r="CB137" s="22">
        <f t="shared" si="118"/>
        <v>695.86562118765835</v>
      </c>
      <c r="CC137" s="62">
        <f t="shared" si="119"/>
        <v>989.19895452099172</v>
      </c>
      <c r="CD137" s="62">
        <f ca="1">AVERAGE(OFFSET($CC$3,0,0,'Données projet'!$E$12+1,1))-AVERAGE(OFFSET($H$3,0,0,'Données projet'!$E$12+1,1))</f>
        <v>565.72091871734051</v>
      </c>
      <c r="CE137" s="62">
        <f t="shared" si="148"/>
        <v>306.61893266146666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4.9658410716801891E-14</v>
      </c>
      <c r="CV137" s="14">
        <f t="shared" si="149"/>
        <v>8.0934058173791862E-13</v>
      </c>
      <c r="CW137" s="22">
        <f t="shared" si="121"/>
        <v>1.4960899118586383E-12</v>
      </c>
      <c r="CX137" s="62">
        <f t="shared" si="122"/>
        <v>293.33333333333479</v>
      </c>
      <c r="CY137" s="62">
        <f ca="1">AVERAGE(OFFSET($CX$3,0,0,'Données projet'!$E$13+1,1))-AVERAGE(OFFSET($H$3,0,0,'Données projet'!$E$13+1,1))</f>
        <v>333.56306908115238</v>
      </c>
      <c r="CZ137" s="62">
        <f t="shared" si="150"/>
        <v>523.65456887919618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4.5474735088646412E-13</v>
      </c>
      <c r="DP137" s="18">
        <f>DO137*VLOOKUP('Données projet'!$B$14,Paramètres!$A$1:$I$89,3,0)*VLOOKUP('Données projet'!$B$14,Paramètres!$A$1:$I$89,5,0)</f>
        <v>3.3342075766995548E-13</v>
      </c>
      <c r="DQ137" s="14">
        <f t="shared" si="151"/>
        <v>4.3537988100583648E-12</v>
      </c>
      <c r="DR137" s="22">
        <f t="shared" si="124"/>
        <v>8.1635740804601579E-12</v>
      </c>
      <c r="DS137" s="62">
        <f t="shared" si="125"/>
        <v>293.3333333333415</v>
      </c>
      <c r="DT137" s="62">
        <f ca="1">AVERAGE(OFFSET($DS$3,0,0,'Données projet'!$E$14+1,1))-AVERAGE(OFFSET($H$3,0,0,'Données projet'!$E$14+1,1))</f>
        <v>397.24714625007675</v>
      </c>
      <c r="DU137" s="62">
        <f t="shared" si="152"/>
        <v>431.75775520200608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9">
        <f t="shared" si="110"/>
        <v>256.66666666666669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4</v>
      </c>
      <c r="N138" s="14">
        <f>IF('Données projet'!$A$36&gt;35,N137+M138-V137,IF(A138&lt;'Données projet'!$A$36,$K$205^A138,IF(A138='Données projet'!$A$36,'Données projet'!$B$36,N137+M138-V137)))</f>
        <v>322.99999999999955</v>
      </c>
      <c r="O138" s="14">
        <f>N138*VLOOKUP('Données projet'!$B$9,Paramètres!$A$1:$I$89,3,0)*VLOOKUP('Données projet'!$B$9,Paramètres!$A$1:$I$89,5,0)</f>
        <v>292.25039999999956</v>
      </c>
      <c r="P138" s="14">
        <f t="shared" si="141"/>
        <v>69.549383363839866</v>
      </c>
      <c r="Q138" s="22">
        <f t="shared" si="108"/>
        <v>630.13462269202034</v>
      </c>
      <c r="R138" s="62">
        <f t="shared" si="109"/>
        <v>923.46795602535371</v>
      </c>
      <c r="S138" s="62">
        <f ca="1">AVERAGE(OFFSET($R$3,0,0,'Données projet'!$E$9+1,1))-AVERAGE(OFFSET($H$3,0,0,'Données projet'!$E$9+1,1))</f>
        <v>509.56241660612449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-9.7543306765146564E-14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625.17723604265689</v>
      </c>
      <c r="AO138" s="62">
        <f t="shared" si="144"/>
        <v>462.33909258902241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5.4092197387944907E-14</v>
      </c>
      <c r="BF138" s="14">
        <f t="shared" si="145"/>
        <v>8.7287050538073676E-13</v>
      </c>
      <c r="BG138" s="22">
        <f t="shared" si="115"/>
        <v>1.6144600406554537E-12</v>
      </c>
      <c r="BH138" s="62">
        <f t="shared" si="116"/>
        <v>293.33333333333491</v>
      </c>
      <c r="BI138" s="62">
        <f ca="1">AVERAGE(OFFSET($BH$3,0,0,'Données projet'!$E$11+1,1))-AVERAGE(OFFSET($H$3,0,0,'Données projet'!$E$11+1,1))</f>
        <v>406.24139966722936</v>
      </c>
      <c r="BJ138" s="62">
        <f t="shared" si="146"/>
        <v>295.95724296920577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4</v>
      </c>
      <c r="BY138" s="13">
        <f>IF('Données projet'!$A$114&gt;35,BY137+BX138-CG137,IF(A138&lt;'Données projet'!$A$114,$BV$205^A138,IF(A138='Données projet'!$A$114,'Données projet'!$B$114,BY137+BX138-CG137)))</f>
        <v>322.99999999999955</v>
      </c>
      <c r="BZ138" s="14">
        <f>BY138*VLOOKUP('Données projet'!$B$12,Paramètres!$A$1:$I$89,3,0)*VLOOKUP('Données projet'!$B$12,Paramètres!$A$1:$I$89,5,0)</f>
        <v>327.52199999999954</v>
      </c>
      <c r="CA138" s="14">
        <f t="shared" si="147"/>
        <v>76.916329394899719</v>
      </c>
      <c r="CB138" s="22">
        <f t="shared" si="118"/>
        <v>704.39675702944942</v>
      </c>
      <c r="CC138" s="62">
        <f t="shared" si="119"/>
        <v>997.73009036278268</v>
      </c>
      <c r="CD138" s="62">
        <f ca="1">AVERAGE(OFFSET($CC$3,0,0,'Données projet'!$E$12+1,1))-AVERAGE(OFFSET($H$3,0,0,'Données projet'!$E$12+1,1))</f>
        <v>565.72091871734051</v>
      </c>
      <c r="CE138" s="62">
        <f t="shared" si="148"/>
        <v>306.61893266146666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4.9658410716801891E-14</v>
      </c>
      <c r="CV138" s="14">
        <f t="shared" si="149"/>
        <v>8.0934058173791862E-13</v>
      </c>
      <c r="CW138" s="22">
        <f t="shared" si="121"/>
        <v>1.4960899118586383E-12</v>
      </c>
      <c r="CX138" s="62">
        <f t="shared" si="122"/>
        <v>293.33333333333479</v>
      </c>
      <c r="CY138" s="62">
        <f ca="1">AVERAGE(OFFSET($CX$3,0,0,'Données projet'!$E$13+1,1))-AVERAGE(OFFSET($H$3,0,0,'Données projet'!$E$13+1,1))</f>
        <v>333.56306908115238</v>
      </c>
      <c r="CZ138" s="62">
        <f t="shared" si="150"/>
        <v>523.65456887919618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4.5474735088646412E-13</v>
      </c>
      <c r="DP138" s="18">
        <f>DO138*VLOOKUP('Données projet'!$B$14,Paramètres!$A$1:$I$89,3,0)*VLOOKUP('Données projet'!$B$14,Paramètres!$A$1:$I$89,5,0)</f>
        <v>3.3342075766995548E-13</v>
      </c>
      <c r="DQ138" s="14">
        <f t="shared" si="151"/>
        <v>4.3537988100583648E-12</v>
      </c>
      <c r="DR138" s="22">
        <f t="shared" si="124"/>
        <v>8.1635740804601579E-12</v>
      </c>
      <c r="DS138" s="62">
        <f t="shared" si="125"/>
        <v>293.3333333333415</v>
      </c>
      <c r="DT138" s="62">
        <f ca="1">AVERAGE(OFFSET($DS$3,0,0,'Données projet'!$E$14+1,1))-AVERAGE(OFFSET($H$3,0,0,'Données projet'!$E$14+1,1))</f>
        <v>397.24714625007675</v>
      </c>
      <c r="DU138" s="62">
        <f t="shared" si="152"/>
        <v>431.75775520200608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9">
        <f t="shared" si="110"/>
        <v>256.66666666666669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4</v>
      </c>
      <c r="N139" s="14">
        <f>IF('Données projet'!$A$36&gt;35,N138+M139-V138,IF(A139&lt;'Données projet'!$A$36,$K$205^A139,IF(A139='Données projet'!$A$36,'Données projet'!$B$36,N138+M139-V138)))</f>
        <v>326.99999999999955</v>
      </c>
      <c r="O139" s="14">
        <f>N139*VLOOKUP('Données projet'!$B$9,Paramètres!$A$1:$I$89,3,0)*VLOOKUP('Données projet'!$B$9,Paramètres!$A$1:$I$89,5,0)</f>
        <v>295.86959999999954</v>
      </c>
      <c r="P139" s="14">
        <f t="shared" si="141"/>
        <v>70.309875568291091</v>
      </c>
      <c r="Q139" s="22">
        <f t="shared" si="108"/>
        <v>637.76258661477277</v>
      </c>
      <c r="R139" s="62">
        <f t="shared" si="109"/>
        <v>931.09591994810603</v>
      </c>
      <c r="S139" s="62">
        <f ca="1">AVERAGE(OFFSET($R$3,0,0,'Données projet'!$E$9+1,1))-AVERAGE(OFFSET($H$3,0,0,'Données projet'!$E$9+1,1))</f>
        <v>509.56241660612449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-9.7543306765146564E-14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625.17723604265689</v>
      </c>
      <c r="AO139" s="62">
        <f t="shared" si="144"/>
        <v>462.33909258902241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5.4092197387944907E-14</v>
      </c>
      <c r="BF139" s="14">
        <f t="shared" si="145"/>
        <v>8.7287050538073676E-13</v>
      </c>
      <c r="BG139" s="22">
        <f t="shared" si="115"/>
        <v>1.6144600406554537E-12</v>
      </c>
      <c r="BH139" s="62">
        <f t="shared" si="116"/>
        <v>293.33333333333491</v>
      </c>
      <c r="BI139" s="62">
        <f ca="1">AVERAGE(OFFSET($BH$3,0,0,'Données projet'!$E$11+1,1))-AVERAGE(OFFSET($H$3,0,0,'Données projet'!$E$11+1,1))</f>
        <v>406.24139966722936</v>
      </c>
      <c r="BJ139" s="62">
        <f t="shared" si="146"/>
        <v>295.95724296920577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4</v>
      </c>
      <c r="BY139" s="13">
        <f>IF('Données projet'!$A$114&gt;35,BY138+BX139-CG138,IF(A139&lt;'Données projet'!$A$114,$BV$205^A139,IF(A139='Données projet'!$A$114,'Données projet'!$B$114,BY138+BX139-CG138)))</f>
        <v>326.99999999999955</v>
      </c>
      <c r="BZ139" s="14">
        <f>BY139*VLOOKUP('Données projet'!$B$12,Paramètres!$A$1:$I$89,3,0)*VLOOKUP('Données projet'!$B$12,Paramètres!$A$1:$I$89,5,0)</f>
        <v>331.57799999999952</v>
      </c>
      <c r="CA139" s="14">
        <f t="shared" si="147"/>
        <v>77.757375944425789</v>
      </c>
      <c r="CB139" s="22">
        <f t="shared" si="118"/>
        <v>712.92577976987411</v>
      </c>
      <c r="CC139" s="62">
        <f t="shared" si="119"/>
        <v>1006.2591131032075</v>
      </c>
      <c r="CD139" s="62">
        <f ca="1">AVERAGE(OFFSET($CC$3,0,0,'Données projet'!$E$12+1,1))-AVERAGE(OFFSET($H$3,0,0,'Données projet'!$E$12+1,1))</f>
        <v>565.72091871734051</v>
      </c>
      <c r="CE139" s="62">
        <f t="shared" si="148"/>
        <v>306.61893266146666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4.9658410716801891E-14</v>
      </c>
      <c r="CV139" s="14">
        <f t="shared" si="149"/>
        <v>8.0934058173791862E-13</v>
      </c>
      <c r="CW139" s="22">
        <f t="shared" si="121"/>
        <v>1.4960899118586383E-12</v>
      </c>
      <c r="CX139" s="62">
        <f t="shared" si="122"/>
        <v>293.33333333333479</v>
      </c>
      <c r="CY139" s="62">
        <f ca="1">AVERAGE(OFFSET($CX$3,0,0,'Données projet'!$E$13+1,1))-AVERAGE(OFFSET($H$3,0,0,'Données projet'!$E$13+1,1))</f>
        <v>333.56306908115238</v>
      </c>
      <c r="CZ139" s="62">
        <f t="shared" si="150"/>
        <v>523.65456887919618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4.5474735088646412E-13</v>
      </c>
      <c r="DP139" s="18">
        <f>DO139*VLOOKUP('Données projet'!$B$14,Paramètres!$A$1:$I$89,3,0)*VLOOKUP('Données projet'!$B$14,Paramètres!$A$1:$I$89,5,0)</f>
        <v>3.3342075766995548E-13</v>
      </c>
      <c r="DQ139" s="14">
        <f t="shared" si="151"/>
        <v>4.3537988100583648E-12</v>
      </c>
      <c r="DR139" s="22">
        <f t="shared" si="124"/>
        <v>8.1635740804601579E-12</v>
      </c>
      <c r="DS139" s="62">
        <f t="shared" si="125"/>
        <v>293.3333333333415</v>
      </c>
      <c r="DT139" s="62">
        <f ca="1">AVERAGE(OFFSET($DS$3,0,0,'Données projet'!$E$14+1,1))-AVERAGE(OFFSET($H$3,0,0,'Données projet'!$E$14+1,1))</f>
        <v>397.24714625007675</v>
      </c>
      <c r="DU139" s="62">
        <f t="shared" si="152"/>
        <v>431.75775520200608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9">
        <f t="shared" si="110"/>
        <v>256.66666666666669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4</v>
      </c>
      <c r="N140" s="14">
        <f>IF('Données projet'!$A$36&gt;35,N139+M140-V139,IF(A140&lt;'Données projet'!$A$36,$K$205^A140,IF(A140='Données projet'!$A$36,'Données projet'!$B$36,N139+M140-V139)))</f>
        <v>330.99999999999955</v>
      </c>
      <c r="O140" s="14">
        <f>N140*VLOOKUP('Données projet'!$B$9,Paramètres!$A$1:$I$89,3,0)*VLOOKUP('Données projet'!$B$9,Paramètres!$A$1:$I$89,5,0)</f>
        <v>299.48879999999957</v>
      </c>
      <c r="P140" s="14">
        <f t="shared" si="141"/>
        <v>71.069285685467236</v>
      </c>
      <c r="Q140" s="22">
        <f t="shared" si="108"/>
        <v>645.38866590218811</v>
      </c>
      <c r="R140" s="62">
        <f t="shared" si="109"/>
        <v>938.72199923552148</v>
      </c>
      <c r="S140" s="62">
        <f ca="1">AVERAGE(OFFSET($R$3,0,0,'Données projet'!$E$9+1,1))-AVERAGE(OFFSET($H$3,0,0,'Données projet'!$E$9+1,1))</f>
        <v>509.56241660612449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-9.7543306765146564E-14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625.17723604265689</v>
      </c>
      <c r="AO140" s="62">
        <f t="shared" si="144"/>
        <v>462.33909258902241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5.4092197387944907E-14</v>
      </c>
      <c r="BF140" s="14">
        <f t="shared" si="145"/>
        <v>8.7287050538073676E-13</v>
      </c>
      <c r="BG140" s="22">
        <f t="shared" si="115"/>
        <v>1.6144600406554537E-12</v>
      </c>
      <c r="BH140" s="62">
        <f t="shared" si="116"/>
        <v>293.33333333333491</v>
      </c>
      <c r="BI140" s="62">
        <f ca="1">AVERAGE(OFFSET($BH$3,0,0,'Données projet'!$E$11+1,1))-AVERAGE(OFFSET($H$3,0,0,'Données projet'!$E$11+1,1))</f>
        <v>406.24139966722936</v>
      </c>
      <c r="BJ140" s="62">
        <f t="shared" si="146"/>
        <v>295.95724296920577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4</v>
      </c>
      <c r="BY140" s="13">
        <f>IF('Données projet'!$A$114&gt;35,BY139+BX140-CG139,IF(A140&lt;'Données projet'!$A$114,$BV$205^A140,IF(A140='Données projet'!$A$114,'Données projet'!$B$114,BY139+BX140-CG139)))</f>
        <v>330.99999999999955</v>
      </c>
      <c r="BZ140" s="14">
        <f>BY140*VLOOKUP('Données projet'!$B$12,Paramètres!$A$1:$I$89,3,0)*VLOOKUP('Données projet'!$B$12,Paramètres!$A$1:$I$89,5,0)</f>
        <v>335.63399999999956</v>
      </c>
      <c r="CA140" s="14">
        <f t="shared" si="147"/>
        <v>78.597225787708567</v>
      </c>
      <c r="CB140" s="22">
        <f t="shared" si="118"/>
        <v>721.45271824692497</v>
      </c>
      <c r="CC140" s="62">
        <f t="shared" si="119"/>
        <v>1014.7860515802583</v>
      </c>
      <c r="CD140" s="62">
        <f ca="1">AVERAGE(OFFSET($CC$3,0,0,'Données projet'!$E$12+1,1))-AVERAGE(OFFSET($H$3,0,0,'Données projet'!$E$12+1,1))</f>
        <v>565.72091871734051</v>
      </c>
      <c r="CE140" s="62">
        <f t="shared" si="148"/>
        <v>306.61893266146666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4.9658410716801891E-14</v>
      </c>
      <c r="CV140" s="14">
        <f t="shared" si="149"/>
        <v>8.0934058173791862E-13</v>
      </c>
      <c r="CW140" s="22">
        <f t="shared" si="121"/>
        <v>1.4960899118586383E-12</v>
      </c>
      <c r="CX140" s="62">
        <f t="shared" si="122"/>
        <v>293.33333333333479</v>
      </c>
      <c r="CY140" s="62">
        <f ca="1">AVERAGE(OFFSET($CX$3,0,0,'Données projet'!$E$13+1,1))-AVERAGE(OFFSET($H$3,0,0,'Données projet'!$E$13+1,1))</f>
        <v>333.56306908115238</v>
      </c>
      <c r="CZ140" s="62">
        <f t="shared" si="150"/>
        <v>523.65456887919618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4.5474735088646412E-13</v>
      </c>
      <c r="DP140" s="18">
        <f>DO140*VLOOKUP('Données projet'!$B$14,Paramètres!$A$1:$I$89,3,0)*VLOOKUP('Données projet'!$B$14,Paramètres!$A$1:$I$89,5,0)</f>
        <v>3.3342075766995548E-13</v>
      </c>
      <c r="DQ140" s="14">
        <f t="shared" si="151"/>
        <v>4.3537988100583648E-12</v>
      </c>
      <c r="DR140" s="22">
        <f t="shared" si="124"/>
        <v>8.1635740804601579E-12</v>
      </c>
      <c r="DS140" s="62">
        <f t="shared" si="125"/>
        <v>293.3333333333415</v>
      </c>
      <c r="DT140" s="62">
        <f ca="1">AVERAGE(OFFSET($DS$3,0,0,'Données projet'!$E$14+1,1))-AVERAGE(OFFSET($H$3,0,0,'Données projet'!$E$14+1,1))</f>
        <v>397.24714625007675</v>
      </c>
      <c r="DU140" s="62">
        <f t="shared" si="152"/>
        <v>431.75775520200608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9">
        <f t="shared" si="110"/>
        <v>256.66666666666669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4</v>
      </c>
      <c r="N141" s="14">
        <f>IF('Données projet'!$A$36&gt;35,N140+M141-V140,IF(A141&lt;'Données projet'!$A$36,$K$205^A141,IF(A141='Données projet'!$A$36,'Données projet'!$B$36,N140+M141-V140)))</f>
        <v>334.99999999999955</v>
      </c>
      <c r="O141" s="14">
        <f>N141*VLOOKUP('Données projet'!$B$9,Paramètres!$A$1:$I$89,3,0)*VLOOKUP('Données projet'!$B$9,Paramètres!$A$1:$I$89,5,0)</f>
        <v>303.10799999999961</v>
      </c>
      <c r="P141" s="14">
        <f t="shared" si="141"/>
        <v>71.827628304517162</v>
      </c>
      <c r="Q141" s="22">
        <f t="shared" si="108"/>
        <v>653.0128859637</v>
      </c>
      <c r="R141" s="62">
        <f t="shared" si="109"/>
        <v>946.34621929703326</v>
      </c>
      <c r="S141" s="62">
        <f ca="1">AVERAGE(OFFSET($R$3,0,0,'Données projet'!$E$9+1,1))-AVERAGE(OFFSET($H$3,0,0,'Données projet'!$E$9+1,1))</f>
        <v>509.56241660612449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-9.7543306765146564E-14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625.17723604265689</v>
      </c>
      <c r="AO141" s="62">
        <f t="shared" si="144"/>
        <v>462.33909258902241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5.4092197387944907E-14</v>
      </c>
      <c r="BF141" s="14">
        <f t="shared" si="145"/>
        <v>8.7287050538073676E-13</v>
      </c>
      <c r="BG141" s="22">
        <f t="shared" si="115"/>
        <v>1.6144600406554537E-12</v>
      </c>
      <c r="BH141" s="62">
        <f t="shared" si="116"/>
        <v>293.33333333333491</v>
      </c>
      <c r="BI141" s="62">
        <f ca="1">AVERAGE(OFFSET($BH$3,0,0,'Données projet'!$E$11+1,1))-AVERAGE(OFFSET($H$3,0,0,'Données projet'!$E$11+1,1))</f>
        <v>406.24139966722936</v>
      </c>
      <c r="BJ141" s="62">
        <f t="shared" si="146"/>
        <v>295.95724296920577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4</v>
      </c>
      <c r="BY141" s="13">
        <f>IF('Données projet'!$A$114&gt;35,BY140+BX141-CG140,IF(A141&lt;'Données projet'!$A$114,$BV$205^A141,IF(A141='Données projet'!$A$114,'Données projet'!$B$114,BY140+BX141-CG140)))</f>
        <v>334.99999999999955</v>
      </c>
      <c r="BZ141" s="14">
        <f>BY141*VLOOKUP('Données projet'!$B$12,Paramètres!$A$1:$I$89,3,0)*VLOOKUP('Données projet'!$B$12,Paramètres!$A$1:$I$89,5,0)</f>
        <v>339.68999999999954</v>
      </c>
      <c r="CA141" s="14">
        <f t="shared" si="147"/>
        <v>79.435895059237467</v>
      </c>
      <c r="CB141" s="22">
        <f t="shared" si="118"/>
        <v>729.97760056150446</v>
      </c>
      <c r="CC141" s="62">
        <f t="shared" si="119"/>
        <v>1023.3109338948377</v>
      </c>
      <c r="CD141" s="62">
        <f ca="1">AVERAGE(OFFSET($CC$3,0,0,'Données projet'!$E$12+1,1))-AVERAGE(OFFSET($H$3,0,0,'Données projet'!$E$12+1,1))</f>
        <v>565.72091871734051</v>
      </c>
      <c r="CE141" s="62">
        <f t="shared" si="148"/>
        <v>306.61893266146666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4.9658410716801891E-14</v>
      </c>
      <c r="CV141" s="14">
        <f t="shared" si="149"/>
        <v>8.0934058173791862E-13</v>
      </c>
      <c r="CW141" s="22">
        <f t="shared" si="121"/>
        <v>1.4960899118586383E-12</v>
      </c>
      <c r="CX141" s="62">
        <f t="shared" si="122"/>
        <v>293.33333333333479</v>
      </c>
      <c r="CY141" s="62">
        <f ca="1">AVERAGE(OFFSET($CX$3,0,0,'Données projet'!$E$13+1,1))-AVERAGE(OFFSET($H$3,0,0,'Données projet'!$E$13+1,1))</f>
        <v>333.56306908115238</v>
      </c>
      <c r="CZ141" s="62">
        <f t="shared" si="150"/>
        <v>523.65456887919618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4.5474735088646412E-13</v>
      </c>
      <c r="DP141" s="18">
        <f>DO141*VLOOKUP('Données projet'!$B$14,Paramètres!$A$1:$I$89,3,0)*VLOOKUP('Données projet'!$B$14,Paramètres!$A$1:$I$89,5,0)</f>
        <v>3.3342075766995548E-13</v>
      </c>
      <c r="DQ141" s="14">
        <f t="shared" si="151"/>
        <v>4.3537988100583648E-12</v>
      </c>
      <c r="DR141" s="22">
        <f t="shared" si="124"/>
        <v>8.1635740804601579E-12</v>
      </c>
      <c r="DS141" s="62">
        <f t="shared" si="125"/>
        <v>293.3333333333415</v>
      </c>
      <c r="DT141" s="62">
        <f ca="1">AVERAGE(OFFSET($DS$3,0,0,'Données projet'!$E$14+1,1))-AVERAGE(OFFSET($H$3,0,0,'Données projet'!$E$14+1,1))</f>
        <v>397.24714625007675</v>
      </c>
      <c r="DU141" s="62">
        <f t="shared" si="152"/>
        <v>431.75775520200608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9">
        <f t="shared" si="110"/>
        <v>256.66666666666669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4</v>
      </c>
      <c r="N142" s="14">
        <f>IF('Données projet'!$A$36&gt;35,N141+M142-V141,IF(A142&lt;'Données projet'!$A$36,$K$205^A142,IF(A142='Données projet'!$A$36,'Données projet'!$B$36,N141+M142-V141)))</f>
        <v>338.99999999999955</v>
      </c>
      <c r="O142" s="14">
        <f>N142*VLOOKUP('Données projet'!$B$9,Paramètres!$A$1:$I$89,3,0)*VLOOKUP('Données projet'!$B$9,Paramètres!$A$1:$I$89,5,0)</f>
        <v>306.72719999999958</v>
      </c>
      <c r="P142" s="14">
        <f t="shared" si="141"/>
        <v>72.584917646145513</v>
      </c>
      <c r="Q142" s="22">
        <f t="shared" si="108"/>
        <v>660.63527156703606</v>
      </c>
      <c r="R142" s="62">
        <f t="shared" si="109"/>
        <v>953.96860490036943</v>
      </c>
      <c r="S142" s="62">
        <f ca="1">AVERAGE(OFFSET($R$3,0,0,'Données projet'!$E$9+1,1))-AVERAGE(OFFSET($H$3,0,0,'Données projet'!$E$9+1,1))</f>
        <v>509.56241660612449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-9.7543306765146564E-14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625.17723604265689</v>
      </c>
      <c r="AO142" s="62">
        <f t="shared" si="144"/>
        <v>462.33909258902241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5.4092197387944907E-14</v>
      </c>
      <c r="BF142" s="14">
        <f t="shared" si="145"/>
        <v>8.7287050538073676E-13</v>
      </c>
      <c r="BG142" s="22">
        <f t="shared" si="115"/>
        <v>1.6144600406554537E-12</v>
      </c>
      <c r="BH142" s="62">
        <f t="shared" si="116"/>
        <v>293.33333333333491</v>
      </c>
      <c r="BI142" s="62">
        <f ca="1">AVERAGE(OFFSET($BH$3,0,0,'Données projet'!$E$11+1,1))-AVERAGE(OFFSET($H$3,0,0,'Données projet'!$E$11+1,1))</f>
        <v>406.24139966722936</v>
      </c>
      <c r="BJ142" s="62">
        <f t="shared" si="146"/>
        <v>295.95724296920577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4</v>
      </c>
      <c r="BY142" s="13">
        <f>IF('Données projet'!$A$114&gt;35,BY141+BX142-CG141,IF(A142&lt;'Données projet'!$A$114,$BV$205^A142,IF(A142='Données projet'!$A$114,'Données projet'!$B$114,BY141+BX142-CG141)))</f>
        <v>338.99999999999955</v>
      </c>
      <c r="BZ142" s="14">
        <f>BY142*VLOOKUP('Données projet'!$B$12,Paramètres!$A$1:$I$89,3,0)*VLOOKUP('Données projet'!$B$12,Paramètres!$A$1:$I$89,5,0)</f>
        <v>343.74599999999958</v>
      </c>
      <c r="CA142" s="14">
        <f t="shared" si="147"/>
        <v>80.273399486030371</v>
      </c>
      <c r="CB142" s="22">
        <f t="shared" si="118"/>
        <v>738.50045410483551</v>
      </c>
      <c r="CC142" s="62">
        <f t="shared" si="119"/>
        <v>1031.8337874381689</v>
      </c>
      <c r="CD142" s="62">
        <f ca="1">AVERAGE(OFFSET($CC$3,0,0,'Données projet'!$E$12+1,1))-AVERAGE(OFFSET($H$3,0,0,'Données projet'!$E$12+1,1))</f>
        <v>565.72091871734051</v>
      </c>
      <c r="CE142" s="62">
        <f t="shared" si="148"/>
        <v>306.61893266146666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4.9658410716801891E-14</v>
      </c>
      <c r="CV142" s="14">
        <f t="shared" si="149"/>
        <v>8.0934058173791862E-13</v>
      </c>
      <c r="CW142" s="22">
        <f t="shared" si="121"/>
        <v>1.4960899118586383E-12</v>
      </c>
      <c r="CX142" s="62">
        <f t="shared" si="122"/>
        <v>293.33333333333479</v>
      </c>
      <c r="CY142" s="62">
        <f ca="1">AVERAGE(OFFSET($CX$3,0,0,'Données projet'!$E$13+1,1))-AVERAGE(OFFSET($H$3,0,0,'Données projet'!$E$13+1,1))</f>
        <v>333.56306908115238</v>
      </c>
      <c r="CZ142" s="62">
        <f t="shared" si="150"/>
        <v>523.65456887919618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4.5474735088646412E-13</v>
      </c>
      <c r="DP142" s="18">
        <f>DO142*VLOOKUP('Données projet'!$B$14,Paramètres!$A$1:$I$89,3,0)*VLOOKUP('Données projet'!$B$14,Paramètres!$A$1:$I$89,5,0)</f>
        <v>3.3342075766995548E-13</v>
      </c>
      <c r="DQ142" s="14">
        <f t="shared" si="151"/>
        <v>4.3537988100583648E-12</v>
      </c>
      <c r="DR142" s="22">
        <f t="shared" si="124"/>
        <v>8.1635740804601579E-12</v>
      </c>
      <c r="DS142" s="62">
        <f t="shared" si="125"/>
        <v>293.3333333333415</v>
      </c>
      <c r="DT142" s="62">
        <f ca="1">AVERAGE(OFFSET($DS$3,0,0,'Données projet'!$E$14+1,1))-AVERAGE(OFFSET($H$3,0,0,'Données projet'!$E$14+1,1))</f>
        <v>397.24714625007675</v>
      </c>
      <c r="DU142" s="62">
        <f t="shared" si="152"/>
        <v>431.75775520200608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9">
        <f t="shared" si="110"/>
        <v>256.66666666666669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343</v>
      </c>
      <c r="L143" s="13">
        <f>VLOOKUP(A143,'Données projet'!$A$35:$I$55,9,0)</f>
        <v>4</v>
      </c>
      <c r="M143" s="13">
        <f t="array" ref="M143">INDEX(L:L,MIN(IF(ISNUMBER(L143:L339),ROW(L143:L339),"")))</f>
        <v>4</v>
      </c>
      <c r="N143" s="14">
        <f>IF('Données projet'!$A$36&gt;35,N142+M143-V142,IF(A143&lt;'Données projet'!$A$36,$K$205^A143,IF(A143='Données projet'!$A$36,'Données projet'!$B$36,N142+M143-V142)))</f>
        <v>342.99999999999955</v>
      </c>
      <c r="O143" s="14">
        <f>N143*VLOOKUP('Données projet'!$B$9,Paramètres!$A$1:$I$89,3,0)*VLOOKUP('Données projet'!$B$9,Paramètres!$A$1:$I$89,5,0)</f>
        <v>310.34639999999956</v>
      </c>
      <c r="P143" s="14">
        <f t="shared" si="141"/>
        <v>73.341167576152927</v>
      </c>
      <c r="Q143" s="22">
        <f t="shared" si="108"/>
        <v>668.25584686179889</v>
      </c>
      <c r="R143" s="62">
        <f t="shared" si="109"/>
        <v>961.58918019513226</v>
      </c>
      <c r="S143" s="62">
        <f ca="1">AVERAGE(OFFSET($R$3,0,0,'Données projet'!$E$9+1,1))-AVERAGE(OFFSET($H$3,0,0,'Données projet'!$E$9+1,1))</f>
        <v>509.56241660612449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43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-9.7543306765146564E-14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625.17723604265689</v>
      </c>
      <c r="AO143" s="62">
        <f t="shared" si="144"/>
        <v>462.33909258902241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5.4092197387944907E-14</v>
      </c>
      <c r="BF143" s="14">
        <f t="shared" si="145"/>
        <v>8.7287050538073676E-13</v>
      </c>
      <c r="BG143" s="22">
        <f t="shared" si="115"/>
        <v>1.6144600406554537E-12</v>
      </c>
      <c r="BH143" s="62">
        <f t="shared" si="116"/>
        <v>293.33333333333491</v>
      </c>
      <c r="BI143" s="62">
        <f ca="1">AVERAGE(OFFSET($BH$3,0,0,'Données projet'!$E$11+1,1))-AVERAGE(OFFSET($H$3,0,0,'Données projet'!$E$11+1,1))</f>
        <v>406.24139966722936</v>
      </c>
      <c r="BJ143" s="62">
        <f t="shared" si="146"/>
        <v>295.95724296920577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343</v>
      </c>
      <c r="BW143" s="13">
        <f>VLOOKUP(A143,'Données projet'!$A$113:$I$133,9,0)</f>
        <v>4</v>
      </c>
      <c r="BX143" s="13">
        <f t="array" ref="BX143">INDEX(BW:BW,MIN(IF(ISNUMBER(BW143:BW339),ROW(BW143:BW339),"")))</f>
        <v>4</v>
      </c>
      <c r="BY143" s="13">
        <f>IF('Données projet'!$A$114&gt;35,BY142+BX143-CG142,IF(A143&lt;'Données projet'!$A$114,$BV$205^A143,IF(A143='Données projet'!$A$114,'Données projet'!$B$114,BY142+BX143-CG142)))</f>
        <v>342.99999999999955</v>
      </c>
      <c r="BZ143" s="14">
        <f>BY143*VLOOKUP('Données projet'!$B$12,Paramètres!$A$1:$I$89,3,0)*VLOOKUP('Données projet'!$B$12,Paramètres!$A$1:$I$89,5,0)</f>
        <v>347.80199999999957</v>
      </c>
      <c r="CA143" s="14">
        <f t="shared" si="147"/>
        <v>81.109754402608502</v>
      </c>
      <c r="CB143" s="22">
        <f t="shared" si="118"/>
        <v>747.02130558454235</v>
      </c>
      <c r="CC143" s="62">
        <f t="shared" si="119"/>
        <v>1040.3546389178757</v>
      </c>
      <c r="CD143" s="62">
        <f ca="1">AVERAGE(OFFSET($CC$3,0,0,'Données projet'!$E$12+1,1))-AVERAGE(OFFSET($H$3,0,0,'Données projet'!$E$12+1,1))</f>
        <v>565.72091871734051</v>
      </c>
      <c r="CE143" s="62">
        <f t="shared" si="148"/>
        <v>306.61893266146666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43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4.9658410716801891E-14</v>
      </c>
      <c r="CV143" s="14">
        <f t="shared" si="149"/>
        <v>8.0934058173791862E-13</v>
      </c>
      <c r="CW143" s="22">
        <f t="shared" si="121"/>
        <v>1.4960899118586383E-12</v>
      </c>
      <c r="CX143" s="62">
        <f t="shared" si="122"/>
        <v>293.33333333333479</v>
      </c>
      <c r="CY143" s="62">
        <f ca="1">AVERAGE(OFFSET($CX$3,0,0,'Données projet'!$E$13+1,1))-AVERAGE(OFFSET($H$3,0,0,'Données projet'!$E$13+1,1))</f>
        <v>333.56306908115238</v>
      </c>
      <c r="CZ143" s="62">
        <f t="shared" si="150"/>
        <v>523.65456887919618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4.5474735088646412E-13</v>
      </c>
      <c r="DP143" s="18">
        <f>DO143*VLOOKUP('Données projet'!$B$14,Paramètres!$A$1:$I$89,3,0)*VLOOKUP('Données projet'!$B$14,Paramètres!$A$1:$I$89,5,0)</f>
        <v>3.3342075766995548E-13</v>
      </c>
      <c r="DQ143" s="14">
        <f t="shared" si="151"/>
        <v>4.3537988100583648E-12</v>
      </c>
      <c r="DR143" s="22">
        <f t="shared" si="124"/>
        <v>8.1635740804601579E-12</v>
      </c>
      <c r="DS143" s="62">
        <f t="shared" si="125"/>
        <v>293.3333333333415</v>
      </c>
      <c r="DT143" s="62">
        <f ca="1">AVERAGE(OFFSET($DS$3,0,0,'Données projet'!$E$14+1,1))-AVERAGE(OFFSET($H$3,0,0,'Données projet'!$E$14+1,1))</f>
        <v>397.24714625007675</v>
      </c>
      <c r="DU143" s="62">
        <f t="shared" si="152"/>
        <v>431.75775520200608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9">
        <f t="shared" si="110"/>
        <v>256.66666666666669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303.49999999999955</v>
      </c>
      <c r="O144" s="14">
        <f>N144*VLOOKUP('Données projet'!$B$9,Paramètres!$A$1:$I$89,3,0)*VLOOKUP('Données projet'!$B$9,Paramètres!$A$1:$I$89,5,0)</f>
        <v>274.60679999999957</v>
      </c>
      <c r="P144" s="14">
        <f t="shared" si="141"/>
        <v>65.825983768649721</v>
      </c>
      <c r="Q144" s="22">
        <f t="shared" si="108"/>
        <v>592.92043173039758</v>
      </c>
      <c r="R144" s="62">
        <f t="shared" si="109"/>
        <v>886.25376506373095</v>
      </c>
      <c r="S144" s="62">
        <f ca="1">AVERAGE(OFFSET($R$3,0,0,'Données projet'!$E$9+1,1))-AVERAGE(OFFSET($H$3,0,0,'Données projet'!$E$9+1,1))</f>
        <v>509.56241660612449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-9.7543306765146564E-14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625.17723604265689</v>
      </c>
      <c r="AO144" s="62">
        <f t="shared" si="144"/>
        <v>462.33909258902241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5.4092197387944907E-14</v>
      </c>
      <c r="BF144" s="14">
        <f t="shared" si="145"/>
        <v>8.7287050538073676E-13</v>
      </c>
      <c r="BG144" s="22">
        <f t="shared" si="115"/>
        <v>1.6144600406554537E-12</v>
      </c>
      <c r="BH144" s="62">
        <f t="shared" si="116"/>
        <v>293.33333333333491</v>
      </c>
      <c r="BI144" s="62">
        <f ca="1">AVERAGE(OFFSET($BH$3,0,0,'Données projet'!$E$11+1,1))-AVERAGE(OFFSET($H$3,0,0,'Données projet'!$E$11+1,1))</f>
        <v>406.24139966722936</v>
      </c>
      <c r="BJ144" s="62">
        <f t="shared" si="146"/>
        <v>295.95724296920577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3.5</v>
      </c>
      <c r="BY144" s="13">
        <f>IF('Données projet'!$A$114&gt;35,BY143+BX144-CG143,IF(A144&lt;'Données projet'!$A$114,$BV$205^A144,IF(A144='Données projet'!$A$114,'Données projet'!$B$114,BY143+BX144-CG143)))</f>
        <v>303.49999999999955</v>
      </c>
      <c r="BZ144" s="14">
        <f>BY144*VLOOKUP('Données projet'!$B$12,Paramètres!$A$1:$I$89,3,0)*VLOOKUP('Données projet'!$B$12,Paramètres!$A$1:$I$89,5,0)</f>
        <v>307.74899999999957</v>
      </c>
      <c r="CA144" s="14">
        <f t="shared" si="147"/>
        <v>72.798532573693379</v>
      </c>
      <c r="CB144" s="22">
        <f t="shared" si="118"/>
        <v>662.78695256584854</v>
      </c>
      <c r="CC144" s="62">
        <f t="shared" si="119"/>
        <v>956.12028589918191</v>
      </c>
      <c r="CD144" s="62">
        <f ca="1">AVERAGE(OFFSET($CC$3,0,0,'Données projet'!$E$12+1,1))-AVERAGE(OFFSET($H$3,0,0,'Données projet'!$E$12+1,1))</f>
        <v>565.72091871734051</v>
      </c>
      <c r="CE144" s="62">
        <f t="shared" si="148"/>
        <v>306.61893266146666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4.9658410716801891E-14</v>
      </c>
      <c r="CV144" s="14">
        <f t="shared" si="149"/>
        <v>8.0934058173791862E-13</v>
      </c>
      <c r="CW144" s="22">
        <f t="shared" si="121"/>
        <v>1.4960899118586383E-12</v>
      </c>
      <c r="CX144" s="62">
        <f t="shared" si="122"/>
        <v>293.33333333333479</v>
      </c>
      <c r="CY144" s="62">
        <f ca="1">AVERAGE(OFFSET($CX$3,0,0,'Données projet'!$E$13+1,1))-AVERAGE(OFFSET($H$3,0,0,'Données projet'!$E$13+1,1))</f>
        <v>333.56306908115238</v>
      </c>
      <c r="CZ144" s="62">
        <f t="shared" si="150"/>
        <v>523.65456887919618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4.5474735088646412E-13</v>
      </c>
      <c r="DP144" s="18">
        <f>DO144*VLOOKUP('Données projet'!$B$14,Paramètres!$A$1:$I$89,3,0)*VLOOKUP('Données projet'!$B$14,Paramètres!$A$1:$I$89,5,0)</f>
        <v>3.3342075766995548E-13</v>
      </c>
      <c r="DQ144" s="14">
        <f t="shared" si="151"/>
        <v>4.3537988100583648E-12</v>
      </c>
      <c r="DR144" s="22">
        <f t="shared" si="124"/>
        <v>8.1635740804601579E-12</v>
      </c>
      <c r="DS144" s="62">
        <f t="shared" si="125"/>
        <v>293.3333333333415</v>
      </c>
      <c r="DT144" s="62">
        <f ca="1">AVERAGE(OFFSET($DS$3,0,0,'Données projet'!$E$14+1,1))-AVERAGE(OFFSET($H$3,0,0,'Données projet'!$E$14+1,1))</f>
        <v>397.24714625007675</v>
      </c>
      <c r="DU144" s="62">
        <f t="shared" si="152"/>
        <v>431.75775520200608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9">
        <f t="shared" si="110"/>
        <v>256.66666666666669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306.99999999999955</v>
      </c>
      <c r="O145" s="14">
        <f>N145*VLOOKUP('Données projet'!$B$9,Paramètres!$A$1:$I$89,3,0)*VLOOKUP('Données projet'!$B$9,Paramètres!$A$1:$I$89,5,0)</f>
        <v>277.77359999999959</v>
      </c>
      <c r="P145" s="14">
        <f t="shared" si="141"/>
        <v>66.496288176842299</v>
      </c>
      <c r="Q145" s="22">
        <f t="shared" si="108"/>
        <v>599.60338857466627</v>
      </c>
      <c r="R145" s="62">
        <f t="shared" si="109"/>
        <v>892.93672190799953</v>
      </c>
      <c r="S145" s="62">
        <f ca="1">AVERAGE(OFFSET($R$3,0,0,'Données projet'!$E$9+1,1))-AVERAGE(OFFSET($H$3,0,0,'Données projet'!$E$9+1,1))</f>
        <v>509.56241660612449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-9.7543306765146564E-14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625.17723604265689</v>
      </c>
      <c r="AO145" s="62">
        <f t="shared" si="144"/>
        <v>462.33909258902241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5.4092197387944907E-14</v>
      </c>
      <c r="BF145" s="14">
        <f t="shared" si="145"/>
        <v>8.7287050538073676E-13</v>
      </c>
      <c r="BG145" s="22">
        <f t="shared" si="115"/>
        <v>1.6144600406554537E-12</v>
      </c>
      <c r="BH145" s="62">
        <f t="shared" si="116"/>
        <v>293.33333333333491</v>
      </c>
      <c r="BI145" s="62">
        <f ca="1">AVERAGE(OFFSET($BH$3,0,0,'Données projet'!$E$11+1,1))-AVERAGE(OFFSET($H$3,0,0,'Données projet'!$E$11+1,1))</f>
        <v>406.24139966722936</v>
      </c>
      <c r="BJ145" s="62">
        <f t="shared" si="146"/>
        <v>295.95724296920577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3.5</v>
      </c>
      <c r="BY145" s="13">
        <f>IF('Données projet'!$A$114&gt;35,BY144+BX145-CG144,IF(A145&lt;'Données projet'!$A$114,$BV$205^A145,IF(A145='Données projet'!$A$114,'Données projet'!$B$114,BY144+BX145-CG144)))</f>
        <v>306.99999999999955</v>
      </c>
      <c r="BZ145" s="14">
        <f>BY145*VLOOKUP('Données projet'!$B$12,Paramètres!$A$1:$I$89,3,0)*VLOOKUP('Données projet'!$B$12,Paramètres!$A$1:$I$89,5,0)</f>
        <v>311.29799999999955</v>
      </c>
      <c r="CA145" s="14">
        <f t="shared" si="147"/>
        <v>73.53983827852862</v>
      </c>
      <c r="CB145" s="22">
        <f t="shared" si="118"/>
        <v>670.25923500176987</v>
      </c>
      <c r="CC145" s="62">
        <f t="shared" si="119"/>
        <v>963.59256833510312</v>
      </c>
      <c r="CD145" s="62">
        <f ca="1">AVERAGE(OFFSET($CC$3,0,0,'Données projet'!$E$12+1,1))-AVERAGE(OFFSET($H$3,0,0,'Données projet'!$E$12+1,1))</f>
        <v>565.72091871734051</v>
      </c>
      <c r="CE145" s="62">
        <f t="shared" si="148"/>
        <v>306.61893266146666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4.9658410716801891E-14</v>
      </c>
      <c r="CV145" s="14">
        <f t="shared" si="149"/>
        <v>8.0934058173791862E-13</v>
      </c>
      <c r="CW145" s="22">
        <f t="shared" si="121"/>
        <v>1.4960899118586383E-12</v>
      </c>
      <c r="CX145" s="62">
        <f t="shared" si="122"/>
        <v>293.33333333333479</v>
      </c>
      <c r="CY145" s="62">
        <f ca="1">AVERAGE(OFFSET($CX$3,0,0,'Données projet'!$E$13+1,1))-AVERAGE(OFFSET($H$3,0,0,'Données projet'!$E$13+1,1))</f>
        <v>333.56306908115238</v>
      </c>
      <c r="CZ145" s="62">
        <f t="shared" si="150"/>
        <v>523.65456887919618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4.5474735088646412E-13</v>
      </c>
      <c r="DP145" s="18">
        <f>DO145*VLOOKUP('Données projet'!$B$14,Paramètres!$A$1:$I$89,3,0)*VLOOKUP('Données projet'!$B$14,Paramètres!$A$1:$I$89,5,0)</f>
        <v>3.3342075766995548E-13</v>
      </c>
      <c r="DQ145" s="14">
        <f t="shared" si="151"/>
        <v>4.3537988100583648E-12</v>
      </c>
      <c r="DR145" s="22">
        <f t="shared" si="124"/>
        <v>8.1635740804601579E-12</v>
      </c>
      <c r="DS145" s="62">
        <f t="shared" si="125"/>
        <v>293.3333333333415</v>
      </c>
      <c r="DT145" s="62">
        <f ca="1">AVERAGE(OFFSET($DS$3,0,0,'Données projet'!$E$14+1,1))-AVERAGE(OFFSET($H$3,0,0,'Données projet'!$E$14+1,1))</f>
        <v>397.24714625007675</v>
      </c>
      <c r="DU145" s="62">
        <f t="shared" si="152"/>
        <v>431.75775520200608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9">
        <f t="shared" si="110"/>
        <v>256.66666666666669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310.49999999999955</v>
      </c>
      <c r="O146" s="14">
        <f>N146*VLOOKUP('Données projet'!$B$9,Paramètres!$A$1:$I$89,3,0)*VLOOKUP('Données projet'!$B$9,Paramètres!$A$1:$I$89,5,0)</f>
        <v>280.94039999999956</v>
      </c>
      <c r="P146" s="14">
        <f t="shared" si="141"/>
        <v>67.165703636653078</v>
      </c>
      <c r="Q146" s="22">
        <f t="shared" si="108"/>
        <v>606.28479716716993</v>
      </c>
      <c r="R146" s="62">
        <f t="shared" si="109"/>
        <v>899.61813050050318</v>
      </c>
      <c r="S146" s="62">
        <f ca="1">AVERAGE(OFFSET($R$3,0,0,'Données projet'!$E$9+1,1))-AVERAGE(OFFSET($H$3,0,0,'Données projet'!$E$9+1,1))</f>
        <v>509.56241660612449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-9.7543306765146564E-14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625.17723604265689</v>
      </c>
      <c r="AO146" s="62">
        <f t="shared" si="144"/>
        <v>462.33909258902241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5.4092197387944907E-14</v>
      </c>
      <c r="BF146" s="14">
        <f t="shared" si="145"/>
        <v>8.7287050538073676E-13</v>
      </c>
      <c r="BG146" s="22">
        <f t="shared" si="115"/>
        <v>1.6144600406554537E-12</v>
      </c>
      <c r="BH146" s="62">
        <f t="shared" si="116"/>
        <v>293.33333333333491</v>
      </c>
      <c r="BI146" s="62">
        <f ca="1">AVERAGE(OFFSET($BH$3,0,0,'Données projet'!$E$11+1,1))-AVERAGE(OFFSET($H$3,0,0,'Données projet'!$E$11+1,1))</f>
        <v>406.24139966722936</v>
      </c>
      <c r="BJ146" s="62">
        <f t="shared" si="146"/>
        <v>295.95724296920577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3.5</v>
      </c>
      <c r="BY146" s="13">
        <f>IF('Données projet'!$A$114&gt;35,BY145+BX146-CG145,IF(A146&lt;'Données projet'!$A$114,$BV$205^A146,IF(A146='Données projet'!$A$114,'Données projet'!$B$114,BY145+BX146-CG145)))</f>
        <v>310.49999999999955</v>
      </c>
      <c r="BZ146" s="14">
        <f>BY146*VLOOKUP('Données projet'!$B$12,Paramètres!$A$1:$I$89,3,0)*VLOOKUP('Données projet'!$B$12,Paramètres!$A$1:$I$89,5,0)</f>
        <v>314.84699999999953</v>
      </c>
      <c r="CA146" s="14">
        <f t="shared" si="147"/>
        <v>74.280160874050353</v>
      </c>
      <c r="CB146" s="22">
        <f t="shared" si="118"/>
        <v>677.7298051889702</v>
      </c>
      <c r="CC146" s="62">
        <f t="shared" si="119"/>
        <v>971.06313852230346</v>
      </c>
      <c r="CD146" s="62">
        <f ca="1">AVERAGE(OFFSET($CC$3,0,0,'Données projet'!$E$12+1,1))-AVERAGE(OFFSET($H$3,0,0,'Données projet'!$E$12+1,1))</f>
        <v>565.72091871734051</v>
      </c>
      <c r="CE146" s="62">
        <f t="shared" si="148"/>
        <v>306.61893266146666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4.9658410716801891E-14</v>
      </c>
      <c r="CV146" s="14">
        <f t="shared" si="149"/>
        <v>8.0934058173791862E-13</v>
      </c>
      <c r="CW146" s="22">
        <f t="shared" si="121"/>
        <v>1.4960899118586383E-12</v>
      </c>
      <c r="CX146" s="62">
        <f t="shared" si="122"/>
        <v>293.33333333333479</v>
      </c>
      <c r="CY146" s="62">
        <f ca="1">AVERAGE(OFFSET($CX$3,0,0,'Données projet'!$E$13+1,1))-AVERAGE(OFFSET($H$3,0,0,'Données projet'!$E$13+1,1))</f>
        <v>333.56306908115238</v>
      </c>
      <c r="CZ146" s="62">
        <f t="shared" si="150"/>
        <v>523.65456887919618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4.5474735088646412E-13</v>
      </c>
      <c r="DP146" s="18">
        <f>DO146*VLOOKUP('Données projet'!$B$14,Paramètres!$A$1:$I$89,3,0)*VLOOKUP('Données projet'!$B$14,Paramètres!$A$1:$I$89,5,0)</f>
        <v>3.3342075766995548E-13</v>
      </c>
      <c r="DQ146" s="14">
        <f t="shared" si="151"/>
        <v>4.3537988100583648E-12</v>
      </c>
      <c r="DR146" s="22">
        <f t="shared" si="124"/>
        <v>8.1635740804601579E-12</v>
      </c>
      <c r="DS146" s="62">
        <f t="shared" si="125"/>
        <v>293.3333333333415</v>
      </c>
      <c r="DT146" s="62">
        <f ca="1">AVERAGE(OFFSET($DS$3,0,0,'Données projet'!$E$14+1,1))-AVERAGE(OFFSET($H$3,0,0,'Données projet'!$E$14+1,1))</f>
        <v>397.24714625007675</v>
      </c>
      <c r="DU146" s="62">
        <f t="shared" si="152"/>
        <v>431.75775520200608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9">
        <f t="shared" si="110"/>
        <v>256.66666666666669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313.99999999999955</v>
      </c>
      <c r="O147" s="14">
        <f>N147*VLOOKUP('Données projet'!$B$9,Paramètres!$A$1:$I$89,3,0)*VLOOKUP('Données projet'!$B$9,Paramètres!$A$1:$I$89,5,0)</f>
        <v>284.10719999999958</v>
      </c>
      <c r="P147" s="14">
        <f t="shared" si="141"/>
        <v>67.834241327943658</v>
      </c>
      <c r="Q147" s="22">
        <f t="shared" si="108"/>
        <v>612.96467697950118</v>
      </c>
      <c r="R147" s="62">
        <f t="shared" si="109"/>
        <v>906.29801031283455</v>
      </c>
      <c r="S147" s="62">
        <f ca="1">AVERAGE(OFFSET($R$3,0,0,'Données projet'!$E$9+1,1))-AVERAGE(OFFSET($H$3,0,0,'Données projet'!$E$9+1,1))</f>
        <v>509.56241660612449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-9.7543306765146564E-14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625.17723604265689</v>
      </c>
      <c r="AO147" s="62">
        <f t="shared" si="144"/>
        <v>462.33909258902241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5.4092197387944907E-14</v>
      </c>
      <c r="BF147" s="14">
        <f t="shared" si="145"/>
        <v>8.7287050538073676E-13</v>
      </c>
      <c r="BG147" s="22">
        <f t="shared" si="115"/>
        <v>1.6144600406554537E-12</v>
      </c>
      <c r="BH147" s="62">
        <f t="shared" si="116"/>
        <v>293.33333333333491</v>
      </c>
      <c r="BI147" s="62">
        <f ca="1">AVERAGE(OFFSET($BH$3,0,0,'Données projet'!$E$11+1,1))-AVERAGE(OFFSET($H$3,0,0,'Données projet'!$E$11+1,1))</f>
        <v>406.24139966722936</v>
      </c>
      <c r="BJ147" s="62">
        <f t="shared" si="146"/>
        <v>295.95724296920577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3.5</v>
      </c>
      <c r="BY147" s="13">
        <f>IF('Données projet'!$A$114&gt;35,BY146+BX147-CG146,IF(A147&lt;'Données projet'!$A$114,$BV$205^A147,IF(A147='Données projet'!$A$114,'Données projet'!$B$114,BY146+BX147-CG146)))</f>
        <v>313.99999999999955</v>
      </c>
      <c r="BZ147" s="14">
        <f>BY147*VLOOKUP('Données projet'!$B$12,Paramètres!$A$1:$I$89,3,0)*VLOOKUP('Données projet'!$B$12,Paramètres!$A$1:$I$89,5,0)</f>
        <v>318.39599999999956</v>
      </c>
      <c r="CA147" s="14">
        <f t="shared" si="147"/>
        <v>75.019512724334874</v>
      </c>
      <c r="CB147" s="22">
        <f t="shared" si="118"/>
        <v>685.19868466154912</v>
      </c>
      <c r="CC147" s="62">
        <f t="shared" si="119"/>
        <v>978.53201799488238</v>
      </c>
      <c r="CD147" s="62">
        <f ca="1">AVERAGE(OFFSET($CC$3,0,0,'Données projet'!$E$12+1,1))-AVERAGE(OFFSET($H$3,0,0,'Données projet'!$E$12+1,1))</f>
        <v>565.72091871734051</v>
      </c>
      <c r="CE147" s="62">
        <f t="shared" si="148"/>
        <v>306.61893266146666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4.9658410716801891E-14</v>
      </c>
      <c r="CV147" s="14">
        <f t="shared" si="149"/>
        <v>8.0934058173791862E-13</v>
      </c>
      <c r="CW147" s="22">
        <f t="shared" si="121"/>
        <v>1.4960899118586383E-12</v>
      </c>
      <c r="CX147" s="62">
        <f t="shared" si="122"/>
        <v>293.33333333333479</v>
      </c>
      <c r="CY147" s="62">
        <f ca="1">AVERAGE(OFFSET($CX$3,0,0,'Données projet'!$E$13+1,1))-AVERAGE(OFFSET($H$3,0,0,'Données projet'!$E$13+1,1))</f>
        <v>333.56306908115238</v>
      </c>
      <c r="CZ147" s="62">
        <f t="shared" si="150"/>
        <v>523.65456887919618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4.5474735088646412E-13</v>
      </c>
      <c r="DP147" s="18">
        <f>DO147*VLOOKUP('Données projet'!$B$14,Paramètres!$A$1:$I$89,3,0)*VLOOKUP('Données projet'!$B$14,Paramètres!$A$1:$I$89,5,0)</f>
        <v>3.3342075766995548E-13</v>
      </c>
      <c r="DQ147" s="14">
        <f t="shared" si="151"/>
        <v>4.3537988100583648E-12</v>
      </c>
      <c r="DR147" s="22">
        <f t="shared" si="124"/>
        <v>8.1635740804601579E-12</v>
      </c>
      <c r="DS147" s="62">
        <f t="shared" si="125"/>
        <v>293.3333333333415</v>
      </c>
      <c r="DT147" s="62">
        <f ca="1">AVERAGE(OFFSET($DS$3,0,0,'Données projet'!$E$14+1,1))-AVERAGE(OFFSET($H$3,0,0,'Données projet'!$E$14+1,1))</f>
        <v>397.24714625007675</v>
      </c>
      <c r="DU147" s="62">
        <f t="shared" si="152"/>
        <v>431.75775520200608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9">
        <f t="shared" si="110"/>
        <v>256.66666666666669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317.49999999999955</v>
      </c>
      <c r="O148" s="14">
        <f>N148*VLOOKUP('Données projet'!$B$9,Paramètres!$A$1:$I$89,3,0)*VLOOKUP('Données projet'!$B$9,Paramètres!$A$1:$I$89,5,0)</f>
        <v>287.2739999999996</v>
      </c>
      <c r="P148" s="14">
        <f t="shared" si="141"/>
        <v>68.501912166991971</v>
      </c>
      <c r="Q148" s="22">
        <f t="shared" si="108"/>
        <v>619.64304702417701</v>
      </c>
      <c r="R148" s="62">
        <f t="shared" si="109"/>
        <v>912.97638035751038</v>
      </c>
      <c r="S148" s="62">
        <f ca="1">AVERAGE(OFFSET($R$3,0,0,'Données projet'!$E$9+1,1))-AVERAGE(OFFSET($H$3,0,0,'Données projet'!$E$9+1,1))</f>
        <v>509.56241660612449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-9.7543306765146564E-14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625.17723604265689</v>
      </c>
      <c r="AO148" s="62">
        <f t="shared" si="144"/>
        <v>462.33909258902241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5.4092197387944907E-14</v>
      </c>
      <c r="BF148" s="14">
        <f t="shared" si="145"/>
        <v>8.7287050538073676E-13</v>
      </c>
      <c r="BG148" s="22">
        <f t="shared" si="115"/>
        <v>1.6144600406554537E-12</v>
      </c>
      <c r="BH148" s="62">
        <f t="shared" si="116"/>
        <v>293.33333333333491</v>
      </c>
      <c r="BI148" s="62">
        <f ca="1">AVERAGE(OFFSET($BH$3,0,0,'Données projet'!$E$11+1,1))-AVERAGE(OFFSET($H$3,0,0,'Données projet'!$E$11+1,1))</f>
        <v>406.24139966722936</v>
      </c>
      <c r="BJ148" s="62">
        <f t="shared" si="146"/>
        <v>295.95724296920577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3.5</v>
      </c>
      <c r="BY148" s="13">
        <f>IF('Données projet'!$A$114&gt;35,BY147+BX148-CG147,IF(A148&lt;'Données projet'!$A$114,$BV$205^A148,IF(A148='Données projet'!$A$114,'Données projet'!$B$114,BY147+BX148-CG147)))</f>
        <v>317.49999999999955</v>
      </c>
      <c r="BZ148" s="14">
        <f>BY148*VLOOKUP('Données projet'!$B$12,Paramètres!$A$1:$I$89,3,0)*VLOOKUP('Données projet'!$B$12,Paramètres!$A$1:$I$89,5,0)</f>
        <v>321.9449999999996</v>
      </c>
      <c r="CA148" s="14">
        <f t="shared" si="147"/>
        <v>75.757905901955908</v>
      </c>
      <c r="CB148" s="22">
        <f t="shared" si="118"/>
        <v>692.66589444590579</v>
      </c>
      <c r="CC148" s="62">
        <f t="shared" si="119"/>
        <v>985.99922777923916</v>
      </c>
      <c r="CD148" s="62">
        <f ca="1">AVERAGE(OFFSET($CC$3,0,0,'Données projet'!$E$12+1,1))-AVERAGE(OFFSET($H$3,0,0,'Données projet'!$E$12+1,1))</f>
        <v>565.72091871734051</v>
      </c>
      <c r="CE148" s="62">
        <f t="shared" si="148"/>
        <v>306.61893266146666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4.9658410716801891E-14</v>
      </c>
      <c r="CV148" s="14">
        <f t="shared" si="149"/>
        <v>8.0934058173791862E-13</v>
      </c>
      <c r="CW148" s="22">
        <f t="shared" si="121"/>
        <v>1.4960899118586383E-12</v>
      </c>
      <c r="CX148" s="62">
        <f t="shared" si="122"/>
        <v>293.33333333333479</v>
      </c>
      <c r="CY148" s="62">
        <f ca="1">AVERAGE(OFFSET($CX$3,0,0,'Données projet'!$E$13+1,1))-AVERAGE(OFFSET($H$3,0,0,'Données projet'!$E$13+1,1))</f>
        <v>333.56306908115238</v>
      </c>
      <c r="CZ148" s="62">
        <f t="shared" si="150"/>
        <v>523.65456887919618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4.5474735088646412E-13</v>
      </c>
      <c r="DP148" s="18">
        <f>DO148*VLOOKUP('Données projet'!$B$14,Paramètres!$A$1:$I$89,3,0)*VLOOKUP('Données projet'!$B$14,Paramètres!$A$1:$I$89,5,0)</f>
        <v>3.3342075766995548E-13</v>
      </c>
      <c r="DQ148" s="14">
        <f t="shared" si="151"/>
        <v>4.3537988100583648E-12</v>
      </c>
      <c r="DR148" s="22">
        <f t="shared" si="124"/>
        <v>8.1635740804601579E-12</v>
      </c>
      <c r="DS148" s="62">
        <f t="shared" si="125"/>
        <v>293.3333333333415</v>
      </c>
      <c r="DT148" s="62">
        <f ca="1">AVERAGE(OFFSET($DS$3,0,0,'Données projet'!$E$14+1,1))-AVERAGE(OFFSET($H$3,0,0,'Données projet'!$E$14+1,1))</f>
        <v>397.24714625007675</v>
      </c>
      <c r="DU148" s="62">
        <f t="shared" si="152"/>
        <v>431.75775520200608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9">
        <f t="shared" si="110"/>
        <v>256.66666666666669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320.99999999999955</v>
      </c>
      <c r="O149" s="14">
        <f>N149*VLOOKUP('Données projet'!$B$9,Paramètres!$A$1:$I$89,3,0)*VLOOKUP('Données projet'!$B$9,Paramètres!$A$1:$I$89,5,0)</f>
        <v>290.44079999999957</v>
      </c>
      <c r="P149" s="14">
        <f t="shared" si="141"/>
        <v>69.168726815543238</v>
      </c>
      <c r="Q149" s="22">
        <f t="shared" si="108"/>
        <v>626.31992587040372</v>
      </c>
      <c r="R149" s="62">
        <f t="shared" si="109"/>
        <v>919.65325920373698</v>
      </c>
      <c r="S149" s="62">
        <f ca="1">AVERAGE(OFFSET($R$3,0,0,'Données projet'!$E$9+1,1))-AVERAGE(OFFSET($H$3,0,0,'Données projet'!$E$9+1,1))</f>
        <v>509.56241660612449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-9.7543306765146564E-14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625.17723604265689</v>
      </c>
      <c r="AO149" s="62">
        <f t="shared" si="144"/>
        <v>462.33909258902241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5.4092197387944907E-14</v>
      </c>
      <c r="BF149" s="14">
        <f t="shared" si="145"/>
        <v>8.7287050538073676E-13</v>
      </c>
      <c r="BG149" s="22">
        <f t="shared" si="115"/>
        <v>1.6144600406554537E-12</v>
      </c>
      <c r="BH149" s="62">
        <f t="shared" si="116"/>
        <v>293.33333333333491</v>
      </c>
      <c r="BI149" s="62">
        <f ca="1">AVERAGE(OFFSET($BH$3,0,0,'Données projet'!$E$11+1,1))-AVERAGE(OFFSET($H$3,0,0,'Données projet'!$E$11+1,1))</f>
        <v>406.24139966722936</v>
      </c>
      <c r="BJ149" s="62">
        <f t="shared" si="146"/>
        <v>295.95724296920577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3.5</v>
      </c>
      <c r="BY149" s="13">
        <f>IF('Données projet'!$A$114&gt;35,BY148+BX149-CG148,IF(A149&lt;'Données projet'!$A$114,$BV$205^A149,IF(A149='Données projet'!$A$114,'Données projet'!$B$114,BY148+BX149-CG148)))</f>
        <v>320.99999999999955</v>
      </c>
      <c r="BZ149" s="14">
        <f>BY149*VLOOKUP('Données projet'!$B$12,Paramètres!$A$1:$I$89,3,0)*VLOOKUP('Données projet'!$B$12,Paramètres!$A$1:$I$89,5,0)</f>
        <v>325.49399999999957</v>
      </c>
      <c r="CA149" s="14">
        <f t="shared" si="147"/>
        <v>76.495352197992801</v>
      </c>
      <c r="CB149" s="22">
        <f t="shared" si="118"/>
        <v>700.13145507817001</v>
      </c>
      <c r="CC149" s="62">
        <f t="shared" si="119"/>
        <v>993.46478841150338</v>
      </c>
      <c r="CD149" s="62">
        <f ca="1">AVERAGE(OFFSET($CC$3,0,0,'Données projet'!$E$12+1,1))-AVERAGE(OFFSET($H$3,0,0,'Données projet'!$E$12+1,1))</f>
        <v>565.72091871734051</v>
      </c>
      <c r="CE149" s="62">
        <f t="shared" si="148"/>
        <v>306.61893266146666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4.9658410716801891E-14</v>
      </c>
      <c r="CV149" s="14">
        <f t="shared" si="149"/>
        <v>8.0934058173791862E-13</v>
      </c>
      <c r="CW149" s="22">
        <f t="shared" si="121"/>
        <v>1.4960899118586383E-12</v>
      </c>
      <c r="CX149" s="62">
        <f t="shared" si="122"/>
        <v>293.33333333333479</v>
      </c>
      <c r="CY149" s="62">
        <f ca="1">AVERAGE(OFFSET($CX$3,0,0,'Données projet'!$E$13+1,1))-AVERAGE(OFFSET($H$3,0,0,'Données projet'!$E$13+1,1))</f>
        <v>333.56306908115238</v>
      </c>
      <c r="CZ149" s="62">
        <f t="shared" si="150"/>
        <v>523.65456887919618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4.5474735088646412E-13</v>
      </c>
      <c r="DP149" s="18">
        <f>DO149*VLOOKUP('Données projet'!$B$14,Paramètres!$A$1:$I$89,3,0)*VLOOKUP('Données projet'!$B$14,Paramètres!$A$1:$I$89,5,0)</f>
        <v>3.3342075766995548E-13</v>
      </c>
      <c r="DQ149" s="14">
        <f t="shared" si="151"/>
        <v>4.3537988100583648E-12</v>
      </c>
      <c r="DR149" s="22">
        <f t="shared" si="124"/>
        <v>8.1635740804601579E-12</v>
      </c>
      <c r="DS149" s="62">
        <f t="shared" si="125"/>
        <v>293.3333333333415</v>
      </c>
      <c r="DT149" s="62">
        <f ca="1">AVERAGE(OFFSET($DS$3,0,0,'Données projet'!$E$14+1,1))-AVERAGE(OFFSET($H$3,0,0,'Données projet'!$E$14+1,1))</f>
        <v>397.24714625007675</v>
      </c>
      <c r="DU149" s="62">
        <f t="shared" si="152"/>
        <v>431.75775520200608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9">
        <f t="shared" si="110"/>
        <v>256.66666666666669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324.49999999999955</v>
      </c>
      <c r="O150" s="14">
        <f>N150*VLOOKUP('Données projet'!$B$9,Paramètres!$A$1:$I$89,3,0)*VLOOKUP('Données projet'!$B$9,Paramètres!$A$1:$I$89,5,0)</f>
        <v>293.60759999999959</v>
      </c>
      <c r="P150" s="14">
        <f t="shared" si="141"/>
        <v>69.834695689453554</v>
      </c>
      <c r="Q150" s="22">
        <f t="shared" si="108"/>
        <v>632.99533165913078</v>
      </c>
      <c r="R150" s="62">
        <f t="shared" si="109"/>
        <v>926.32866499246416</v>
      </c>
      <c r="S150" s="62">
        <f ca="1">AVERAGE(OFFSET($R$3,0,0,'Données projet'!$E$9+1,1))-AVERAGE(OFFSET($H$3,0,0,'Données projet'!$E$9+1,1))</f>
        <v>509.56241660612449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-9.7543306765146564E-14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625.17723604265689</v>
      </c>
      <c r="AO150" s="62">
        <f t="shared" si="144"/>
        <v>462.33909258902241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5.4092197387944907E-14</v>
      </c>
      <c r="BF150" s="14">
        <f t="shared" si="145"/>
        <v>8.7287050538073676E-13</v>
      </c>
      <c r="BG150" s="22">
        <f t="shared" si="115"/>
        <v>1.6144600406554537E-12</v>
      </c>
      <c r="BH150" s="62">
        <f t="shared" si="116"/>
        <v>293.33333333333491</v>
      </c>
      <c r="BI150" s="62">
        <f ca="1">AVERAGE(OFFSET($BH$3,0,0,'Données projet'!$E$11+1,1))-AVERAGE(OFFSET($H$3,0,0,'Données projet'!$E$11+1,1))</f>
        <v>406.24139966722936</v>
      </c>
      <c r="BJ150" s="62">
        <f t="shared" si="146"/>
        <v>295.95724296920577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3.5</v>
      </c>
      <c r="BY150" s="13">
        <f>IF('Données projet'!$A$114&gt;35,BY149+BX150-CG149,IF(A150&lt;'Données projet'!$A$114,$BV$205^A150,IF(A150='Données projet'!$A$114,'Données projet'!$B$114,BY149+BX150-CG149)))</f>
        <v>324.49999999999955</v>
      </c>
      <c r="BZ150" s="14">
        <f>BY150*VLOOKUP('Données projet'!$B$12,Paramètres!$A$1:$I$89,3,0)*VLOOKUP('Données projet'!$B$12,Paramètres!$A$1:$I$89,5,0)</f>
        <v>329.04299999999955</v>
      </c>
      <c r="CA150" s="14">
        <f t="shared" si="147"/>
        <v>77.231863131590359</v>
      </c>
      <c r="CB150" s="22">
        <f t="shared" si="118"/>
        <v>707.59538662085242</v>
      </c>
      <c r="CC150" s="62">
        <f t="shared" si="119"/>
        <v>1000.9287199541857</v>
      </c>
      <c r="CD150" s="62">
        <f ca="1">AVERAGE(OFFSET($CC$3,0,0,'Données projet'!$E$12+1,1))-AVERAGE(OFFSET($H$3,0,0,'Données projet'!$E$12+1,1))</f>
        <v>565.72091871734051</v>
      </c>
      <c r="CE150" s="62">
        <f t="shared" si="148"/>
        <v>306.61893266146666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4.9658410716801891E-14</v>
      </c>
      <c r="CV150" s="14">
        <f t="shared" si="149"/>
        <v>8.0934058173791862E-13</v>
      </c>
      <c r="CW150" s="22">
        <f t="shared" si="121"/>
        <v>1.4960899118586383E-12</v>
      </c>
      <c r="CX150" s="62">
        <f t="shared" si="122"/>
        <v>293.33333333333479</v>
      </c>
      <c r="CY150" s="62">
        <f ca="1">AVERAGE(OFFSET($CX$3,0,0,'Données projet'!$E$13+1,1))-AVERAGE(OFFSET($H$3,0,0,'Données projet'!$E$13+1,1))</f>
        <v>333.56306908115238</v>
      </c>
      <c r="CZ150" s="62">
        <f t="shared" si="150"/>
        <v>523.65456887919618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4.5474735088646412E-13</v>
      </c>
      <c r="DP150" s="18">
        <f>DO150*VLOOKUP('Données projet'!$B$14,Paramètres!$A$1:$I$89,3,0)*VLOOKUP('Données projet'!$B$14,Paramètres!$A$1:$I$89,5,0)</f>
        <v>3.3342075766995548E-13</v>
      </c>
      <c r="DQ150" s="14">
        <f t="shared" si="151"/>
        <v>4.3537988100583648E-12</v>
      </c>
      <c r="DR150" s="22">
        <f t="shared" si="124"/>
        <v>8.1635740804601579E-12</v>
      </c>
      <c r="DS150" s="62">
        <f t="shared" si="125"/>
        <v>293.3333333333415</v>
      </c>
      <c r="DT150" s="62">
        <f ca="1">AVERAGE(OFFSET($DS$3,0,0,'Données projet'!$E$14+1,1))-AVERAGE(OFFSET($H$3,0,0,'Données projet'!$E$14+1,1))</f>
        <v>397.24714625007675</v>
      </c>
      <c r="DU150" s="62">
        <f t="shared" si="152"/>
        <v>431.75775520200608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9">
        <f t="shared" si="110"/>
        <v>256.66666666666669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327.99999999999955</v>
      </c>
      <c r="O151" s="14">
        <f>N151*VLOOKUP('Données projet'!$B$9,Paramètres!$A$1:$I$89,3,0)*VLOOKUP('Données projet'!$B$9,Paramètres!$A$1:$I$89,5,0)</f>
        <v>296.77439999999956</v>
      </c>
      <c r="P151" s="14">
        <f t="shared" si="141"/>
        <v>70.499828966950616</v>
      </c>
      <c r="Q151" s="22">
        <f t="shared" si="108"/>
        <v>639.66928211743823</v>
      </c>
      <c r="R151" s="62">
        <f t="shared" si="109"/>
        <v>933.0026154507716</v>
      </c>
      <c r="S151" s="62">
        <f ca="1">AVERAGE(OFFSET($R$3,0,0,'Données projet'!$E$9+1,1))-AVERAGE(OFFSET($H$3,0,0,'Données projet'!$E$9+1,1))</f>
        <v>509.56241660612449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-9.7543306765146564E-14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625.17723604265689</v>
      </c>
      <c r="AO151" s="62">
        <f t="shared" si="144"/>
        <v>462.33909258902241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5.4092197387944907E-14</v>
      </c>
      <c r="BF151" s="14">
        <f t="shared" si="145"/>
        <v>8.7287050538073676E-13</v>
      </c>
      <c r="BG151" s="22">
        <f t="shared" si="115"/>
        <v>1.6144600406554537E-12</v>
      </c>
      <c r="BH151" s="62">
        <f t="shared" si="116"/>
        <v>293.33333333333491</v>
      </c>
      <c r="BI151" s="62">
        <f ca="1">AVERAGE(OFFSET($BH$3,0,0,'Données projet'!$E$11+1,1))-AVERAGE(OFFSET($H$3,0,0,'Données projet'!$E$11+1,1))</f>
        <v>406.24139966722936</v>
      </c>
      <c r="BJ151" s="62">
        <f t="shared" si="146"/>
        <v>295.95724296920577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3.5</v>
      </c>
      <c r="BY151" s="13">
        <f>IF('Données projet'!$A$114&gt;35,BY150+BX151-CG150,IF(A151&lt;'Données projet'!$A$114,$BV$205^A151,IF(A151='Données projet'!$A$114,'Données projet'!$B$114,BY150+BX151-CG150)))</f>
        <v>327.99999999999955</v>
      </c>
      <c r="BZ151" s="14">
        <f>BY151*VLOOKUP('Données projet'!$B$12,Paramètres!$A$1:$I$89,3,0)*VLOOKUP('Données projet'!$B$12,Paramètres!$A$1:$I$89,5,0)</f>
        <v>332.59199999999953</v>
      </c>
      <c r="CA151" s="14">
        <f t="shared" si="147"/>
        <v>77.967449959094523</v>
      </c>
      <c r="CB151" s="22">
        <f t="shared" si="118"/>
        <v>715.05770867875538</v>
      </c>
      <c r="CC151" s="62">
        <f t="shared" si="119"/>
        <v>1008.3910420120887</v>
      </c>
      <c r="CD151" s="62">
        <f ca="1">AVERAGE(OFFSET($CC$3,0,0,'Données projet'!$E$12+1,1))-AVERAGE(OFFSET($H$3,0,0,'Données projet'!$E$12+1,1))</f>
        <v>565.72091871734051</v>
      </c>
      <c r="CE151" s="62">
        <f t="shared" si="148"/>
        <v>306.61893266146666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4.9658410716801891E-14</v>
      </c>
      <c r="CV151" s="14">
        <f t="shared" si="149"/>
        <v>8.0934058173791862E-13</v>
      </c>
      <c r="CW151" s="22">
        <f t="shared" si="121"/>
        <v>1.4960899118586383E-12</v>
      </c>
      <c r="CX151" s="62">
        <f t="shared" si="122"/>
        <v>293.33333333333479</v>
      </c>
      <c r="CY151" s="62">
        <f ca="1">AVERAGE(OFFSET($CX$3,0,0,'Données projet'!$E$13+1,1))-AVERAGE(OFFSET($H$3,0,0,'Données projet'!$E$13+1,1))</f>
        <v>333.56306908115238</v>
      </c>
      <c r="CZ151" s="62">
        <f t="shared" si="150"/>
        <v>523.65456887919618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4.5474735088646412E-13</v>
      </c>
      <c r="DP151" s="18">
        <f>DO151*VLOOKUP('Données projet'!$B$14,Paramètres!$A$1:$I$89,3,0)*VLOOKUP('Données projet'!$B$14,Paramètres!$A$1:$I$89,5,0)</f>
        <v>3.3342075766995548E-13</v>
      </c>
      <c r="DQ151" s="14">
        <f t="shared" si="151"/>
        <v>4.3537988100583648E-12</v>
      </c>
      <c r="DR151" s="22">
        <f t="shared" si="124"/>
        <v>8.1635740804601579E-12</v>
      </c>
      <c r="DS151" s="62">
        <f t="shared" si="125"/>
        <v>293.3333333333415</v>
      </c>
      <c r="DT151" s="62">
        <f ca="1">AVERAGE(OFFSET($DS$3,0,0,'Données projet'!$E$14+1,1))-AVERAGE(OFFSET($H$3,0,0,'Données projet'!$E$14+1,1))</f>
        <v>397.24714625007675</v>
      </c>
      <c r="DU151" s="62">
        <f t="shared" si="152"/>
        <v>431.75775520200608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9">
        <f t="shared" si="110"/>
        <v>256.66666666666669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331.49999999999955</v>
      </c>
      <c r="O152" s="14">
        <f>N152*VLOOKUP('Données projet'!$B$9,Paramètres!$A$1:$I$89,3,0)*VLOOKUP('Données projet'!$B$9,Paramètres!$A$1:$I$89,5,0)</f>
        <v>299.94119999999958</v>
      </c>
      <c r="P152" s="14">
        <f t="shared" si="141"/>
        <v>71.164136596531449</v>
      </c>
      <c r="Q152" s="22">
        <f t="shared" si="108"/>
        <v>646.34179457229163</v>
      </c>
      <c r="R152" s="62">
        <f t="shared" si="109"/>
        <v>939.675127905625</v>
      </c>
      <c r="S152" s="62">
        <f ca="1">AVERAGE(OFFSET($R$3,0,0,'Données projet'!$E$9+1,1))-AVERAGE(OFFSET($H$3,0,0,'Données projet'!$E$9+1,1))</f>
        <v>509.56241660612449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-9.7543306765146564E-14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625.17723604265689</v>
      </c>
      <c r="AO152" s="62">
        <f t="shared" si="144"/>
        <v>462.33909258902241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5.4092197387944907E-14</v>
      </c>
      <c r="BF152" s="14">
        <f t="shared" si="145"/>
        <v>8.7287050538073676E-13</v>
      </c>
      <c r="BG152" s="22">
        <f t="shared" si="115"/>
        <v>1.6144600406554537E-12</v>
      </c>
      <c r="BH152" s="62">
        <f t="shared" si="116"/>
        <v>293.33333333333491</v>
      </c>
      <c r="BI152" s="62">
        <f ca="1">AVERAGE(OFFSET($BH$3,0,0,'Données projet'!$E$11+1,1))-AVERAGE(OFFSET($H$3,0,0,'Données projet'!$E$11+1,1))</f>
        <v>406.24139966722936</v>
      </c>
      <c r="BJ152" s="62">
        <f t="shared" si="146"/>
        <v>295.95724296920577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3.5</v>
      </c>
      <c r="BY152" s="13">
        <f>IF('Données projet'!$A$114&gt;35,BY151+BX152-CG151,IF(A152&lt;'Données projet'!$A$114,$BV$205^A152,IF(A152='Données projet'!$A$114,'Données projet'!$B$114,BY151+BX152-CG151)))</f>
        <v>331.49999999999955</v>
      </c>
      <c r="BZ152" s="14">
        <f>BY152*VLOOKUP('Données projet'!$B$12,Paramètres!$A$1:$I$89,3,0)*VLOOKUP('Données projet'!$B$12,Paramètres!$A$1:$I$89,5,0)</f>
        <v>336.14099999999956</v>
      </c>
      <c r="CA152" s="14">
        <f t="shared" si="147"/>
        <v>78.702123682786379</v>
      </c>
      <c r="CB152" s="22">
        <f t="shared" si="118"/>
        <v>722.51844041418553</v>
      </c>
      <c r="CC152" s="62">
        <f t="shared" si="119"/>
        <v>1015.8517737475188</v>
      </c>
      <c r="CD152" s="62">
        <f ca="1">AVERAGE(OFFSET($CC$3,0,0,'Données projet'!$E$12+1,1))-AVERAGE(OFFSET($H$3,0,0,'Données projet'!$E$12+1,1))</f>
        <v>565.72091871734051</v>
      </c>
      <c r="CE152" s="62">
        <f t="shared" si="148"/>
        <v>306.61893266146666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4.9658410716801891E-14</v>
      </c>
      <c r="CV152" s="14">
        <f t="shared" si="149"/>
        <v>8.0934058173791862E-13</v>
      </c>
      <c r="CW152" s="22">
        <f t="shared" si="121"/>
        <v>1.4960899118586383E-12</v>
      </c>
      <c r="CX152" s="62">
        <f t="shared" si="122"/>
        <v>293.33333333333479</v>
      </c>
      <c r="CY152" s="62">
        <f ca="1">AVERAGE(OFFSET($CX$3,0,0,'Données projet'!$E$13+1,1))-AVERAGE(OFFSET($H$3,0,0,'Données projet'!$E$13+1,1))</f>
        <v>333.56306908115238</v>
      </c>
      <c r="CZ152" s="62">
        <f t="shared" si="150"/>
        <v>523.65456887919618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4.5474735088646412E-13</v>
      </c>
      <c r="DP152" s="18">
        <f>DO152*VLOOKUP('Données projet'!$B$14,Paramètres!$A$1:$I$89,3,0)*VLOOKUP('Données projet'!$B$14,Paramètres!$A$1:$I$89,5,0)</f>
        <v>3.3342075766995548E-13</v>
      </c>
      <c r="DQ152" s="14">
        <f t="shared" si="151"/>
        <v>4.3537988100583648E-12</v>
      </c>
      <c r="DR152" s="22">
        <f t="shared" si="124"/>
        <v>8.1635740804601579E-12</v>
      </c>
      <c r="DS152" s="62">
        <f t="shared" si="125"/>
        <v>293.3333333333415</v>
      </c>
      <c r="DT152" s="62">
        <f ca="1">AVERAGE(OFFSET($DS$3,0,0,'Données projet'!$E$14+1,1))-AVERAGE(OFFSET($H$3,0,0,'Données projet'!$E$14+1,1))</f>
        <v>397.24714625007675</v>
      </c>
      <c r="DU152" s="62">
        <f t="shared" si="152"/>
        <v>431.75775520200608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9">
        <f t="shared" si="110"/>
        <v>256.66666666666669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335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334.99999999999955</v>
      </c>
      <c r="O153" s="14">
        <f>N153*VLOOKUP('Données projet'!$B$9,Paramètres!$A$1:$I$89,3,0)*VLOOKUP('Données projet'!$B$9,Paramètres!$A$1:$I$89,5,0)</f>
        <v>303.10799999999961</v>
      </c>
      <c r="P153" s="14">
        <f t="shared" si="141"/>
        <v>71.827628304517162</v>
      </c>
      <c r="Q153" s="22">
        <f t="shared" si="108"/>
        <v>653.0128859637</v>
      </c>
      <c r="R153" s="62">
        <f t="shared" si="109"/>
        <v>946.34621929703326</v>
      </c>
      <c r="S153" s="62">
        <f ca="1">AVERAGE(OFFSET($R$3,0,0,'Données projet'!$E$9+1,1))-AVERAGE(OFFSET($H$3,0,0,'Données projet'!$E$9+1,1))</f>
        <v>509.56241660612449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335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-9.7543306765146564E-14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625.17723604265689</v>
      </c>
      <c r="AO153" s="62">
        <f t="shared" si="144"/>
        <v>462.33909258902241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5.4092197387944907E-14</v>
      </c>
      <c r="BF153" s="14">
        <f t="shared" si="145"/>
        <v>8.7287050538073676E-13</v>
      </c>
      <c r="BG153" s="22">
        <f t="shared" si="115"/>
        <v>1.6144600406554537E-12</v>
      </c>
      <c r="BH153" s="62">
        <f t="shared" si="116"/>
        <v>293.33333333333491</v>
      </c>
      <c r="BI153" s="62">
        <f ca="1">AVERAGE(OFFSET($BH$3,0,0,'Données projet'!$E$11+1,1))-AVERAGE(OFFSET($H$3,0,0,'Données projet'!$E$11+1,1))</f>
        <v>406.24139966722936</v>
      </c>
      <c r="BJ153" s="62">
        <f t="shared" si="146"/>
        <v>295.95724296920577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335</v>
      </c>
      <c r="BW153" s="13">
        <f>VLOOKUP(A153,'Données projet'!$A$113:$I$133,9,0)</f>
        <v>3.5</v>
      </c>
      <c r="BX153" s="13">
        <f t="array" ref="BX153">INDEX(BW:BW,MIN(IF(ISNUMBER(BW153:BW349),ROW(BW153:BW349),"")))</f>
        <v>3.5</v>
      </c>
      <c r="BY153" s="13">
        <f>IF('Données projet'!$A$114&gt;35,BY152+BX153-CG152,IF(A153&lt;'Données projet'!$A$114,$BV$205^A153,IF(A153='Données projet'!$A$114,'Données projet'!$B$114,BY152+BX153-CG152)))</f>
        <v>334.99999999999955</v>
      </c>
      <c r="BZ153" s="14">
        <f>BY153*VLOOKUP('Données projet'!$B$12,Paramètres!$A$1:$I$89,3,0)*VLOOKUP('Données projet'!$B$12,Paramètres!$A$1:$I$89,5,0)</f>
        <v>339.68999999999954</v>
      </c>
      <c r="CA153" s="14">
        <f t="shared" si="147"/>
        <v>79.435895059237467</v>
      </c>
      <c r="CB153" s="22">
        <f t="shared" si="118"/>
        <v>729.97760056150446</v>
      </c>
      <c r="CC153" s="62">
        <f t="shared" si="119"/>
        <v>1023.3109338948377</v>
      </c>
      <c r="CD153" s="62">
        <f ca="1">AVERAGE(OFFSET($CC$3,0,0,'Données projet'!$E$12+1,1))-AVERAGE(OFFSET($H$3,0,0,'Données projet'!$E$12+1,1))</f>
        <v>565.72091871734051</v>
      </c>
      <c r="CE153" s="62">
        <f t="shared" si="148"/>
        <v>306.61893266146666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335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4.9658410716801891E-14</v>
      </c>
      <c r="CV153" s="14">
        <f t="shared" si="149"/>
        <v>8.0934058173791862E-13</v>
      </c>
      <c r="CW153" s="22">
        <f t="shared" si="121"/>
        <v>1.4960899118586383E-12</v>
      </c>
      <c r="CX153" s="62">
        <f t="shared" si="122"/>
        <v>293.33333333333479</v>
      </c>
      <c r="CY153" s="62">
        <f ca="1">AVERAGE(OFFSET($CX$3,0,0,'Données projet'!$E$13+1,1))-AVERAGE(OFFSET($H$3,0,0,'Données projet'!$E$13+1,1))</f>
        <v>333.56306908115238</v>
      </c>
      <c r="CZ153" s="62">
        <f t="shared" si="150"/>
        <v>523.65456887919618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4.5474735088646412E-13</v>
      </c>
      <c r="DP153" s="18">
        <f>DO153*VLOOKUP('Données projet'!$B$14,Paramètres!$A$1:$I$89,3,0)*VLOOKUP('Données projet'!$B$14,Paramètres!$A$1:$I$89,5,0)</f>
        <v>3.3342075766995548E-13</v>
      </c>
      <c r="DQ153" s="14">
        <f t="shared" si="151"/>
        <v>4.3537988100583648E-12</v>
      </c>
      <c r="DR153" s="22">
        <f t="shared" si="124"/>
        <v>8.1635740804601579E-12</v>
      </c>
      <c r="DS153" s="62">
        <f t="shared" si="125"/>
        <v>293.3333333333415</v>
      </c>
      <c r="DT153" s="62">
        <f ca="1">AVERAGE(OFFSET($DS$3,0,0,'Données projet'!$E$14+1,1))-AVERAGE(OFFSET($H$3,0,0,'Données projet'!$E$14+1,1))</f>
        <v>397.24714625007675</v>
      </c>
      <c r="DU153" s="62">
        <f t="shared" si="152"/>
        <v>431.75775520200608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9">
        <f t="shared" si="110"/>
        <v>256.66666666666669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-4.1145540308207271E-13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509.56241660612449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-9.7543306765146564E-14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625.17723604265689</v>
      </c>
      <c r="AO154" s="62">
        <f t="shared" si="144"/>
        <v>462.33909258902241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5.4092197387944907E-14</v>
      </c>
      <c r="BF154" s="14">
        <f t="shared" ref="BF154:BF203" si="167">EXP(-1.0587+0.8836*LN(BE154)+0.284)</f>
        <v>8.7287050538073676E-13</v>
      </c>
      <c r="BG154" s="22">
        <f t="shared" ref="BG154:BG203" si="168">(BE154+BF154)*0.475*44/12</f>
        <v>1.6144600406554537E-12</v>
      </c>
      <c r="BH154" s="62">
        <f t="shared" si="116"/>
        <v>293.33333333333491</v>
      </c>
      <c r="BI154" s="62">
        <f ca="1">AVERAGE(OFFSET($BH$3,0,0,'Données projet'!$E$11+1,1))-AVERAGE(OFFSET($H$3,0,0,'Données projet'!$E$11+1,1))</f>
        <v>406.24139966722936</v>
      </c>
      <c r="BJ154" s="62">
        <f t="shared" si="146"/>
        <v>295.95724296920577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-4.5474735088646412E-13</v>
      </c>
      <c r="BZ154" s="14">
        <f>BY154*VLOOKUP('Données projet'!$B$12,Paramètres!$A$1:$I$89,3,0)*VLOOKUP('Données projet'!$B$12,Paramètres!$A$1:$I$89,5,0)</f>
        <v>-4.6111381379887462E-13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565.72091871734051</v>
      </c>
      <c r="CE154" s="62">
        <f t="shared" si="148"/>
        <v>306.61893266146666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4.9658410716801891E-14</v>
      </c>
      <c r="CV154" s="14">
        <f t="shared" ref="CV154:CV203" si="173">EXP(-1.0587+0.8836*LN(CU154)+0.284)</f>
        <v>8.0934058173791862E-13</v>
      </c>
      <c r="CW154" s="22">
        <f t="shared" ref="CW154:CW203" si="174">(CU154+CV154)*0.475*44/12</f>
        <v>1.4960899118586383E-12</v>
      </c>
      <c r="CX154" s="62">
        <f t="shared" si="122"/>
        <v>293.33333333333479</v>
      </c>
      <c r="CY154" s="62">
        <f ca="1">AVERAGE(OFFSET($CX$3,0,0,'Données projet'!$E$13+1,1))-AVERAGE(OFFSET($H$3,0,0,'Données projet'!$E$13+1,1))</f>
        <v>333.56306908115238</v>
      </c>
      <c r="CZ154" s="62">
        <f t="shared" si="150"/>
        <v>523.65456887919618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4.5474735088646412E-13</v>
      </c>
      <c r="DP154" s="18">
        <f>DO154*VLOOKUP('Données projet'!$B$14,Paramètres!$A$1:$I$89,3,0)*VLOOKUP('Données projet'!$B$14,Paramètres!$A$1:$I$89,5,0)</f>
        <v>3.3342075766995548E-13</v>
      </c>
      <c r="DQ154" s="14">
        <f t="shared" ref="DQ154:DQ203" si="176">EXP(-1.0587+0.8836*LN(DP154)+0.284)</f>
        <v>4.3537988100583648E-12</v>
      </c>
      <c r="DR154" s="22">
        <f t="shared" ref="DR154:DR203" si="177">(DP154+DQ154)*0.475*44/12</f>
        <v>8.1635740804601579E-12</v>
      </c>
      <c r="DS154" s="62">
        <f t="shared" si="125"/>
        <v>293.3333333333415</v>
      </c>
      <c r="DT154" s="62">
        <f ca="1">AVERAGE(OFFSET($DS$3,0,0,'Données projet'!$E$14+1,1))-AVERAGE(OFFSET($H$3,0,0,'Données projet'!$E$14+1,1))</f>
        <v>397.24714625007675</v>
      </c>
      <c r="DU154" s="62">
        <f t="shared" si="152"/>
        <v>431.75775520200608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9">
        <f t="shared" si="110"/>
        <v>256.66666666666669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-4.1145540308207271E-13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509.56241660612449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-9.7543306765146564E-14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625.17723604265689</v>
      </c>
      <c r="AO155" s="62">
        <f t="shared" si="144"/>
        <v>462.33909258902241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5.4092197387944907E-14</v>
      </c>
      <c r="BF155" s="14">
        <f t="shared" si="167"/>
        <v>8.7287050538073676E-13</v>
      </c>
      <c r="BG155" s="22">
        <f t="shared" si="168"/>
        <v>1.6144600406554537E-12</v>
      </c>
      <c r="BH155" s="62">
        <f t="shared" si="116"/>
        <v>293.33333333333491</v>
      </c>
      <c r="BI155" s="62">
        <f ca="1">AVERAGE(OFFSET($BH$3,0,0,'Données projet'!$E$11+1,1))-AVERAGE(OFFSET($H$3,0,0,'Données projet'!$E$11+1,1))</f>
        <v>406.24139966722936</v>
      </c>
      <c r="BJ155" s="62">
        <f t="shared" si="146"/>
        <v>295.95724296920577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-4.5474735088646412E-13</v>
      </c>
      <c r="BZ155" s="14">
        <f>BY155*VLOOKUP('Données projet'!$B$12,Paramètres!$A$1:$I$89,3,0)*VLOOKUP('Données projet'!$B$12,Paramètres!$A$1:$I$89,5,0)</f>
        <v>-4.6111381379887462E-13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565.72091871734051</v>
      </c>
      <c r="CE155" s="62">
        <f t="shared" si="148"/>
        <v>306.61893266146666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4.9658410716801891E-14</v>
      </c>
      <c r="CV155" s="14">
        <f t="shared" si="173"/>
        <v>8.0934058173791862E-13</v>
      </c>
      <c r="CW155" s="22">
        <f t="shared" si="174"/>
        <v>1.4960899118586383E-12</v>
      </c>
      <c r="CX155" s="62">
        <f t="shared" si="122"/>
        <v>293.33333333333479</v>
      </c>
      <c r="CY155" s="62">
        <f ca="1">AVERAGE(OFFSET($CX$3,0,0,'Données projet'!$E$13+1,1))-AVERAGE(OFFSET($H$3,0,0,'Données projet'!$E$13+1,1))</f>
        <v>333.56306908115238</v>
      </c>
      <c r="CZ155" s="62">
        <f t="shared" si="150"/>
        <v>523.65456887919618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4.5474735088646412E-13</v>
      </c>
      <c r="DP155" s="18">
        <f>DO155*VLOOKUP('Données projet'!$B$14,Paramètres!$A$1:$I$89,3,0)*VLOOKUP('Données projet'!$B$14,Paramètres!$A$1:$I$89,5,0)</f>
        <v>3.3342075766995548E-13</v>
      </c>
      <c r="DQ155" s="14">
        <f t="shared" si="176"/>
        <v>4.3537988100583648E-12</v>
      </c>
      <c r="DR155" s="22">
        <f t="shared" si="177"/>
        <v>8.1635740804601579E-12</v>
      </c>
      <c r="DS155" s="62">
        <f t="shared" si="125"/>
        <v>293.3333333333415</v>
      </c>
      <c r="DT155" s="62">
        <f ca="1">AVERAGE(OFFSET($DS$3,0,0,'Données projet'!$E$14+1,1))-AVERAGE(OFFSET($H$3,0,0,'Données projet'!$E$14+1,1))</f>
        <v>397.24714625007675</v>
      </c>
      <c r="DU155" s="62">
        <f t="shared" si="152"/>
        <v>431.75775520200608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9">
        <f t="shared" si="110"/>
        <v>256.66666666666669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-4.1145540308207271E-13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509.56241660612449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-9.7543306765146564E-14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625.17723604265689</v>
      </c>
      <c r="AO156" s="62">
        <f t="shared" si="144"/>
        <v>462.33909258902241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5.4092197387944907E-14</v>
      </c>
      <c r="BF156" s="14">
        <f t="shared" si="167"/>
        <v>8.7287050538073676E-13</v>
      </c>
      <c r="BG156" s="22">
        <f t="shared" si="168"/>
        <v>1.6144600406554537E-12</v>
      </c>
      <c r="BH156" s="62">
        <f t="shared" si="116"/>
        <v>293.33333333333491</v>
      </c>
      <c r="BI156" s="62">
        <f ca="1">AVERAGE(OFFSET($BH$3,0,0,'Données projet'!$E$11+1,1))-AVERAGE(OFFSET($H$3,0,0,'Données projet'!$E$11+1,1))</f>
        <v>406.24139966722936</v>
      </c>
      <c r="BJ156" s="62">
        <f t="shared" si="146"/>
        <v>295.95724296920577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-4.5474735088646412E-13</v>
      </c>
      <c r="BZ156" s="14">
        <f>BY156*VLOOKUP('Données projet'!$B$12,Paramètres!$A$1:$I$89,3,0)*VLOOKUP('Données projet'!$B$12,Paramètres!$A$1:$I$89,5,0)</f>
        <v>-4.6111381379887462E-13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565.72091871734051</v>
      </c>
      <c r="CE156" s="62">
        <f t="shared" si="148"/>
        <v>306.61893266146666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4.9658410716801891E-14</v>
      </c>
      <c r="CV156" s="14">
        <f t="shared" si="173"/>
        <v>8.0934058173791862E-13</v>
      </c>
      <c r="CW156" s="22">
        <f t="shared" si="174"/>
        <v>1.4960899118586383E-12</v>
      </c>
      <c r="CX156" s="62">
        <f t="shared" si="122"/>
        <v>293.33333333333479</v>
      </c>
      <c r="CY156" s="62">
        <f ca="1">AVERAGE(OFFSET($CX$3,0,0,'Données projet'!$E$13+1,1))-AVERAGE(OFFSET($H$3,0,0,'Données projet'!$E$13+1,1))</f>
        <v>333.56306908115238</v>
      </c>
      <c r="CZ156" s="62">
        <f t="shared" si="150"/>
        <v>523.65456887919618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4.5474735088646412E-13</v>
      </c>
      <c r="DP156" s="18">
        <f>DO156*VLOOKUP('Données projet'!$B$14,Paramètres!$A$1:$I$89,3,0)*VLOOKUP('Données projet'!$B$14,Paramètres!$A$1:$I$89,5,0)</f>
        <v>3.3342075766995548E-13</v>
      </c>
      <c r="DQ156" s="14">
        <f t="shared" si="176"/>
        <v>4.3537988100583648E-12</v>
      </c>
      <c r="DR156" s="22">
        <f t="shared" si="177"/>
        <v>8.1635740804601579E-12</v>
      </c>
      <c r="DS156" s="62">
        <f t="shared" si="125"/>
        <v>293.3333333333415</v>
      </c>
      <c r="DT156" s="62">
        <f ca="1">AVERAGE(OFFSET($DS$3,0,0,'Données projet'!$E$14+1,1))-AVERAGE(OFFSET($H$3,0,0,'Données projet'!$E$14+1,1))</f>
        <v>397.24714625007675</v>
      </c>
      <c r="DU156" s="62">
        <f t="shared" si="152"/>
        <v>431.75775520200608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9">
        <f t="shared" si="110"/>
        <v>256.66666666666669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-4.1145540308207271E-13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509.56241660612449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-9.7543306765146564E-14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625.17723604265689</v>
      </c>
      <c r="AO157" s="62">
        <f t="shared" si="144"/>
        <v>462.33909258902241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5.4092197387944907E-14</v>
      </c>
      <c r="BF157" s="14">
        <f t="shared" si="167"/>
        <v>8.7287050538073676E-13</v>
      </c>
      <c r="BG157" s="22">
        <f t="shared" si="168"/>
        <v>1.6144600406554537E-12</v>
      </c>
      <c r="BH157" s="62">
        <f t="shared" si="116"/>
        <v>293.33333333333491</v>
      </c>
      <c r="BI157" s="62">
        <f ca="1">AVERAGE(OFFSET($BH$3,0,0,'Données projet'!$E$11+1,1))-AVERAGE(OFFSET($H$3,0,0,'Données projet'!$E$11+1,1))</f>
        <v>406.24139966722936</v>
      </c>
      <c r="BJ157" s="62">
        <f t="shared" si="146"/>
        <v>295.95724296920577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-4.5474735088646412E-13</v>
      </c>
      <c r="BZ157" s="14">
        <f>BY157*VLOOKUP('Données projet'!$B$12,Paramètres!$A$1:$I$89,3,0)*VLOOKUP('Données projet'!$B$12,Paramètres!$A$1:$I$89,5,0)</f>
        <v>-4.6111381379887462E-13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565.72091871734051</v>
      </c>
      <c r="CE157" s="62">
        <f t="shared" si="148"/>
        <v>306.61893266146666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4.9658410716801891E-14</v>
      </c>
      <c r="CV157" s="14">
        <f t="shared" si="173"/>
        <v>8.0934058173791862E-13</v>
      </c>
      <c r="CW157" s="22">
        <f t="shared" si="174"/>
        <v>1.4960899118586383E-12</v>
      </c>
      <c r="CX157" s="62">
        <f t="shared" si="122"/>
        <v>293.33333333333479</v>
      </c>
      <c r="CY157" s="62">
        <f ca="1">AVERAGE(OFFSET($CX$3,0,0,'Données projet'!$E$13+1,1))-AVERAGE(OFFSET($H$3,0,0,'Données projet'!$E$13+1,1))</f>
        <v>333.56306908115238</v>
      </c>
      <c r="CZ157" s="62">
        <f t="shared" si="150"/>
        <v>523.65456887919618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4.5474735088646412E-13</v>
      </c>
      <c r="DP157" s="18">
        <f>DO157*VLOOKUP('Données projet'!$B$14,Paramètres!$A$1:$I$89,3,0)*VLOOKUP('Données projet'!$B$14,Paramètres!$A$1:$I$89,5,0)</f>
        <v>3.3342075766995548E-13</v>
      </c>
      <c r="DQ157" s="14">
        <f t="shared" si="176"/>
        <v>4.3537988100583648E-12</v>
      </c>
      <c r="DR157" s="22">
        <f t="shared" si="177"/>
        <v>8.1635740804601579E-12</v>
      </c>
      <c r="DS157" s="62">
        <f t="shared" si="125"/>
        <v>293.3333333333415</v>
      </c>
      <c r="DT157" s="62">
        <f ca="1">AVERAGE(OFFSET($DS$3,0,0,'Données projet'!$E$14+1,1))-AVERAGE(OFFSET($H$3,0,0,'Données projet'!$E$14+1,1))</f>
        <v>397.24714625007675</v>
      </c>
      <c r="DU157" s="62">
        <f t="shared" si="152"/>
        <v>431.75775520200608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9">
        <f t="shared" si="110"/>
        <v>256.66666666666669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-4.1145540308207271E-13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509.56241660612449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-9.7543306765146564E-14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625.17723604265689</v>
      </c>
      <c r="AO158" s="62">
        <f t="shared" si="144"/>
        <v>462.33909258902241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5.4092197387944907E-14</v>
      </c>
      <c r="BF158" s="14">
        <f t="shared" si="167"/>
        <v>8.7287050538073676E-13</v>
      </c>
      <c r="BG158" s="22">
        <f t="shared" si="168"/>
        <v>1.6144600406554537E-12</v>
      </c>
      <c r="BH158" s="62">
        <f t="shared" si="116"/>
        <v>293.33333333333491</v>
      </c>
      <c r="BI158" s="62">
        <f ca="1">AVERAGE(OFFSET($BH$3,0,0,'Données projet'!$E$11+1,1))-AVERAGE(OFFSET($H$3,0,0,'Données projet'!$E$11+1,1))</f>
        <v>406.24139966722936</v>
      </c>
      <c r="BJ158" s="62">
        <f t="shared" si="146"/>
        <v>295.95724296920577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-4.5474735088646412E-13</v>
      </c>
      <c r="BZ158" s="14">
        <f>BY158*VLOOKUP('Données projet'!$B$12,Paramètres!$A$1:$I$89,3,0)*VLOOKUP('Données projet'!$B$12,Paramètres!$A$1:$I$89,5,0)</f>
        <v>-4.6111381379887462E-13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565.72091871734051</v>
      </c>
      <c r="CE158" s="62">
        <f t="shared" si="148"/>
        <v>306.61893266146666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4.9658410716801891E-14</v>
      </c>
      <c r="CV158" s="14">
        <f t="shared" si="173"/>
        <v>8.0934058173791862E-13</v>
      </c>
      <c r="CW158" s="22">
        <f t="shared" si="174"/>
        <v>1.4960899118586383E-12</v>
      </c>
      <c r="CX158" s="62">
        <f t="shared" si="122"/>
        <v>293.33333333333479</v>
      </c>
      <c r="CY158" s="62">
        <f ca="1">AVERAGE(OFFSET($CX$3,0,0,'Données projet'!$E$13+1,1))-AVERAGE(OFFSET($H$3,0,0,'Données projet'!$E$13+1,1))</f>
        <v>333.56306908115238</v>
      </c>
      <c r="CZ158" s="62">
        <f t="shared" si="150"/>
        <v>523.65456887919618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4.5474735088646412E-13</v>
      </c>
      <c r="DP158" s="18">
        <f>DO158*VLOOKUP('Données projet'!$B$14,Paramètres!$A$1:$I$89,3,0)*VLOOKUP('Données projet'!$B$14,Paramètres!$A$1:$I$89,5,0)</f>
        <v>3.3342075766995548E-13</v>
      </c>
      <c r="DQ158" s="14">
        <f t="shared" si="176"/>
        <v>4.3537988100583648E-12</v>
      </c>
      <c r="DR158" s="22">
        <f t="shared" si="177"/>
        <v>8.1635740804601579E-12</v>
      </c>
      <c r="DS158" s="62">
        <f t="shared" si="125"/>
        <v>293.3333333333415</v>
      </c>
      <c r="DT158" s="62">
        <f ca="1">AVERAGE(OFFSET($DS$3,0,0,'Données projet'!$E$14+1,1))-AVERAGE(OFFSET($H$3,0,0,'Données projet'!$E$14+1,1))</f>
        <v>397.24714625007675</v>
      </c>
      <c r="DU158" s="62">
        <f t="shared" si="152"/>
        <v>431.75775520200608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9">
        <f t="shared" si="110"/>
        <v>256.66666666666669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-4.1145540308207271E-13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509.56241660612449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-9.7543306765146564E-14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625.17723604265689</v>
      </c>
      <c r="AO159" s="62">
        <f t="shared" si="144"/>
        <v>462.33909258902241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5.4092197387944907E-14</v>
      </c>
      <c r="BF159" s="14">
        <f t="shared" si="167"/>
        <v>8.7287050538073676E-13</v>
      </c>
      <c r="BG159" s="22">
        <f t="shared" si="168"/>
        <v>1.6144600406554537E-12</v>
      </c>
      <c r="BH159" s="62">
        <f t="shared" si="116"/>
        <v>293.33333333333491</v>
      </c>
      <c r="BI159" s="62">
        <f ca="1">AVERAGE(OFFSET($BH$3,0,0,'Données projet'!$E$11+1,1))-AVERAGE(OFFSET($H$3,0,0,'Données projet'!$E$11+1,1))</f>
        <v>406.24139966722936</v>
      </c>
      <c r="BJ159" s="62">
        <f t="shared" si="146"/>
        <v>295.95724296920577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-4.5474735088646412E-13</v>
      </c>
      <c r="BZ159" s="14">
        <f>BY159*VLOOKUP('Données projet'!$B$12,Paramètres!$A$1:$I$89,3,0)*VLOOKUP('Données projet'!$B$12,Paramètres!$A$1:$I$89,5,0)</f>
        <v>-4.6111381379887462E-13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565.72091871734051</v>
      </c>
      <c r="CE159" s="62">
        <f t="shared" si="148"/>
        <v>306.61893266146666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4.9658410716801891E-14</v>
      </c>
      <c r="CV159" s="14">
        <f t="shared" si="173"/>
        <v>8.0934058173791862E-13</v>
      </c>
      <c r="CW159" s="22">
        <f t="shared" si="174"/>
        <v>1.4960899118586383E-12</v>
      </c>
      <c r="CX159" s="62">
        <f t="shared" si="122"/>
        <v>293.33333333333479</v>
      </c>
      <c r="CY159" s="62">
        <f ca="1">AVERAGE(OFFSET($CX$3,0,0,'Données projet'!$E$13+1,1))-AVERAGE(OFFSET($H$3,0,0,'Données projet'!$E$13+1,1))</f>
        <v>333.56306908115238</v>
      </c>
      <c r="CZ159" s="62">
        <f t="shared" si="150"/>
        <v>523.65456887919618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4.5474735088646412E-13</v>
      </c>
      <c r="DP159" s="18">
        <f>DO159*VLOOKUP('Données projet'!$B$14,Paramètres!$A$1:$I$89,3,0)*VLOOKUP('Données projet'!$B$14,Paramètres!$A$1:$I$89,5,0)</f>
        <v>3.3342075766995548E-13</v>
      </c>
      <c r="DQ159" s="14">
        <f t="shared" si="176"/>
        <v>4.3537988100583648E-12</v>
      </c>
      <c r="DR159" s="22">
        <f t="shared" si="177"/>
        <v>8.1635740804601579E-12</v>
      </c>
      <c r="DS159" s="62">
        <f t="shared" si="125"/>
        <v>293.3333333333415</v>
      </c>
      <c r="DT159" s="62">
        <f ca="1">AVERAGE(OFFSET($DS$3,0,0,'Données projet'!$E$14+1,1))-AVERAGE(OFFSET($H$3,0,0,'Données projet'!$E$14+1,1))</f>
        <v>397.24714625007675</v>
      </c>
      <c r="DU159" s="62">
        <f t="shared" si="152"/>
        <v>431.75775520200608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9">
        <f t="shared" si="110"/>
        <v>256.66666666666669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-4.1145540308207271E-13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509.56241660612449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-9.7543306765146564E-14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625.17723604265689</v>
      </c>
      <c r="AO160" s="62">
        <f t="shared" si="144"/>
        <v>462.33909258902241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5.4092197387944907E-14</v>
      </c>
      <c r="BF160" s="14">
        <f t="shared" si="167"/>
        <v>8.7287050538073676E-13</v>
      </c>
      <c r="BG160" s="22">
        <f t="shared" si="168"/>
        <v>1.6144600406554537E-12</v>
      </c>
      <c r="BH160" s="62">
        <f t="shared" si="116"/>
        <v>293.33333333333491</v>
      </c>
      <c r="BI160" s="62">
        <f ca="1">AVERAGE(OFFSET($BH$3,0,0,'Données projet'!$E$11+1,1))-AVERAGE(OFFSET($H$3,0,0,'Données projet'!$E$11+1,1))</f>
        <v>406.24139966722936</v>
      </c>
      <c r="BJ160" s="62">
        <f t="shared" si="146"/>
        <v>295.95724296920577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-4.5474735088646412E-13</v>
      </c>
      <c r="BZ160" s="14">
        <f>BY160*VLOOKUP('Données projet'!$B$12,Paramètres!$A$1:$I$89,3,0)*VLOOKUP('Données projet'!$B$12,Paramètres!$A$1:$I$89,5,0)</f>
        <v>-4.6111381379887462E-13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565.72091871734051</v>
      </c>
      <c r="CE160" s="62">
        <f t="shared" si="148"/>
        <v>306.61893266146666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4.9658410716801891E-14</v>
      </c>
      <c r="CV160" s="14">
        <f t="shared" si="173"/>
        <v>8.0934058173791862E-13</v>
      </c>
      <c r="CW160" s="22">
        <f t="shared" si="174"/>
        <v>1.4960899118586383E-12</v>
      </c>
      <c r="CX160" s="62">
        <f t="shared" si="122"/>
        <v>293.33333333333479</v>
      </c>
      <c r="CY160" s="62">
        <f ca="1">AVERAGE(OFFSET($CX$3,0,0,'Données projet'!$E$13+1,1))-AVERAGE(OFFSET($H$3,0,0,'Données projet'!$E$13+1,1))</f>
        <v>333.56306908115238</v>
      </c>
      <c r="CZ160" s="62">
        <f t="shared" si="150"/>
        <v>523.65456887919618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4.5474735088646412E-13</v>
      </c>
      <c r="DP160" s="18">
        <f>DO160*VLOOKUP('Données projet'!$B$14,Paramètres!$A$1:$I$89,3,0)*VLOOKUP('Données projet'!$B$14,Paramètres!$A$1:$I$89,5,0)</f>
        <v>3.3342075766995548E-13</v>
      </c>
      <c r="DQ160" s="14">
        <f t="shared" si="176"/>
        <v>4.3537988100583648E-12</v>
      </c>
      <c r="DR160" s="22">
        <f t="shared" si="177"/>
        <v>8.1635740804601579E-12</v>
      </c>
      <c r="DS160" s="62">
        <f t="shared" si="125"/>
        <v>293.3333333333415</v>
      </c>
      <c r="DT160" s="62">
        <f ca="1">AVERAGE(OFFSET($DS$3,0,0,'Données projet'!$E$14+1,1))-AVERAGE(OFFSET($H$3,0,0,'Données projet'!$E$14+1,1))</f>
        <v>397.24714625007675</v>
      </c>
      <c r="DU160" s="62">
        <f t="shared" si="152"/>
        <v>431.75775520200608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9">
        <f t="shared" si="110"/>
        <v>256.66666666666669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-4.1145540308207271E-13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509.56241660612449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-9.7543306765146564E-14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625.17723604265689</v>
      </c>
      <c r="AO161" s="62">
        <f t="shared" si="144"/>
        <v>462.33909258902241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5.4092197387944907E-14</v>
      </c>
      <c r="BF161" s="14">
        <f t="shared" si="167"/>
        <v>8.7287050538073676E-13</v>
      </c>
      <c r="BG161" s="22">
        <f t="shared" si="168"/>
        <v>1.6144600406554537E-12</v>
      </c>
      <c r="BH161" s="62">
        <f t="shared" si="116"/>
        <v>293.33333333333491</v>
      </c>
      <c r="BI161" s="62">
        <f ca="1">AVERAGE(OFFSET($BH$3,0,0,'Données projet'!$E$11+1,1))-AVERAGE(OFFSET($H$3,0,0,'Données projet'!$E$11+1,1))</f>
        <v>406.24139966722936</v>
      </c>
      <c r="BJ161" s="62">
        <f t="shared" si="146"/>
        <v>295.95724296920577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-4.5474735088646412E-13</v>
      </c>
      <c r="BZ161" s="14">
        <f>BY161*VLOOKUP('Données projet'!$B$12,Paramètres!$A$1:$I$89,3,0)*VLOOKUP('Données projet'!$B$12,Paramètres!$A$1:$I$89,5,0)</f>
        <v>-4.6111381379887462E-13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565.72091871734051</v>
      </c>
      <c r="CE161" s="62">
        <f t="shared" si="148"/>
        <v>306.61893266146666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4.9658410716801891E-14</v>
      </c>
      <c r="CV161" s="14">
        <f t="shared" si="173"/>
        <v>8.0934058173791862E-13</v>
      </c>
      <c r="CW161" s="22">
        <f t="shared" si="174"/>
        <v>1.4960899118586383E-12</v>
      </c>
      <c r="CX161" s="62">
        <f t="shared" si="122"/>
        <v>293.33333333333479</v>
      </c>
      <c r="CY161" s="62">
        <f ca="1">AVERAGE(OFFSET($CX$3,0,0,'Données projet'!$E$13+1,1))-AVERAGE(OFFSET($H$3,0,0,'Données projet'!$E$13+1,1))</f>
        <v>333.56306908115238</v>
      </c>
      <c r="CZ161" s="62">
        <f t="shared" si="150"/>
        <v>523.65456887919618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4.5474735088646412E-13</v>
      </c>
      <c r="DP161" s="18">
        <f>DO161*VLOOKUP('Données projet'!$B$14,Paramètres!$A$1:$I$89,3,0)*VLOOKUP('Données projet'!$B$14,Paramètres!$A$1:$I$89,5,0)</f>
        <v>3.3342075766995548E-13</v>
      </c>
      <c r="DQ161" s="14">
        <f t="shared" si="176"/>
        <v>4.3537988100583648E-12</v>
      </c>
      <c r="DR161" s="22">
        <f t="shared" si="177"/>
        <v>8.1635740804601579E-12</v>
      </c>
      <c r="DS161" s="62">
        <f t="shared" si="125"/>
        <v>293.3333333333415</v>
      </c>
      <c r="DT161" s="62">
        <f ca="1">AVERAGE(OFFSET($DS$3,0,0,'Données projet'!$E$14+1,1))-AVERAGE(OFFSET($H$3,0,0,'Données projet'!$E$14+1,1))</f>
        <v>397.24714625007675</v>
      </c>
      <c r="DU161" s="62">
        <f t="shared" si="152"/>
        <v>431.75775520200608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9">
        <f t="shared" si="110"/>
        <v>256.66666666666669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-4.1145540308207271E-13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509.56241660612449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-9.7543306765146564E-14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625.17723604265689</v>
      </c>
      <c r="AO162" s="62">
        <f t="shared" si="144"/>
        <v>462.33909258902241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5.4092197387944907E-14</v>
      </c>
      <c r="BF162" s="14">
        <f t="shared" si="167"/>
        <v>8.7287050538073676E-13</v>
      </c>
      <c r="BG162" s="22">
        <f t="shared" si="168"/>
        <v>1.6144600406554537E-12</v>
      </c>
      <c r="BH162" s="62">
        <f t="shared" si="116"/>
        <v>293.33333333333491</v>
      </c>
      <c r="BI162" s="62">
        <f ca="1">AVERAGE(OFFSET($BH$3,0,0,'Données projet'!$E$11+1,1))-AVERAGE(OFFSET($H$3,0,0,'Données projet'!$E$11+1,1))</f>
        <v>406.24139966722936</v>
      </c>
      <c r="BJ162" s="62">
        <f t="shared" si="146"/>
        <v>295.95724296920577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-4.5474735088646412E-13</v>
      </c>
      <c r="BZ162" s="14">
        <f>BY162*VLOOKUP('Données projet'!$B$12,Paramètres!$A$1:$I$89,3,0)*VLOOKUP('Données projet'!$B$12,Paramètres!$A$1:$I$89,5,0)</f>
        <v>-4.6111381379887462E-13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565.72091871734051</v>
      </c>
      <c r="CE162" s="62">
        <f t="shared" si="148"/>
        <v>306.61893266146666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4.9658410716801891E-14</v>
      </c>
      <c r="CV162" s="14">
        <f t="shared" si="173"/>
        <v>8.0934058173791862E-13</v>
      </c>
      <c r="CW162" s="22">
        <f t="shared" si="174"/>
        <v>1.4960899118586383E-12</v>
      </c>
      <c r="CX162" s="62">
        <f t="shared" si="122"/>
        <v>293.33333333333479</v>
      </c>
      <c r="CY162" s="62">
        <f ca="1">AVERAGE(OFFSET($CX$3,0,0,'Données projet'!$E$13+1,1))-AVERAGE(OFFSET($H$3,0,0,'Données projet'!$E$13+1,1))</f>
        <v>333.56306908115238</v>
      </c>
      <c r="CZ162" s="62">
        <f t="shared" si="150"/>
        <v>523.65456887919618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4.5474735088646412E-13</v>
      </c>
      <c r="DP162" s="18">
        <f>DO162*VLOOKUP('Données projet'!$B$14,Paramètres!$A$1:$I$89,3,0)*VLOOKUP('Données projet'!$B$14,Paramètres!$A$1:$I$89,5,0)</f>
        <v>3.3342075766995548E-13</v>
      </c>
      <c r="DQ162" s="14">
        <f t="shared" si="176"/>
        <v>4.3537988100583648E-12</v>
      </c>
      <c r="DR162" s="22">
        <f t="shared" si="177"/>
        <v>8.1635740804601579E-12</v>
      </c>
      <c r="DS162" s="62">
        <f t="shared" si="125"/>
        <v>293.3333333333415</v>
      </c>
      <c r="DT162" s="62">
        <f ca="1">AVERAGE(OFFSET($DS$3,0,0,'Données projet'!$E$14+1,1))-AVERAGE(OFFSET($H$3,0,0,'Données projet'!$E$14+1,1))</f>
        <v>397.24714625007675</v>
      </c>
      <c r="DU162" s="62">
        <f t="shared" si="152"/>
        <v>431.75775520200608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9">
        <f t="shared" si="110"/>
        <v>256.66666666666669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-4.1145540308207271E-13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509.56241660612449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-9.7543306765146564E-14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625.17723604265689</v>
      </c>
      <c r="AO163" s="62">
        <f t="shared" si="144"/>
        <v>462.33909258902241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5.4092197387944907E-14</v>
      </c>
      <c r="BF163" s="14">
        <f t="shared" si="167"/>
        <v>8.7287050538073676E-13</v>
      </c>
      <c r="BG163" s="22">
        <f t="shared" si="168"/>
        <v>1.6144600406554537E-12</v>
      </c>
      <c r="BH163" s="62">
        <f t="shared" si="116"/>
        <v>293.33333333333491</v>
      </c>
      <c r="BI163" s="62">
        <f ca="1">AVERAGE(OFFSET($BH$3,0,0,'Données projet'!$E$11+1,1))-AVERAGE(OFFSET($H$3,0,0,'Données projet'!$E$11+1,1))</f>
        <v>406.24139966722936</v>
      </c>
      <c r="BJ163" s="62">
        <f t="shared" si="146"/>
        <v>295.95724296920577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-4.5474735088646412E-13</v>
      </c>
      <c r="BZ163" s="14">
        <f>BY163*VLOOKUP('Données projet'!$B$12,Paramètres!$A$1:$I$89,3,0)*VLOOKUP('Données projet'!$B$12,Paramètres!$A$1:$I$89,5,0)</f>
        <v>-4.6111381379887462E-13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565.72091871734051</v>
      </c>
      <c r="CE163" s="62">
        <f t="shared" si="148"/>
        <v>306.61893266146666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4.9658410716801891E-14</v>
      </c>
      <c r="CV163" s="14">
        <f t="shared" si="173"/>
        <v>8.0934058173791862E-13</v>
      </c>
      <c r="CW163" s="22">
        <f t="shared" si="174"/>
        <v>1.4960899118586383E-12</v>
      </c>
      <c r="CX163" s="62">
        <f t="shared" si="122"/>
        <v>293.33333333333479</v>
      </c>
      <c r="CY163" s="62">
        <f ca="1">AVERAGE(OFFSET($CX$3,0,0,'Données projet'!$E$13+1,1))-AVERAGE(OFFSET($H$3,0,0,'Données projet'!$E$13+1,1))</f>
        <v>333.56306908115238</v>
      </c>
      <c r="CZ163" s="62">
        <f t="shared" si="150"/>
        <v>523.65456887919618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4.5474735088646412E-13</v>
      </c>
      <c r="DP163" s="18">
        <f>DO163*VLOOKUP('Données projet'!$B$14,Paramètres!$A$1:$I$89,3,0)*VLOOKUP('Données projet'!$B$14,Paramètres!$A$1:$I$89,5,0)</f>
        <v>3.3342075766995548E-13</v>
      </c>
      <c r="DQ163" s="14">
        <f t="shared" si="176"/>
        <v>4.3537988100583648E-12</v>
      </c>
      <c r="DR163" s="22">
        <f t="shared" si="177"/>
        <v>8.1635740804601579E-12</v>
      </c>
      <c r="DS163" s="62">
        <f t="shared" si="125"/>
        <v>293.3333333333415</v>
      </c>
      <c r="DT163" s="62">
        <f ca="1">AVERAGE(OFFSET($DS$3,0,0,'Données projet'!$E$14+1,1))-AVERAGE(OFFSET($H$3,0,0,'Données projet'!$E$14+1,1))</f>
        <v>397.24714625007675</v>
      </c>
      <c r="DU163" s="62">
        <f t="shared" si="152"/>
        <v>431.75775520200608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9">
        <f t="shared" si="110"/>
        <v>256.66666666666669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-4.1145540308207271E-13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509.56241660612449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-9.7543306765146564E-14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625.17723604265689</v>
      </c>
      <c r="AO164" s="62">
        <f t="shared" si="144"/>
        <v>462.33909258902241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5.4092197387944907E-14</v>
      </c>
      <c r="BF164" s="14">
        <f t="shared" si="167"/>
        <v>8.7287050538073676E-13</v>
      </c>
      <c r="BG164" s="22">
        <f t="shared" si="168"/>
        <v>1.6144600406554537E-12</v>
      </c>
      <c r="BH164" s="62">
        <f t="shared" si="116"/>
        <v>293.33333333333491</v>
      </c>
      <c r="BI164" s="62">
        <f ca="1">AVERAGE(OFFSET($BH$3,0,0,'Données projet'!$E$11+1,1))-AVERAGE(OFFSET($H$3,0,0,'Données projet'!$E$11+1,1))</f>
        <v>406.24139966722936</v>
      </c>
      <c r="BJ164" s="62">
        <f t="shared" si="146"/>
        <v>295.95724296920577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-4.5474735088646412E-13</v>
      </c>
      <c r="BZ164" s="14">
        <f>BY164*VLOOKUP('Données projet'!$B$12,Paramètres!$A$1:$I$89,3,0)*VLOOKUP('Données projet'!$B$12,Paramètres!$A$1:$I$89,5,0)</f>
        <v>-4.6111381379887462E-13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565.72091871734051</v>
      </c>
      <c r="CE164" s="62">
        <f t="shared" si="148"/>
        <v>306.61893266146666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4.9658410716801891E-14</v>
      </c>
      <c r="CV164" s="14">
        <f t="shared" si="173"/>
        <v>8.0934058173791862E-13</v>
      </c>
      <c r="CW164" s="22">
        <f t="shared" si="174"/>
        <v>1.4960899118586383E-12</v>
      </c>
      <c r="CX164" s="62">
        <f t="shared" si="122"/>
        <v>293.33333333333479</v>
      </c>
      <c r="CY164" s="62">
        <f ca="1">AVERAGE(OFFSET($CX$3,0,0,'Données projet'!$E$13+1,1))-AVERAGE(OFFSET($H$3,0,0,'Données projet'!$E$13+1,1))</f>
        <v>333.56306908115238</v>
      </c>
      <c r="CZ164" s="62">
        <f t="shared" si="150"/>
        <v>523.65456887919618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4.5474735088646412E-13</v>
      </c>
      <c r="DP164" s="18">
        <f>DO164*VLOOKUP('Données projet'!$B$14,Paramètres!$A$1:$I$89,3,0)*VLOOKUP('Données projet'!$B$14,Paramètres!$A$1:$I$89,5,0)</f>
        <v>3.3342075766995548E-13</v>
      </c>
      <c r="DQ164" s="14">
        <f t="shared" si="176"/>
        <v>4.3537988100583648E-12</v>
      </c>
      <c r="DR164" s="22">
        <f t="shared" si="177"/>
        <v>8.1635740804601579E-12</v>
      </c>
      <c r="DS164" s="62">
        <f t="shared" si="125"/>
        <v>293.3333333333415</v>
      </c>
      <c r="DT164" s="62">
        <f ca="1">AVERAGE(OFFSET($DS$3,0,0,'Données projet'!$E$14+1,1))-AVERAGE(OFFSET($H$3,0,0,'Données projet'!$E$14+1,1))</f>
        <v>397.24714625007675</v>
      </c>
      <c r="DU164" s="62">
        <f t="shared" si="152"/>
        <v>431.75775520200608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9">
        <f t="shared" si="110"/>
        <v>256.66666666666669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-4.1145540308207271E-13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509.56241660612449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-9.7543306765146564E-14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625.17723604265689</v>
      </c>
      <c r="AO165" s="62">
        <f t="shared" si="144"/>
        <v>462.33909258902241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5.4092197387944907E-14</v>
      </c>
      <c r="BF165" s="14">
        <f t="shared" si="167"/>
        <v>8.7287050538073676E-13</v>
      </c>
      <c r="BG165" s="22">
        <f t="shared" si="168"/>
        <v>1.6144600406554537E-12</v>
      </c>
      <c r="BH165" s="62">
        <f t="shared" si="116"/>
        <v>293.33333333333491</v>
      </c>
      <c r="BI165" s="62">
        <f ca="1">AVERAGE(OFFSET($BH$3,0,0,'Données projet'!$E$11+1,1))-AVERAGE(OFFSET($H$3,0,0,'Données projet'!$E$11+1,1))</f>
        <v>406.24139966722936</v>
      </c>
      <c r="BJ165" s="62">
        <f t="shared" si="146"/>
        <v>295.95724296920577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-4.5474735088646412E-13</v>
      </c>
      <c r="BZ165" s="14">
        <f>BY165*VLOOKUP('Données projet'!$B$12,Paramètres!$A$1:$I$89,3,0)*VLOOKUP('Données projet'!$B$12,Paramètres!$A$1:$I$89,5,0)</f>
        <v>-4.6111381379887462E-13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565.72091871734051</v>
      </c>
      <c r="CE165" s="62">
        <f t="shared" si="148"/>
        <v>306.61893266146666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4.9658410716801891E-14</v>
      </c>
      <c r="CV165" s="14">
        <f t="shared" si="173"/>
        <v>8.0934058173791862E-13</v>
      </c>
      <c r="CW165" s="22">
        <f t="shared" si="174"/>
        <v>1.4960899118586383E-12</v>
      </c>
      <c r="CX165" s="62">
        <f t="shared" si="122"/>
        <v>293.33333333333479</v>
      </c>
      <c r="CY165" s="62">
        <f ca="1">AVERAGE(OFFSET($CX$3,0,0,'Données projet'!$E$13+1,1))-AVERAGE(OFFSET($H$3,0,0,'Données projet'!$E$13+1,1))</f>
        <v>333.56306908115238</v>
      </c>
      <c r="CZ165" s="62">
        <f t="shared" si="150"/>
        <v>523.65456887919618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4.5474735088646412E-13</v>
      </c>
      <c r="DP165" s="18">
        <f>DO165*VLOOKUP('Données projet'!$B$14,Paramètres!$A$1:$I$89,3,0)*VLOOKUP('Données projet'!$B$14,Paramètres!$A$1:$I$89,5,0)</f>
        <v>3.3342075766995548E-13</v>
      </c>
      <c r="DQ165" s="14">
        <f t="shared" si="176"/>
        <v>4.3537988100583648E-12</v>
      </c>
      <c r="DR165" s="22">
        <f t="shared" si="177"/>
        <v>8.1635740804601579E-12</v>
      </c>
      <c r="DS165" s="62">
        <f t="shared" si="125"/>
        <v>293.3333333333415</v>
      </c>
      <c r="DT165" s="62">
        <f ca="1">AVERAGE(OFFSET($DS$3,0,0,'Données projet'!$E$14+1,1))-AVERAGE(OFFSET($H$3,0,0,'Données projet'!$E$14+1,1))</f>
        <v>397.24714625007675</v>
      </c>
      <c r="DU165" s="62">
        <f t="shared" si="152"/>
        <v>431.75775520200608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9">
        <f t="shared" si="110"/>
        <v>256.66666666666669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-4.1145540308207271E-13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509.56241660612449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-9.7543306765146564E-14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625.17723604265689</v>
      </c>
      <c r="AO166" s="62">
        <f t="shared" si="144"/>
        <v>462.33909258902241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5.4092197387944907E-14</v>
      </c>
      <c r="BF166" s="14">
        <f t="shared" si="167"/>
        <v>8.7287050538073676E-13</v>
      </c>
      <c r="BG166" s="22">
        <f t="shared" si="168"/>
        <v>1.6144600406554537E-12</v>
      </c>
      <c r="BH166" s="62">
        <f t="shared" si="116"/>
        <v>293.33333333333491</v>
      </c>
      <c r="BI166" s="62">
        <f ca="1">AVERAGE(OFFSET($BH$3,0,0,'Données projet'!$E$11+1,1))-AVERAGE(OFFSET($H$3,0,0,'Données projet'!$E$11+1,1))</f>
        <v>406.24139966722936</v>
      </c>
      <c r="BJ166" s="62">
        <f t="shared" si="146"/>
        <v>295.95724296920577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-4.5474735088646412E-13</v>
      </c>
      <c r="BZ166" s="14">
        <f>BY166*VLOOKUP('Données projet'!$B$12,Paramètres!$A$1:$I$89,3,0)*VLOOKUP('Données projet'!$B$12,Paramètres!$A$1:$I$89,5,0)</f>
        <v>-4.6111381379887462E-13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565.72091871734051</v>
      </c>
      <c r="CE166" s="62">
        <f t="shared" si="148"/>
        <v>306.61893266146666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4.9658410716801891E-14</v>
      </c>
      <c r="CV166" s="14">
        <f t="shared" si="173"/>
        <v>8.0934058173791862E-13</v>
      </c>
      <c r="CW166" s="22">
        <f t="shared" si="174"/>
        <v>1.4960899118586383E-12</v>
      </c>
      <c r="CX166" s="62">
        <f t="shared" si="122"/>
        <v>293.33333333333479</v>
      </c>
      <c r="CY166" s="62">
        <f ca="1">AVERAGE(OFFSET($CX$3,0,0,'Données projet'!$E$13+1,1))-AVERAGE(OFFSET($H$3,0,0,'Données projet'!$E$13+1,1))</f>
        <v>333.56306908115238</v>
      </c>
      <c r="CZ166" s="62">
        <f t="shared" si="150"/>
        <v>523.65456887919618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4.5474735088646412E-13</v>
      </c>
      <c r="DP166" s="18">
        <f>DO166*VLOOKUP('Données projet'!$B$14,Paramètres!$A$1:$I$89,3,0)*VLOOKUP('Données projet'!$B$14,Paramètres!$A$1:$I$89,5,0)</f>
        <v>3.3342075766995548E-13</v>
      </c>
      <c r="DQ166" s="14">
        <f t="shared" si="176"/>
        <v>4.3537988100583648E-12</v>
      </c>
      <c r="DR166" s="22">
        <f t="shared" si="177"/>
        <v>8.1635740804601579E-12</v>
      </c>
      <c r="DS166" s="62">
        <f t="shared" si="125"/>
        <v>293.3333333333415</v>
      </c>
      <c r="DT166" s="62">
        <f ca="1">AVERAGE(OFFSET($DS$3,0,0,'Données projet'!$E$14+1,1))-AVERAGE(OFFSET($H$3,0,0,'Données projet'!$E$14+1,1))</f>
        <v>397.24714625007675</v>
      </c>
      <c r="DU166" s="62">
        <f t="shared" si="152"/>
        <v>431.75775520200608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9">
        <f t="shared" si="110"/>
        <v>256.66666666666669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-4.1145540308207271E-13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509.56241660612449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-9.7543306765146564E-14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625.17723604265689</v>
      </c>
      <c r="AO167" s="62">
        <f t="shared" si="144"/>
        <v>462.33909258902241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5.4092197387944907E-14</v>
      </c>
      <c r="BF167" s="14">
        <f t="shared" si="167"/>
        <v>8.7287050538073676E-13</v>
      </c>
      <c r="BG167" s="22">
        <f t="shared" si="168"/>
        <v>1.6144600406554537E-12</v>
      </c>
      <c r="BH167" s="62">
        <f t="shared" si="116"/>
        <v>293.33333333333491</v>
      </c>
      <c r="BI167" s="62">
        <f ca="1">AVERAGE(OFFSET($BH$3,0,0,'Données projet'!$E$11+1,1))-AVERAGE(OFFSET($H$3,0,0,'Données projet'!$E$11+1,1))</f>
        <v>406.24139966722936</v>
      </c>
      <c r="BJ167" s="62">
        <f t="shared" si="146"/>
        <v>295.95724296920577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-4.5474735088646412E-13</v>
      </c>
      <c r="BZ167" s="14">
        <f>BY167*VLOOKUP('Données projet'!$B$12,Paramètres!$A$1:$I$89,3,0)*VLOOKUP('Données projet'!$B$12,Paramètres!$A$1:$I$89,5,0)</f>
        <v>-4.6111381379887462E-13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565.72091871734051</v>
      </c>
      <c r="CE167" s="62">
        <f t="shared" si="148"/>
        <v>306.61893266146666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4.9658410716801891E-14</v>
      </c>
      <c r="CV167" s="14">
        <f t="shared" si="173"/>
        <v>8.0934058173791862E-13</v>
      </c>
      <c r="CW167" s="22">
        <f t="shared" si="174"/>
        <v>1.4960899118586383E-12</v>
      </c>
      <c r="CX167" s="62">
        <f t="shared" si="122"/>
        <v>293.33333333333479</v>
      </c>
      <c r="CY167" s="62">
        <f ca="1">AVERAGE(OFFSET($CX$3,0,0,'Données projet'!$E$13+1,1))-AVERAGE(OFFSET($H$3,0,0,'Données projet'!$E$13+1,1))</f>
        <v>333.56306908115238</v>
      </c>
      <c r="CZ167" s="62">
        <f t="shared" si="150"/>
        <v>523.65456887919618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4.5474735088646412E-13</v>
      </c>
      <c r="DP167" s="18">
        <f>DO167*VLOOKUP('Données projet'!$B$14,Paramètres!$A$1:$I$89,3,0)*VLOOKUP('Données projet'!$B$14,Paramètres!$A$1:$I$89,5,0)</f>
        <v>3.3342075766995548E-13</v>
      </c>
      <c r="DQ167" s="14">
        <f t="shared" si="176"/>
        <v>4.3537988100583648E-12</v>
      </c>
      <c r="DR167" s="22">
        <f t="shared" si="177"/>
        <v>8.1635740804601579E-12</v>
      </c>
      <c r="DS167" s="62">
        <f t="shared" si="125"/>
        <v>293.3333333333415</v>
      </c>
      <c r="DT167" s="62">
        <f ca="1">AVERAGE(OFFSET($DS$3,0,0,'Données projet'!$E$14+1,1))-AVERAGE(OFFSET($H$3,0,0,'Données projet'!$E$14+1,1))</f>
        <v>397.24714625007675</v>
      </c>
      <c r="DU167" s="62">
        <f t="shared" si="152"/>
        <v>431.75775520200608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9">
        <f t="shared" si="110"/>
        <v>256.66666666666669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-4.1145540308207271E-13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509.56241660612449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-9.7543306765146564E-14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625.17723604265689</v>
      </c>
      <c r="AO168" s="62">
        <f t="shared" si="144"/>
        <v>462.33909258902241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5.4092197387944907E-14</v>
      </c>
      <c r="BF168" s="14">
        <f t="shared" si="167"/>
        <v>8.7287050538073676E-13</v>
      </c>
      <c r="BG168" s="22">
        <f t="shared" si="168"/>
        <v>1.6144600406554537E-12</v>
      </c>
      <c r="BH168" s="62">
        <f t="shared" si="116"/>
        <v>293.33333333333491</v>
      </c>
      <c r="BI168" s="62">
        <f ca="1">AVERAGE(OFFSET($BH$3,0,0,'Données projet'!$E$11+1,1))-AVERAGE(OFFSET($H$3,0,0,'Données projet'!$E$11+1,1))</f>
        <v>406.24139966722936</v>
      </c>
      <c r="BJ168" s="62">
        <f t="shared" si="146"/>
        <v>295.95724296920577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-4.5474735088646412E-13</v>
      </c>
      <c r="BZ168" s="14">
        <f>BY168*VLOOKUP('Données projet'!$B$12,Paramètres!$A$1:$I$89,3,0)*VLOOKUP('Données projet'!$B$12,Paramètres!$A$1:$I$89,5,0)</f>
        <v>-4.6111381379887462E-13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565.72091871734051</v>
      </c>
      <c r="CE168" s="62">
        <f t="shared" si="148"/>
        <v>306.61893266146666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4.9658410716801891E-14</v>
      </c>
      <c r="CV168" s="14">
        <f t="shared" si="173"/>
        <v>8.0934058173791862E-13</v>
      </c>
      <c r="CW168" s="22">
        <f t="shared" si="174"/>
        <v>1.4960899118586383E-12</v>
      </c>
      <c r="CX168" s="62">
        <f t="shared" si="122"/>
        <v>293.33333333333479</v>
      </c>
      <c r="CY168" s="62">
        <f ca="1">AVERAGE(OFFSET($CX$3,0,0,'Données projet'!$E$13+1,1))-AVERAGE(OFFSET($H$3,0,0,'Données projet'!$E$13+1,1))</f>
        <v>333.56306908115238</v>
      </c>
      <c r="CZ168" s="62">
        <f t="shared" si="150"/>
        <v>523.65456887919618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4.5474735088646412E-13</v>
      </c>
      <c r="DP168" s="18">
        <f>DO168*VLOOKUP('Données projet'!$B$14,Paramètres!$A$1:$I$89,3,0)*VLOOKUP('Données projet'!$B$14,Paramètres!$A$1:$I$89,5,0)</f>
        <v>3.3342075766995548E-13</v>
      </c>
      <c r="DQ168" s="14">
        <f t="shared" si="176"/>
        <v>4.3537988100583648E-12</v>
      </c>
      <c r="DR168" s="22">
        <f t="shared" si="177"/>
        <v>8.1635740804601579E-12</v>
      </c>
      <c r="DS168" s="62">
        <f t="shared" si="125"/>
        <v>293.3333333333415</v>
      </c>
      <c r="DT168" s="62">
        <f ca="1">AVERAGE(OFFSET($DS$3,0,0,'Données projet'!$E$14+1,1))-AVERAGE(OFFSET($H$3,0,0,'Données projet'!$E$14+1,1))</f>
        <v>397.24714625007675</v>
      </c>
      <c r="DU168" s="62">
        <f t="shared" si="152"/>
        <v>431.75775520200608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9">
        <f t="shared" si="110"/>
        <v>256.66666666666669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-4.1145540308207271E-13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509.56241660612449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-9.7543306765146564E-14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625.17723604265689</v>
      </c>
      <c r="AO169" s="62">
        <f t="shared" si="144"/>
        <v>462.33909258902241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5.4092197387944907E-14</v>
      </c>
      <c r="BF169" s="14">
        <f t="shared" si="167"/>
        <v>8.7287050538073676E-13</v>
      </c>
      <c r="BG169" s="22">
        <f t="shared" si="168"/>
        <v>1.6144600406554537E-12</v>
      </c>
      <c r="BH169" s="62">
        <f t="shared" si="116"/>
        <v>293.33333333333491</v>
      </c>
      <c r="BI169" s="62">
        <f ca="1">AVERAGE(OFFSET($BH$3,0,0,'Données projet'!$E$11+1,1))-AVERAGE(OFFSET($H$3,0,0,'Données projet'!$E$11+1,1))</f>
        <v>406.24139966722936</v>
      </c>
      <c r="BJ169" s="62">
        <f t="shared" si="146"/>
        <v>295.95724296920577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-4.5474735088646412E-13</v>
      </c>
      <c r="BZ169" s="14">
        <f>BY169*VLOOKUP('Données projet'!$B$12,Paramètres!$A$1:$I$89,3,0)*VLOOKUP('Données projet'!$B$12,Paramètres!$A$1:$I$89,5,0)</f>
        <v>-4.6111381379887462E-13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565.72091871734051</v>
      </c>
      <c r="CE169" s="62">
        <f t="shared" si="148"/>
        <v>306.61893266146666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4.9658410716801891E-14</v>
      </c>
      <c r="CV169" s="14">
        <f t="shared" si="173"/>
        <v>8.0934058173791862E-13</v>
      </c>
      <c r="CW169" s="22">
        <f t="shared" si="174"/>
        <v>1.4960899118586383E-12</v>
      </c>
      <c r="CX169" s="62">
        <f t="shared" si="122"/>
        <v>293.33333333333479</v>
      </c>
      <c r="CY169" s="62">
        <f ca="1">AVERAGE(OFFSET($CX$3,0,0,'Données projet'!$E$13+1,1))-AVERAGE(OFFSET($H$3,0,0,'Données projet'!$E$13+1,1))</f>
        <v>333.56306908115238</v>
      </c>
      <c r="CZ169" s="62">
        <f t="shared" si="150"/>
        <v>523.65456887919618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4.5474735088646412E-13</v>
      </c>
      <c r="DP169" s="18">
        <f>DO169*VLOOKUP('Données projet'!$B$14,Paramètres!$A$1:$I$89,3,0)*VLOOKUP('Données projet'!$B$14,Paramètres!$A$1:$I$89,5,0)</f>
        <v>3.3342075766995548E-13</v>
      </c>
      <c r="DQ169" s="14">
        <f t="shared" si="176"/>
        <v>4.3537988100583648E-12</v>
      </c>
      <c r="DR169" s="22">
        <f t="shared" si="177"/>
        <v>8.1635740804601579E-12</v>
      </c>
      <c r="DS169" s="62">
        <f t="shared" si="125"/>
        <v>293.3333333333415</v>
      </c>
      <c r="DT169" s="62">
        <f ca="1">AVERAGE(OFFSET($DS$3,0,0,'Données projet'!$E$14+1,1))-AVERAGE(OFFSET($H$3,0,0,'Données projet'!$E$14+1,1))</f>
        <v>397.24714625007675</v>
      </c>
      <c r="DU169" s="62">
        <f t="shared" si="152"/>
        <v>431.75775520200608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9">
        <f t="shared" si="110"/>
        <v>256.66666666666669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-4.1145540308207271E-13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509.56241660612449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-9.7543306765146564E-14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625.17723604265689</v>
      </c>
      <c r="AO170" s="62">
        <f t="shared" si="144"/>
        <v>462.33909258902241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5.4092197387944907E-14</v>
      </c>
      <c r="BF170" s="14">
        <f t="shared" si="167"/>
        <v>8.7287050538073676E-13</v>
      </c>
      <c r="BG170" s="22">
        <f t="shared" si="168"/>
        <v>1.6144600406554537E-12</v>
      </c>
      <c r="BH170" s="62">
        <f t="shared" si="116"/>
        <v>293.33333333333491</v>
      </c>
      <c r="BI170" s="62">
        <f ca="1">AVERAGE(OFFSET($BH$3,0,0,'Données projet'!$E$11+1,1))-AVERAGE(OFFSET($H$3,0,0,'Données projet'!$E$11+1,1))</f>
        <v>406.24139966722936</v>
      </c>
      <c r="BJ170" s="62">
        <f t="shared" si="146"/>
        <v>295.95724296920577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-4.5474735088646412E-13</v>
      </c>
      <c r="BZ170" s="14">
        <f>BY170*VLOOKUP('Données projet'!$B$12,Paramètres!$A$1:$I$89,3,0)*VLOOKUP('Données projet'!$B$12,Paramètres!$A$1:$I$89,5,0)</f>
        <v>-4.6111381379887462E-13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565.72091871734051</v>
      </c>
      <c r="CE170" s="62">
        <f t="shared" si="148"/>
        <v>306.61893266146666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4.9658410716801891E-14</v>
      </c>
      <c r="CV170" s="14">
        <f t="shared" si="173"/>
        <v>8.0934058173791862E-13</v>
      </c>
      <c r="CW170" s="22">
        <f t="shared" si="174"/>
        <v>1.4960899118586383E-12</v>
      </c>
      <c r="CX170" s="62">
        <f t="shared" si="122"/>
        <v>293.33333333333479</v>
      </c>
      <c r="CY170" s="62">
        <f ca="1">AVERAGE(OFFSET($CX$3,0,0,'Données projet'!$E$13+1,1))-AVERAGE(OFFSET($H$3,0,0,'Données projet'!$E$13+1,1))</f>
        <v>333.56306908115238</v>
      </c>
      <c r="CZ170" s="62">
        <f t="shared" si="150"/>
        <v>523.65456887919618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4.5474735088646412E-13</v>
      </c>
      <c r="DP170" s="18">
        <f>DO170*VLOOKUP('Données projet'!$B$14,Paramètres!$A$1:$I$89,3,0)*VLOOKUP('Données projet'!$B$14,Paramètres!$A$1:$I$89,5,0)</f>
        <v>3.3342075766995548E-13</v>
      </c>
      <c r="DQ170" s="14">
        <f t="shared" si="176"/>
        <v>4.3537988100583648E-12</v>
      </c>
      <c r="DR170" s="22">
        <f t="shared" si="177"/>
        <v>8.1635740804601579E-12</v>
      </c>
      <c r="DS170" s="62">
        <f t="shared" si="125"/>
        <v>293.3333333333415</v>
      </c>
      <c r="DT170" s="62">
        <f ca="1">AVERAGE(OFFSET($DS$3,0,0,'Données projet'!$E$14+1,1))-AVERAGE(OFFSET($H$3,0,0,'Données projet'!$E$14+1,1))</f>
        <v>397.24714625007675</v>
      </c>
      <c r="DU170" s="62">
        <f t="shared" si="152"/>
        <v>431.75775520200608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9">
        <f t="shared" si="110"/>
        <v>256.66666666666669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-4.1145540308207271E-13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509.56241660612449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-9.7543306765146564E-14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625.17723604265689</v>
      </c>
      <c r="AO171" s="62">
        <f t="shared" si="144"/>
        <v>462.33909258902241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5.4092197387944907E-14</v>
      </c>
      <c r="BF171" s="14">
        <f t="shared" si="167"/>
        <v>8.7287050538073676E-13</v>
      </c>
      <c r="BG171" s="22">
        <f t="shared" si="168"/>
        <v>1.6144600406554537E-12</v>
      </c>
      <c r="BH171" s="62">
        <f t="shared" si="116"/>
        <v>293.33333333333491</v>
      </c>
      <c r="BI171" s="62">
        <f ca="1">AVERAGE(OFFSET($BH$3,0,0,'Données projet'!$E$11+1,1))-AVERAGE(OFFSET($H$3,0,0,'Données projet'!$E$11+1,1))</f>
        <v>406.24139966722936</v>
      </c>
      <c r="BJ171" s="62">
        <f t="shared" si="146"/>
        <v>295.95724296920577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-4.5474735088646412E-13</v>
      </c>
      <c r="BZ171" s="14">
        <f>BY171*VLOOKUP('Données projet'!$B$12,Paramètres!$A$1:$I$89,3,0)*VLOOKUP('Données projet'!$B$12,Paramètres!$A$1:$I$89,5,0)</f>
        <v>-4.6111381379887462E-13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565.72091871734051</v>
      </c>
      <c r="CE171" s="62">
        <f t="shared" si="148"/>
        <v>306.61893266146666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4.9658410716801891E-14</v>
      </c>
      <c r="CV171" s="14">
        <f t="shared" si="173"/>
        <v>8.0934058173791862E-13</v>
      </c>
      <c r="CW171" s="22">
        <f t="shared" si="174"/>
        <v>1.4960899118586383E-12</v>
      </c>
      <c r="CX171" s="62">
        <f t="shared" si="122"/>
        <v>293.33333333333479</v>
      </c>
      <c r="CY171" s="62">
        <f ca="1">AVERAGE(OFFSET($CX$3,0,0,'Données projet'!$E$13+1,1))-AVERAGE(OFFSET($H$3,0,0,'Données projet'!$E$13+1,1))</f>
        <v>333.56306908115238</v>
      </c>
      <c r="CZ171" s="62">
        <f t="shared" si="150"/>
        <v>523.65456887919618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4.5474735088646412E-13</v>
      </c>
      <c r="DP171" s="18">
        <f>DO171*VLOOKUP('Données projet'!$B$14,Paramètres!$A$1:$I$89,3,0)*VLOOKUP('Données projet'!$B$14,Paramètres!$A$1:$I$89,5,0)</f>
        <v>3.3342075766995548E-13</v>
      </c>
      <c r="DQ171" s="14">
        <f t="shared" si="176"/>
        <v>4.3537988100583648E-12</v>
      </c>
      <c r="DR171" s="22">
        <f t="shared" si="177"/>
        <v>8.1635740804601579E-12</v>
      </c>
      <c r="DS171" s="62">
        <f t="shared" si="125"/>
        <v>293.3333333333415</v>
      </c>
      <c r="DT171" s="62">
        <f ca="1">AVERAGE(OFFSET($DS$3,0,0,'Données projet'!$E$14+1,1))-AVERAGE(OFFSET($H$3,0,0,'Données projet'!$E$14+1,1))</f>
        <v>397.24714625007675</v>
      </c>
      <c r="DU171" s="62">
        <f t="shared" si="152"/>
        <v>431.75775520200608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9">
        <f t="shared" si="110"/>
        <v>256.66666666666669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-4.1145540308207271E-13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509.56241660612449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-9.7543306765146564E-14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625.17723604265689</v>
      </c>
      <c r="AO172" s="62">
        <f t="shared" si="144"/>
        <v>462.33909258902241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5.4092197387944907E-14</v>
      </c>
      <c r="BF172" s="14">
        <f t="shared" si="167"/>
        <v>8.7287050538073676E-13</v>
      </c>
      <c r="BG172" s="22">
        <f t="shared" si="168"/>
        <v>1.6144600406554537E-12</v>
      </c>
      <c r="BH172" s="62">
        <f t="shared" si="116"/>
        <v>293.33333333333491</v>
      </c>
      <c r="BI172" s="62">
        <f ca="1">AVERAGE(OFFSET($BH$3,0,0,'Données projet'!$E$11+1,1))-AVERAGE(OFFSET($H$3,0,0,'Données projet'!$E$11+1,1))</f>
        <v>406.24139966722936</v>
      </c>
      <c r="BJ172" s="62">
        <f t="shared" si="146"/>
        <v>295.95724296920577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-4.5474735088646412E-13</v>
      </c>
      <c r="BZ172" s="14">
        <f>BY172*VLOOKUP('Données projet'!$B$12,Paramètres!$A$1:$I$89,3,0)*VLOOKUP('Données projet'!$B$12,Paramètres!$A$1:$I$89,5,0)</f>
        <v>-4.6111381379887462E-13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565.72091871734051</v>
      </c>
      <c r="CE172" s="62">
        <f t="shared" si="148"/>
        <v>306.61893266146666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4.9658410716801891E-14</v>
      </c>
      <c r="CV172" s="14">
        <f t="shared" si="173"/>
        <v>8.0934058173791862E-13</v>
      </c>
      <c r="CW172" s="22">
        <f t="shared" si="174"/>
        <v>1.4960899118586383E-12</v>
      </c>
      <c r="CX172" s="62">
        <f t="shared" si="122"/>
        <v>293.33333333333479</v>
      </c>
      <c r="CY172" s="62">
        <f ca="1">AVERAGE(OFFSET($CX$3,0,0,'Données projet'!$E$13+1,1))-AVERAGE(OFFSET($H$3,0,0,'Données projet'!$E$13+1,1))</f>
        <v>333.56306908115238</v>
      </c>
      <c r="CZ172" s="62">
        <f t="shared" si="150"/>
        <v>523.65456887919618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4.5474735088646412E-13</v>
      </c>
      <c r="DP172" s="18">
        <f>DO172*VLOOKUP('Données projet'!$B$14,Paramètres!$A$1:$I$89,3,0)*VLOOKUP('Données projet'!$B$14,Paramètres!$A$1:$I$89,5,0)</f>
        <v>3.3342075766995548E-13</v>
      </c>
      <c r="DQ172" s="14">
        <f t="shared" si="176"/>
        <v>4.3537988100583648E-12</v>
      </c>
      <c r="DR172" s="22">
        <f t="shared" si="177"/>
        <v>8.1635740804601579E-12</v>
      </c>
      <c r="DS172" s="62">
        <f t="shared" si="125"/>
        <v>293.3333333333415</v>
      </c>
      <c r="DT172" s="62">
        <f ca="1">AVERAGE(OFFSET($DS$3,0,0,'Données projet'!$E$14+1,1))-AVERAGE(OFFSET($H$3,0,0,'Données projet'!$E$14+1,1))</f>
        <v>397.24714625007675</v>
      </c>
      <c r="DU172" s="62">
        <f t="shared" si="152"/>
        <v>431.75775520200608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9">
        <f t="shared" si="110"/>
        <v>256.66666666666669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-4.1145540308207271E-13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509.56241660612449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-9.7543306765146564E-14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625.17723604265689</v>
      </c>
      <c r="AO173" s="62">
        <f t="shared" si="144"/>
        <v>462.33909258902241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5.4092197387944907E-14</v>
      </c>
      <c r="BF173" s="14">
        <f t="shared" si="167"/>
        <v>8.7287050538073676E-13</v>
      </c>
      <c r="BG173" s="22">
        <f t="shared" si="168"/>
        <v>1.6144600406554537E-12</v>
      </c>
      <c r="BH173" s="62">
        <f t="shared" si="116"/>
        <v>293.33333333333491</v>
      </c>
      <c r="BI173" s="62">
        <f ca="1">AVERAGE(OFFSET($BH$3,0,0,'Données projet'!$E$11+1,1))-AVERAGE(OFFSET($H$3,0,0,'Données projet'!$E$11+1,1))</f>
        <v>406.24139966722936</v>
      </c>
      <c r="BJ173" s="62">
        <f t="shared" si="146"/>
        <v>295.95724296920577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-4.5474735088646412E-13</v>
      </c>
      <c r="BZ173" s="14">
        <f>BY173*VLOOKUP('Données projet'!$B$12,Paramètres!$A$1:$I$89,3,0)*VLOOKUP('Données projet'!$B$12,Paramètres!$A$1:$I$89,5,0)</f>
        <v>-4.6111381379887462E-13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565.72091871734051</v>
      </c>
      <c r="CE173" s="62">
        <f t="shared" si="148"/>
        <v>306.61893266146666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4.9658410716801891E-14</v>
      </c>
      <c r="CV173" s="14">
        <f t="shared" si="173"/>
        <v>8.0934058173791862E-13</v>
      </c>
      <c r="CW173" s="22">
        <f t="shared" si="174"/>
        <v>1.4960899118586383E-12</v>
      </c>
      <c r="CX173" s="62">
        <f t="shared" si="122"/>
        <v>293.33333333333479</v>
      </c>
      <c r="CY173" s="62">
        <f ca="1">AVERAGE(OFFSET($CX$3,0,0,'Données projet'!$E$13+1,1))-AVERAGE(OFFSET($H$3,0,0,'Données projet'!$E$13+1,1))</f>
        <v>333.56306908115238</v>
      </c>
      <c r="CZ173" s="62">
        <f t="shared" si="150"/>
        <v>523.65456887919618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4.5474735088646412E-13</v>
      </c>
      <c r="DP173" s="18">
        <f>DO173*VLOOKUP('Données projet'!$B$14,Paramètres!$A$1:$I$89,3,0)*VLOOKUP('Données projet'!$B$14,Paramètres!$A$1:$I$89,5,0)</f>
        <v>3.3342075766995548E-13</v>
      </c>
      <c r="DQ173" s="14">
        <f t="shared" si="176"/>
        <v>4.3537988100583648E-12</v>
      </c>
      <c r="DR173" s="22">
        <f t="shared" si="177"/>
        <v>8.1635740804601579E-12</v>
      </c>
      <c r="DS173" s="62">
        <f t="shared" si="125"/>
        <v>293.3333333333415</v>
      </c>
      <c r="DT173" s="62">
        <f ca="1">AVERAGE(OFFSET($DS$3,0,0,'Données projet'!$E$14+1,1))-AVERAGE(OFFSET($H$3,0,0,'Données projet'!$E$14+1,1))</f>
        <v>397.24714625007675</v>
      </c>
      <c r="DU173" s="62">
        <f t="shared" si="152"/>
        <v>431.75775520200608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9">
        <f t="shared" si="110"/>
        <v>256.66666666666669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-4.1145540308207271E-13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509.56241660612449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-9.7543306765146564E-14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625.17723604265689</v>
      </c>
      <c r="AO174" s="62">
        <f t="shared" si="144"/>
        <v>462.33909258902241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5.4092197387944907E-14</v>
      </c>
      <c r="BF174" s="14">
        <f t="shared" si="167"/>
        <v>8.7287050538073676E-13</v>
      </c>
      <c r="BG174" s="22">
        <f t="shared" si="168"/>
        <v>1.6144600406554537E-12</v>
      </c>
      <c r="BH174" s="62">
        <f t="shared" si="116"/>
        <v>293.33333333333491</v>
      </c>
      <c r="BI174" s="62">
        <f ca="1">AVERAGE(OFFSET($BH$3,0,0,'Données projet'!$E$11+1,1))-AVERAGE(OFFSET($H$3,0,0,'Données projet'!$E$11+1,1))</f>
        <v>406.24139966722936</v>
      </c>
      <c r="BJ174" s="62">
        <f t="shared" si="146"/>
        <v>295.95724296920577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-4.5474735088646412E-13</v>
      </c>
      <c r="BZ174" s="14">
        <f>BY174*VLOOKUP('Données projet'!$B$12,Paramètres!$A$1:$I$89,3,0)*VLOOKUP('Données projet'!$B$12,Paramètres!$A$1:$I$89,5,0)</f>
        <v>-4.6111381379887462E-13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565.72091871734051</v>
      </c>
      <c r="CE174" s="62">
        <f t="shared" si="148"/>
        <v>306.61893266146666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4.9658410716801891E-14</v>
      </c>
      <c r="CV174" s="14">
        <f t="shared" si="173"/>
        <v>8.0934058173791862E-13</v>
      </c>
      <c r="CW174" s="22">
        <f t="shared" si="174"/>
        <v>1.4960899118586383E-12</v>
      </c>
      <c r="CX174" s="62">
        <f t="shared" si="122"/>
        <v>293.33333333333479</v>
      </c>
      <c r="CY174" s="62">
        <f ca="1">AVERAGE(OFFSET($CX$3,0,0,'Données projet'!$E$13+1,1))-AVERAGE(OFFSET($H$3,0,0,'Données projet'!$E$13+1,1))</f>
        <v>333.56306908115238</v>
      </c>
      <c r="CZ174" s="62">
        <f t="shared" si="150"/>
        <v>523.65456887919618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4.5474735088646412E-13</v>
      </c>
      <c r="DP174" s="18">
        <f>DO174*VLOOKUP('Données projet'!$B$14,Paramètres!$A$1:$I$89,3,0)*VLOOKUP('Données projet'!$B$14,Paramètres!$A$1:$I$89,5,0)</f>
        <v>3.3342075766995548E-13</v>
      </c>
      <c r="DQ174" s="14">
        <f t="shared" si="176"/>
        <v>4.3537988100583648E-12</v>
      </c>
      <c r="DR174" s="22">
        <f t="shared" si="177"/>
        <v>8.1635740804601579E-12</v>
      </c>
      <c r="DS174" s="62">
        <f t="shared" si="125"/>
        <v>293.3333333333415</v>
      </c>
      <c r="DT174" s="62">
        <f ca="1">AVERAGE(OFFSET($DS$3,0,0,'Données projet'!$E$14+1,1))-AVERAGE(OFFSET($H$3,0,0,'Données projet'!$E$14+1,1))</f>
        <v>397.24714625007675</v>
      </c>
      <c r="DU174" s="62">
        <f t="shared" si="152"/>
        <v>431.75775520200608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9">
        <f t="shared" si="110"/>
        <v>256.66666666666669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-4.1145540308207271E-13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509.56241660612449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-9.7543306765146564E-14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625.17723604265689</v>
      </c>
      <c r="AO175" s="62">
        <f t="shared" si="144"/>
        <v>462.33909258902241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5.4092197387944907E-14</v>
      </c>
      <c r="BF175" s="14">
        <f t="shared" si="167"/>
        <v>8.7287050538073676E-13</v>
      </c>
      <c r="BG175" s="22">
        <f t="shared" si="168"/>
        <v>1.6144600406554537E-12</v>
      </c>
      <c r="BH175" s="62">
        <f t="shared" si="116"/>
        <v>293.33333333333491</v>
      </c>
      <c r="BI175" s="62">
        <f ca="1">AVERAGE(OFFSET($BH$3,0,0,'Données projet'!$E$11+1,1))-AVERAGE(OFFSET($H$3,0,0,'Données projet'!$E$11+1,1))</f>
        <v>406.24139966722936</v>
      </c>
      <c r="BJ175" s="62">
        <f t="shared" si="146"/>
        <v>295.95724296920577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-4.5474735088646412E-13</v>
      </c>
      <c r="BZ175" s="14">
        <f>BY175*VLOOKUP('Données projet'!$B$12,Paramètres!$A$1:$I$89,3,0)*VLOOKUP('Données projet'!$B$12,Paramètres!$A$1:$I$89,5,0)</f>
        <v>-4.6111381379887462E-13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565.72091871734051</v>
      </c>
      <c r="CE175" s="62">
        <f t="shared" si="148"/>
        <v>306.61893266146666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4.9658410716801891E-14</v>
      </c>
      <c r="CV175" s="14">
        <f t="shared" si="173"/>
        <v>8.0934058173791862E-13</v>
      </c>
      <c r="CW175" s="22">
        <f t="shared" si="174"/>
        <v>1.4960899118586383E-12</v>
      </c>
      <c r="CX175" s="62">
        <f t="shared" si="122"/>
        <v>293.33333333333479</v>
      </c>
      <c r="CY175" s="62">
        <f ca="1">AVERAGE(OFFSET($CX$3,0,0,'Données projet'!$E$13+1,1))-AVERAGE(OFFSET($H$3,0,0,'Données projet'!$E$13+1,1))</f>
        <v>333.56306908115238</v>
      </c>
      <c r="CZ175" s="62">
        <f t="shared" si="150"/>
        <v>523.65456887919618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4.5474735088646412E-13</v>
      </c>
      <c r="DP175" s="18">
        <f>DO175*VLOOKUP('Données projet'!$B$14,Paramètres!$A$1:$I$89,3,0)*VLOOKUP('Données projet'!$B$14,Paramètres!$A$1:$I$89,5,0)</f>
        <v>3.3342075766995548E-13</v>
      </c>
      <c r="DQ175" s="14">
        <f t="shared" si="176"/>
        <v>4.3537988100583648E-12</v>
      </c>
      <c r="DR175" s="22">
        <f t="shared" si="177"/>
        <v>8.1635740804601579E-12</v>
      </c>
      <c r="DS175" s="62">
        <f t="shared" si="125"/>
        <v>293.3333333333415</v>
      </c>
      <c r="DT175" s="62">
        <f ca="1">AVERAGE(OFFSET($DS$3,0,0,'Données projet'!$E$14+1,1))-AVERAGE(OFFSET($H$3,0,0,'Données projet'!$E$14+1,1))</f>
        <v>397.24714625007675</v>
      </c>
      <c r="DU175" s="62">
        <f t="shared" si="152"/>
        <v>431.75775520200608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9">
        <f t="shared" si="110"/>
        <v>256.66666666666669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-4.1145540308207271E-13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509.56241660612449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-9.7543306765146564E-14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625.17723604265689</v>
      </c>
      <c r="AO176" s="62">
        <f t="shared" si="144"/>
        <v>462.33909258902241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5.4092197387944907E-14</v>
      </c>
      <c r="BF176" s="14">
        <f t="shared" si="167"/>
        <v>8.7287050538073676E-13</v>
      </c>
      <c r="BG176" s="22">
        <f t="shared" si="168"/>
        <v>1.6144600406554537E-12</v>
      </c>
      <c r="BH176" s="62">
        <f t="shared" si="116"/>
        <v>293.33333333333491</v>
      </c>
      <c r="BI176" s="62">
        <f ca="1">AVERAGE(OFFSET($BH$3,0,0,'Données projet'!$E$11+1,1))-AVERAGE(OFFSET($H$3,0,0,'Données projet'!$E$11+1,1))</f>
        <v>406.24139966722936</v>
      </c>
      <c r="BJ176" s="62">
        <f t="shared" si="146"/>
        <v>295.95724296920577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-4.5474735088646412E-13</v>
      </c>
      <c r="BZ176" s="14">
        <f>BY176*VLOOKUP('Données projet'!$B$12,Paramètres!$A$1:$I$89,3,0)*VLOOKUP('Données projet'!$B$12,Paramètres!$A$1:$I$89,5,0)</f>
        <v>-4.6111381379887462E-13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565.72091871734051</v>
      </c>
      <c r="CE176" s="62">
        <f t="shared" si="148"/>
        <v>306.61893266146666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4.9658410716801891E-14</v>
      </c>
      <c r="CV176" s="14">
        <f t="shared" si="173"/>
        <v>8.0934058173791862E-13</v>
      </c>
      <c r="CW176" s="22">
        <f t="shared" si="174"/>
        <v>1.4960899118586383E-12</v>
      </c>
      <c r="CX176" s="62">
        <f t="shared" si="122"/>
        <v>293.33333333333479</v>
      </c>
      <c r="CY176" s="62">
        <f ca="1">AVERAGE(OFFSET($CX$3,0,0,'Données projet'!$E$13+1,1))-AVERAGE(OFFSET($H$3,0,0,'Données projet'!$E$13+1,1))</f>
        <v>333.56306908115238</v>
      </c>
      <c r="CZ176" s="62">
        <f t="shared" si="150"/>
        <v>523.65456887919618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4.5474735088646412E-13</v>
      </c>
      <c r="DP176" s="18">
        <f>DO176*VLOOKUP('Données projet'!$B$14,Paramètres!$A$1:$I$89,3,0)*VLOOKUP('Données projet'!$B$14,Paramètres!$A$1:$I$89,5,0)</f>
        <v>3.3342075766995548E-13</v>
      </c>
      <c r="DQ176" s="14">
        <f t="shared" si="176"/>
        <v>4.3537988100583648E-12</v>
      </c>
      <c r="DR176" s="22">
        <f t="shared" si="177"/>
        <v>8.1635740804601579E-12</v>
      </c>
      <c r="DS176" s="62">
        <f t="shared" si="125"/>
        <v>293.3333333333415</v>
      </c>
      <c r="DT176" s="62">
        <f ca="1">AVERAGE(OFFSET($DS$3,0,0,'Données projet'!$E$14+1,1))-AVERAGE(OFFSET($H$3,0,0,'Données projet'!$E$14+1,1))</f>
        <v>397.24714625007675</v>
      </c>
      <c r="DU176" s="62">
        <f t="shared" si="152"/>
        <v>431.75775520200608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9">
        <f t="shared" si="110"/>
        <v>256.66666666666669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-4.1145540308207271E-13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509.56241660612449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-9.7543306765146564E-14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625.17723604265689</v>
      </c>
      <c r="AO177" s="62">
        <f t="shared" si="144"/>
        <v>462.33909258902241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5.4092197387944907E-14</v>
      </c>
      <c r="BF177" s="14">
        <f t="shared" si="167"/>
        <v>8.7287050538073676E-13</v>
      </c>
      <c r="BG177" s="22">
        <f t="shared" si="168"/>
        <v>1.6144600406554537E-12</v>
      </c>
      <c r="BH177" s="62">
        <f t="shared" si="116"/>
        <v>293.33333333333491</v>
      </c>
      <c r="BI177" s="62">
        <f ca="1">AVERAGE(OFFSET($BH$3,0,0,'Données projet'!$E$11+1,1))-AVERAGE(OFFSET($H$3,0,0,'Données projet'!$E$11+1,1))</f>
        <v>406.24139966722936</v>
      </c>
      <c r="BJ177" s="62">
        <f t="shared" si="146"/>
        <v>295.95724296920577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-4.5474735088646412E-13</v>
      </c>
      <c r="BZ177" s="14">
        <f>BY177*VLOOKUP('Données projet'!$B$12,Paramètres!$A$1:$I$89,3,0)*VLOOKUP('Données projet'!$B$12,Paramètres!$A$1:$I$89,5,0)</f>
        <v>-4.6111381379887462E-13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565.72091871734051</v>
      </c>
      <c r="CE177" s="62">
        <f t="shared" si="148"/>
        <v>306.61893266146666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4.9658410716801891E-14</v>
      </c>
      <c r="CV177" s="14">
        <f t="shared" si="173"/>
        <v>8.0934058173791862E-13</v>
      </c>
      <c r="CW177" s="22">
        <f t="shared" si="174"/>
        <v>1.4960899118586383E-12</v>
      </c>
      <c r="CX177" s="62">
        <f t="shared" si="122"/>
        <v>293.33333333333479</v>
      </c>
      <c r="CY177" s="62">
        <f ca="1">AVERAGE(OFFSET($CX$3,0,0,'Données projet'!$E$13+1,1))-AVERAGE(OFFSET($H$3,0,0,'Données projet'!$E$13+1,1))</f>
        <v>333.56306908115238</v>
      </c>
      <c r="CZ177" s="62">
        <f t="shared" si="150"/>
        <v>523.65456887919618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4.5474735088646412E-13</v>
      </c>
      <c r="DP177" s="18">
        <f>DO177*VLOOKUP('Données projet'!$B$14,Paramètres!$A$1:$I$89,3,0)*VLOOKUP('Données projet'!$B$14,Paramètres!$A$1:$I$89,5,0)</f>
        <v>3.3342075766995548E-13</v>
      </c>
      <c r="DQ177" s="14">
        <f t="shared" si="176"/>
        <v>4.3537988100583648E-12</v>
      </c>
      <c r="DR177" s="22">
        <f t="shared" si="177"/>
        <v>8.1635740804601579E-12</v>
      </c>
      <c r="DS177" s="62">
        <f t="shared" si="125"/>
        <v>293.3333333333415</v>
      </c>
      <c r="DT177" s="62">
        <f ca="1">AVERAGE(OFFSET($DS$3,0,0,'Données projet'!$E$14+1,1))-AVERAGE(OFFSET($H$3,0,0,'Données projet'!$E$14+1,1))</f>
        <v>397.24714625007675</v>
      </c>
      <c r="DU177" s="62">
        <f t="shared" si="152"/>
        <v>431.75775520200608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9">
        <f t="shared" si="110"/>
        <v>256.66666666666669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-4.1145540308207271E-13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509.56241660612449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-9.7543306765146564E-14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625.17723604265689</v>
      </c>
      <c r="AO178" s="62">
        <f t="shared" si="144"/>
        <v>462.33909258902241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5.4092197387944907E-14</v>
      </c>
      <c r="BF178" s="14">
        <f t="shared" si="167"/>
        <v>8.7287050538073676E-13</v>
      </c>
      <c r="BG178" s="22">
        <f t="shared" si="168"/>
        <v>1.6144600406554537E-12</v>
      </c>
      <c r="BH178" s="62">
        <f t="shared" si="116"/>
        <v>293.33333333333491</v>
      </c>
      <c r="BI178" s="62">
        <f ca="1">AVERAGE(OFFSET($BH$3,0,0,'Données projet'!$E$11+1,1))-AVERAGE(OFFSET($H$3,0,0,'Données projet'!$E$11+1,1))</f>
        <v>406.24139966722936</v>
      </c>
      <c r="BJ178" s="62">
        <f t="shared" si="146"/>
        <v>295.95724296920577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-4.5474735088646412E-13</v>
      </c>
      <c r="BZ178" s="14">
        <f>BY178*VLOOKUP('Données projet'!$B$12,Paramètres!$A$1:$I$89,3,0)*VLOOKUP('Données projet'!$B$12,Paramètres!$A$1:$I$89,5,0)</f>
        <v>-4.6111381379887462E-13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565.72091871734051</v>
      </c>
      <c r="CE178" s="62">
        <f t="shared" si="148"/>
        <v>306.61893266146666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4.9658410716801891E-14</v>
      </c>
      <c r="CV178" s="14">
        <f t="shared" si="173"/>
        <v>8.0934058173791862E-13</v>
      </c>
      <c r="CW178" s="22">
        <f t="shared" si="174"/>
        <v>1.4960899118586383E-12</v>
      </c>
      <c r="CX178" s="62">
        <f t="shared" si="122"/>
        <v>293.33333333333479</v>
      </c>
      <c r="CY178" s="62">
        <f ca="1">AVERAGE(OFFSET($CX$3,0,0,'Données projet'!$E$13+1,1))-AVERAGE(OFFSET($H$3,0,0,'Données projet'!$E$13+1,1))</f>
        <v>333.56306908115238</v>
      </c>
      <c r="CZ178" s="62">
        <f t="shared" si="150"/>
        <v>523.65456887919618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4.5474735088646412E-13</v>
      </c>
      <c r="DP178" s="18">
        <f>DO178*VLOOKUP('Données projet'!$B$14,Paramètres!$A$1:$I$89,3,0)*VLOOKUP('Données projet'!$B$14,Paramètres!$A$1:$I$89,5,0)</f>
        <v>3.3342075766995548E-13</v>
      </c>
      <c r="DQ178" s="14">
        <f t="shared" si="176"/>
        <v>4.3537988100583648E-12</v>
      </c>
      <c r="DR178" s="22">
        <f t="shared" si="177"/>
        <v>8.1635740804601579E-12</v>
      </c>
      <c r="DS178" s="62">
        <f t="shared" si="125"/>
        <v>293.3333333333415</v>
      </c>
      <c r="DT178" s="62">
        <f ca="1">AVERAGE(OFFSET($DS$3,0,0,'Données projet'!$E$14+1,1))-AVERAGE(OFFSET($H$3,0,0,'Données projet'!$E$14+1,1))</f>
        <v>397.24714625007675</v>
      </c>
      <c r="DU178" s="62">
        <f t="shared" si="152"/>
        <v>431.75775520200608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9">
        <f t="shared" si="110"/>
        <v>256.66666666666669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-4.1145540308207271E-13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509.56241660612449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-9.7543306765146564E-14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625.17723604265689</v>
      </c>
      <c r="AO179" s="62">
        <f t="shared" si="144"/>
        <v>462.33909258902241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5.4092197387944907E-14</v>
      </c>
      <c r="BF179" s="14">
        <f t="shared" si="167"/>
        <v>8.7287050538073676E-13</v>
      </c>
      <c r="BG179" s="22">
        <f t="shared" si="168"/>
        <v>1.6144600406554537E-12</v>
      </c>
      <c r="BH179" s="62">
        <f t="shared" si="116"/>
        <v>293.33333333333491</v>
      </c>
      <c r="BI179" s="62">
        <f ca="1">AVERAGE(OFFSET($BH$3,0,0,'Données projet'!$E$11+1,1))-AVERAGE(OFFSET($H$3,0,0,'Données projet'!$E$11+1,1))</f>
        <v>406.24139966722936</v>
      </c>
      <c r="BJ179" s="62">
        <f t="shared" si="146"/>
        <v>295.95724296920577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-4.5474735088646412E-13</v>
      </c>
      <c r="BZ179" s="14">
        <f>BY179*VLOOKUP('Données projet'!$B$12,Paramètres!$A$1:$I$89,3,0)*VLOOKUP('Données projet'!$B$12,Paramètres!$A$1:$I$89,5,0)</f>
        <v>-4.6111381379887462E-13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565.72091871734051</v>
      </c>
      <c r="CE179" s="62">
        <f t="shared" si="148"/>
        <v>306.61893266146666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4.9658410716801891E-14</v>
      </c>
      <c r="CV179" s="14">
        <f t="shared" si="173"/>
        <v>8.0934058173791862E-13</v>
      </c>
      <c r="CW179" s="22">
        <f t="shared" si="174"/>
        <v>1.4960899118586383E-12</v>
      </c>
      <c r="CX179" s="62">
        <f t="shared" si="122"/>
        <v>293.33333333333479</v>
      </c>
      <c r="CY179" s="62">
        <f ca="1">AVERAGE(OFFSET($CX$3,0,0,'Données projet'!$E$13+1,1))-AVERAGE(OFFSET($H$3,0,0,'Données projet'!$E$13+1,1))</f>
        <v>333.56306908115238</v>
      </c>
      <c r="CZ179" s="62">
        <f t="shared" si="150"/>
        <v>523.65456887919618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4.5474735088646412E-13</v>
      </c>
      <c r="DP179" s="18">
        <f>DO179*VLOOKUP('Données projet'!$B$14,Paramètres!$A$1:$I$89,3,0)*VLOOKUP('Données projet'!$B$14,Paramètres!$A$1:$I$89,5,0)</f>
        <v>3.3342075766995548E-13</v>
      </c>
      <c r="DQ179" s="14">
        <f t="shared" si="176"/>
        <v>4.3537988100583648E-12</v>
      </c>
      <c r="DR179" s="22">
        <f t="shared" si="177"/>
        <v>8.1635740804601579E-12</v>
      </c>
      <c r="DS179" s="62">
        <f t="shared" si="125"/>
        <v>293.3333333333415</v>
      </c>
      <c r="DT179" s="62">
        <f ca="1">AVERAGE(OFFSET($DS$3,0,0,'Données projet'!$E$14+1,1))-AVERAGE(OFFSET($H$3,0,0,'Données projet'!$E$14+1,1))</f>
        <v>397.24714625007675</v>
      </c>
      <c r="DU179" s="62">
        <f t="shared" si="152"/>
        <v>431.75775520200608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9">
        <f t="shared" si="110"/>
        <v>256.66666666666669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-4.1145540308207271E-13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509.56241660612449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-9.7543306765146564E-14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625.17723604265689</v>
      </c>
      <c r="AO180" s="62">
        <f t="shared" si="144"/>
        <v>462.33909258902241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5.4092197387944907E-14</v>
      </c>
      <c r="BF180" s="14">
        <f t="shared" si="167"/>
        <v>8.7287050538073676E-13</v>
      </c>
      <c r="BG180" s="22">
        <f t="shared" si="168"/>
        <v>1.6144600406554537E-12</v>
      </c>
      <c r="BH180" s="62">
        <f t="shared" si="116"/>
        <v>293.33333333333491</v>
      </c>
      <c r="BI180" s="62">
        <f ca="1">AVERAGE(OFFSET($BH$3,0,0,'Données projet'!$E$11+1,1))-AVERAGE(OFFSET($H$3,0,0,'Données projet'!$E$11+1,1))</f>
        <v>406.24139966722936</v>
      </c>
      <c r="BJ180" s="62">
        <f t="shared" si="146"/>
        <v>295.95724296920577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-4.5474735088646412E-13</v>
      </c>
      <c r="BZ180" s="14">
        <f>BY180*VLOOKUP('Données projet'!$B$12,Paramètres!$A$1:$I$89,3,0)*VLOOKUP('Données projet'!$B$12,Paramètres!$A$1:$I$89,5,0)</f>
        <v>-4.6111381379887462E-13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565.72091871734051</v>
      </c>
      <c r="CE180" s="62">
        <f t="shared" si="148"/>
        <v>306.61893266146666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4.9658410716801891E-14</v>
      </c>
      <c r="CV180" s="14">
        <f t="shared" si="173"/>
        <v>8.0934058173791862E-13</v>
      </c>
      <c r="CW180" s="22">
        <f t="shared" si="174"/>
        <v>1.4960899118586383E-12</v>
      </c>
      <c r="CX180" s="62">
        <f t="shared" si="122"/>
        <v>293.33333333333479</v>
      </c>
      <c r="CY180" s="62">
        <f ca="1">AVERAGE(OFFSET($CX$3,0,0,'Données projet'!$E$13+1,1))-AVERAGE(OFFSET($H$3,0,0,'Données projet'!$E$13+1,1))</f>
        <v>333.56306908115238</v>
      </c>
      <c r="CZ180" s="62">
        <f t="shared" si="150"/>
        <v>523.65456887919618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4.5474735088646412E-13</v>
      </c>
      <c r="DP180" s="18">
        <f>DO180*VLOOKUP('Données projet'!$B$14,Paramètres!$A$1:$I$89,3,0)*VLOOKUP('Données projet'!$B$14,Paramètres!$A$1:$I$89,5,0)</f>
        <v>3.3342075766995548E-13</v>
      </c>
      <c r="DQ180" s="14">
        <f t="shared" si="176"/>
        <v>4.3537988100583648E-12</v>
      </c>
      <c r="DR180" s="22">
        <f t="shared" si="177"/>
        <v>8.1635740804601579E-12</v>
      </c>
      <c r="DS180" s="62">
        <f t="shared" si="125"/>
        <v>293.3333333333415</v>
      </c>
      <c r="DT180" s="62">
        <f ca="1">AVERAGE(OFFSET($DS$3,0,0,'Données projet'!$E$14+1,1))-AVERAGE(OFFSET($H$3,0,0,'Données projet'!$E$14+1,1))</f>
        <v>397.24714625007675</v>
      </c>
      <c r="DU180" s="62">
        <f t="shared" si="152"/>
        <v>431.75775520200608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9">
        <f t="shared" si="110"/>
        <v>256.66666666666669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-4.1145540308207271E-13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509.56241660612449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-9.7543306765146564E-14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625.17723604265689</v>
      </c>
      <c r="AO181" s="62">
        <f t="shared" si="144"/>
        <v>462.33909258902241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5.4092197387944907E-14</v>
      </c>
      <c r="BF181" s="14">
        <f t="shared" si="167"/>
        <v>8.7287050538073676E-13</v>
      </c>
      <c r="BG181" s="22">
        <f t="shared" si="168"/>
        <v>1.6144600406554537E-12</v>
      </c>
      <c r="BH181" s="62">
        <f t="shared" si="116"/>
        <v>293.33333333333491</v>
      </c>
      <c r="BI181" s="62">
        <f ca="1">AVERAGE(OFFSET($BH$3,0,0,'Données projet'!$E$11+1,1))-AVERAGE(OFFSET($H$3,0,0,'Données projet'!$E$11+1,1))</f>
        <v>406.24139966722936</v>
      </c>
      <c r="BJ181" s="62">
        <f t="shared" si="146"/>
        <v>295.95724296920577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-4.5474735088646412E-13</v>
      </c>
      <c r="BZ181" s="14">
        <f>BY181*VLOOKUP('Données projet'!$B$12,Paramètres!$A$1:$I$89,3,0)*VLOOKUP('Données projet'!$B$12,Paramètres!$A$1:$I$89,5,0)</f>
        <v>-4.6111381379887462E-13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565.72091871734051</v>
      </c>
      <c r="CE181" s="62">
        <f t="shared" si="148"/>
        <v>306.61893266146666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4.9658410716801891E-14</v>
      </c>
      <c r="CV181" s="14">
        <f t="shared" si="173"/>
        <v>8.0934058173791862E-13</v>
      </c>
      <c r="CW181" s="22">
        <f t="shared" si="174"/>
        <v>1.4960899118586383E-12</v>
      </c>
      <c r="CX181" s="62">
        <f t="shared" si="122"/>
        <v>293.33333333333479</v>
      </c>
      <c r="CY181" s="62">
        <f ca="1">AVERAGE(OFFSET($CX$3,0,0,'Données projet'!$E$13+1,1))-AVERAGE(OFFSET($H$3,0,0,'Données projet'!$E$13+1,1))</f>
        <v>333.56306908115238</v>
      </c>
      <c r="CZ181" s="62">
        <f t="shared" si="150"/>
        <v>523.65456887919618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4.5474735088646412E-13</v>
      </c>
      <c r="DP181" s="18">
        <f>DO181*VLOOKUP('Données projet'!$B$14,Paramètres!$A$1:$I$89,3,0)*VLOOKUP('Données projet'!$B$14,Paramètres!$A$1:$I$89,5,0)</f>
        <v>3.3342075766995548E-13</v>
      </c>
      <c r="DQ181" s="14">
        <f t="shared" si="176"/>
        <v>4.3537988100583648E-12</v>
      </c>
      <c r="DR181" s="22">
        <f t="shared" si="177"/>
        <v>8.1635740804601579E-12</v>
      </c>
      <c r="DS181" s="62">
        <f t="shared" si="125"/>
        <v>293.3333333333415</v>
      </c>
      <c r="DT181" s="62">
        <f ca="1">AVERAGE(OFFSET($DS$3,0,0,'Données projet'!$E$14+1,1))-AVERAGE(OFFSET($H$3,0,0,'Données projet'!$E$14+1,1))</f>
        <v>397.24714625007675</v>
      </c>
      <c r="DU181" s="62">
        <f t="shared" si="152"/>
        <v>431.75775520200608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9">
        <f t="shared" si="110"/>
        <v>256.66666666666669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-4.1145540308207271E-13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509.56241660612449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-9.7543306765146564E-14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625.17723604265689</v>
      </c>
      <c r="AO182" s="62">
        <f t="shared" si="144"/>
        <v>462.33909258902241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5.4092197387944907E-14</v>
      </c>
      <c r="BF182" s="14">
        <f t="shared" si="167"/>
        <v>8.7287050538073676E-13</v>
      </c>
      <c r="BG182" s="22">
        <f t="shared" si="168"/>
        <v>1.6144600406554537E-12</v>
      </c>
      <c r="BH182" s="62">
        <f t="shared" si="116"/>
        <v>293.33333333333491</v>
      </c>
      <c r="BI182" s="62">
        <f ca="1">AVERAGE(OFFSET($BH$3,0,0,'Données projet'!$E$11+1,1))-AVERAGE(OFFSET($H$3,0,0,'Données projet'!$E$11+1,1))</f>
        <v>406.24139966722936</v>
      </c>
      <c r="BJ182" s="62">
        <f t="shared" si="146"/>
        <v>295.95724296920577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-4.5474735088646412E-13</v>
      </c>
      <c r="BZ182" s="14">
        <f>BY182*VLOOKUP('Données projet'!$B$12,Paramètres!$A$1:$I$89,3,0)*VLOOKUP('Données projet'!$B$12,Paramètres!$A$1:$I$89,5,0)</f>
        <v>-4.6111381379887462E-13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565.72091871734051</v>
      </c>
      <c r="CE182" s="62">
        <f t="shared" si="148"/>
        <v>306.61893266146666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4.9658410716801891E-14</v>
      </c>
      <c r="CV182" s="14">
        <f t="shared" si="173"/>
        <v>8.0934058173791862E-13</v>
      </c>
      <c r="CW182" s="22">
        <f t="shared" si="174"/>
        <v>1.4960899118586383E-12</v>
      </c>
      <c r="CX182" s="62">
        <f t="shared" si="122"/>
        <v>293.33333333333479</v>
      </c>
      <c r="CY182" s="62">
        <f ca="1">AVERAGE(OFFSET($CX$3,0,0,'Données projet'!$E$13+1,1))-AVERAGE(OFFSET($H$3,0,0,'Données projet'!$E$13+1,1))</f>
        <v>333.56306908115238</v>
      </c>
      <c r="CZ182" s="62">
        <f t="shared" si="150"/>
        <v>523.65456887919618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4.5474735088646412E-13</v>
      </c>
      <c r="DP182" s="18">
        <f>DO182*VLOOKUP('Données projet'!$B$14,Paramètres!$A$1:$I$89,3,0)*VLOOKUP('Données projet'!$B$14,Paramètres!$A$1:$I$89,5,0)</f>
        <v>3.3342075766995548E-13</v>
      </c>
      <c r="DQ182" s="14">
        <f t="shared" si="176"/>
        <v>4.3537988100583648E-12</v>
      </c>
      <c r="DR182" s="22">
        <f t="shared" si="177"/>
        <v>8.1635740804601579E-12</v>
      </c>
      <c r="DS182" s="62">
        <f t="shared" si="125"/>
        <v>293.3333333333415</v>
      </c>
      <c r="DT182" s="62">
        <f ca="1">AVERAGE(OFFSET($DS$3,0,0,'Données projet'!$E$14+1,1))-AVERAGE(OFFSET($H$3,0,0,'Données projet'!$E$14+1,1))</f>
        <v>397.24714625007675</v>
      </c>
      <c r="DU182" s="62">
        <f t="shared" si="152"/>
        <v>431.75775520200608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9">
        <f t="shared" si="110"/>
        <v>256.66666666666669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-4.1145540308207271E-13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509.56241660612449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-9.7543306765146564E-14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625.17723604265689</v>
      </c>
      <c r="AO183" s="62">
        <f t="shared" si="144"/>
        <v>462.33909258902241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5.4092197387944907E-14</v>
      </c>
      <c r="BF183" s="14">
        <f t="shared" si="167"/>
        <v>8.7287050538073676E-13</v>
      </c>
      <c r="BG183" s="22">
        <f t="shared" si="168"/>
        <v>1.6144600406554537E-12</v>
      </c>
      <c r="BH183" s="62">
        <f t="shared" si="116"/>
        <v>293.33333333333491</v>
      </c>
      <c r="BI183" s="62">
        <f ca="1">AVERAGE(OFFSET($BH$3,0,0,'Données projet'!$E$11+1,1))-AVERAGE(OFFSET($H$3,0,0,'Données projet'!$E$11+1,1))</f>
        <v>406.24139966722936</v>
      </c>
      <c r="BJ183" s="62">
        <f t="shared" si="146"/>
        <v>295.95724296920577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-4.5474735088646412E-13</v>
      </c>
      <c r="BZ183" s="14">
        <f>BY183*VLOOKUP('Données projet'!$B$12,Paramètres!$A$1:$I$89,3,0)*VLOOKUP('Données projet'!$B$12,Paramètres!$A$1:$I$89,5,0)</f>
        <v>-4.6111381379887462E-13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565.72091871734051</v>
      </c>
      <c r="CE183" s="62">
        <f t="shared" si="148"/>
        <v>306.61893266146666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4.9658410716801891E-14</v>
      </c>
      <c r="CV183" s="14">
        <f t="shared" si="173"/>
        <v>8.0934058173791862E-13</v>
      </c>
      <c r="CW183" s="22">
        <f t="shared" si="174"/>
        <v>1.4960899118586383E-12</v>
      </c>
      <c r="CX183" s="62">
        <f t="shared" si="122"/>
        <v>293.33333333333479</v>
      </c>
      <c r="CY183" s="62">
        <f ca="1">AVERAGE(OFFSET($CX$3,0,0,'Données projet'!$E$13+1,1))-AVERAGE(OFFSET($H$3,0,0,'Données projet'!$E$13+1,1))</f>
        <v>333.56306908115238</v>
      </c>
      <c r="CZ183" s="62">
        <f t="shared" si="150"/>
        <v>523.65456887919618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4.5474735088646412E-13</v>
      </c>
      <c r="DP183" s="18">
        <f>DO183*VLOOKUP('Données projet'!$B$14,Paramètres!$A$1:$I$89,3,0)*VLOOKUP('Données projet'!$B$14,Paramètres!$A$1:$I$89,5,0)</f>
        <v>3.3342075766995548E-13</v>
      </c>
      <c r="DQ183" s="14">
        <f t="shared" si="176"/>
        <v>4.3537988100583648E-12</v>
      </c>
      <c r="DR183" s="22">
        <f t="shared" si="177"/>
        <v>8.1635740804601579E-12</v>
      </c>
      <c r="DS183" s="62">
        <f t="shared" si="125"/>
        <v>293.3333333333415</v>
      </c>
      <c r="DT183" s="62">
        <f ca="1">AVERAGE(OFFSET($DS$3,0,0,'Données projet'!$E$14+1,1))-AVERAGE(OFFSET($H$3,0,0,'Données projet'!$E$14+1,1))</f>
        <v>397.24714625007675</v>
      </c>
      <c r="DU183" s="62">
        <f t="shared" si="152"/>
        <v>431.75775520200608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9">
        <f t="shared" si="110"/>
        <v>256.66666666666669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-4.1145540308207271E-13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509.56241660612449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-9.7543306765146564E-14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625.17723604265689</v>
      </c>
      <c r="AO184" s="62">
        <f t="shared" si="144"/>
        <v>462.33909258902241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5.4092197387944907E-14</v>
      </c>
      <c r="BF184" s="14">
        <f t="shared" si="167"/>
        <v>8.7287050538073676E-13</v>
      </c>
      <c r="BG184" s="22">
        <f t="shared" si="168"/>
        <v>1.6144600406554537E-12</v>
      </c>
      <c r="BH184" s="62">
        <f t="shared" si="116"/>
        <v>293.33333333333491</v>
      </c>
      <c r="BI184" s="62">
        <f ca="1">AVERAGE(OFFSET($BH$3,0,0,'Données projet'!$E$11+1,1))-AVERAGE(OFFSET($H$3,0,0,'Données projet'!$E$11+1,1))</f>
        <v>406.24139966722936</v>
      </c>
      <c r="BJ184" s="62">
        <f t="shared" si="146"/>
        <v>295.95724296920577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-4.5474735088646412E-13</v>
      </c>
      <c r="BZ184" s="14">
        <f>BY184*VLOOKUP('Données projet'!$B$12,Paramètres!$A$1:$I$89,3,0)*VLOOKUP('Données projet'!$B$12,Paramètres!$A$1:$I$89,5,0)</f>
        <v>-4.6111381379887462E-13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565.72091871734051</v>
      </c>
      <c r="CE184" s="62">
        <f t="shared" si="148"/>
        <v>306.61893266146666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4.9658410716801891E-14</v>
      </c>
      <c r="CV184" s="14">
        <f t="shared" si="173"/>
        <v>8.0934058173791862E-13</v>
      </c>
      <c r="CW184" s="22">
        <f t="shared" si="174"/>
        <v>1.4960899118586383E-12</v>
      </c>
      <c r="CX184" s="62">
        <f t="shared" si="122"/>
        <v>293.33333333333479</v>
      </c>
      <c r="CY184" s="62">
        <f ca="1">AVERAGE(OFFSET($CX$3,0,0,'Données projet'!$E$13+1,1))-AVERAGE(OFFSET($H$3,0,0,'Données projet'!$E$13+1,1))</f>
        <v>333.56306908115238</v>
      </c>
      <c r="CZ184" s="62">
        <f t="shared" si="150"/>
        <v>523.65456887919618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4.5474735088646412E-13</v>
      </c>
      <c r="DP184" s="18">
        <f>DO184*VLOOKUP('Données projet'!$B$14,Paramètres!$A$1:$I$89,3,0)*VLOOKUP('Données projet'!$B$14,Paramètres!$A$1:$I$89,5,0)</f>
        <v>3.3342075766995548E-13</v>
      </c>
      <c r="DQ184" s="14">
        <f t="shared" si="176"/>
        <v>4.3537988100583648E-12</v>
      </c>
      <c r="DR184" s="22">
        <f t="shared" si="177"/>
        <v>8.1635740804601579E-12</v>
      </c>
      <c r="DS184" s="62">
        <f t="shared" si="125"/>
        <v>293.3333333333415</v>
      </c>
      <c r="DT184" s="62">
        <f ca="1">AVERAGE(OFFSET($DS$3,0,0,'Données projet'!$E$14+1,1))-AVERAGE(OFFSET($H$3,0,0,'Données projet'!$E$14+1,1))</f>
        <v>397.24714625007675</v>
      </c>
      <c r="DU184" s="62">
        <f t="shared" si="152"/>
        <v>431.75775520200608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9">
        <f t="shared" si="110"/>
        <v>256.66666666666669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-4.1145540308207271E-13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509.56241660612449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-9.7543306765146564E-14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625.17723604265689</v>
      </c>
      <c r="AO185" s="62">
        <f t="shared" si="144"/>
        <v>462.33909258902241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5.4092197387944907E-14</v>
      </c>
      <c r="BF185" s="14">
        <f t="shared" si="167"/>
        <v>8.7287050538073676E-13</v>
      </c>
      <c r="BG185" s="22">
        <f t="shared" si="168"/>
        <v>1.6144600406554537E-12</v>
      </c>
      <c r="BH185" s="62">
        <f t="shared" si="116"/>
        <v>293.33333333333491</v>
      </c>
      <c r="BI185" s="62">
        <f ca="1">AVERAGE(OFFSET($BH$3,0,0,'Données projet'!$E$11+1,1))-AVERAGE(OFFSET($H$3,0,0,'Données projet'!$E$11+1,1))</f>
        <v>406.24139966722936</v>
      </c>
      <c r="BJ185" s="62">
        <f t="shared" si="146"/>
        <v>295.95724296920577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-4.5474735088646412E-13</v>
      </c>
      <c r="BZ185" s="14">
        <f>BY185*VLOOKUP('Données projet'!$B$12,Paramètres!$A$1:$I$89,3,0)*VLOOKUP('Données projet'!$B$12,Paramètres!$A$1:$I$89,5,0)</f>
        <v>-4.6111381379887462E-13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565.72091871734051</v>
      </c>
      <c r="CE185" s="62">
        <f t="shared" si="148"/>
        <v>306.61893266146666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4.9658410716801891E-14</v>
      </c>
      <c r="CV185" s="14">
        <f t="shared" si="173"/>
        <v>8.0934058173791862E-13</v>
      </c>
      <c r="CW185" s="22">
        <f t="shared" si="174"/>
        <v>1.4960899118586383E-12</v>
      </c>
      <c r="CX185" s="62">
        <f t="shared" si="122"/>
        <v>293.33333333333479</v>
      </c>
      <c r="CY185" s="62">
        <f ca="1">AVERAGE(OFFSET($CX$3,0,0,'Données projet'!$E$13+1,1))-AVERAGE(OFFSET($H$3,0,0,'Données projet'!$E$13+1,1))</f>
        <v>333.56306908115238</v>
      </c>
      <c r="CZ185" s="62">
        <f t="shared" si="150"/>
        <v>523.65456887919618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4.5474735088646412E-13</v>
      </c>
      <c r="DP185" s="18">
        <f>DO185*VLOOKUP('Données projet'!$B$14,Paramètres!$A$1:$I$89,3,0)*VLOOKUP('Données projet'!$B$14,Paramètres!$A$1:$I$89,5,0)</f>
        <v>3.3342075766995548E-13</v>
      </c>
      <c r="DQ185" s="14">
        <f t="shared" si="176"/>
        <v>4.3537988100583648E-12</v>
      </c>
      <c r="DR185" s="22">
        <f t="shared" si="177"/>
        <v>8.1635740804601579E-12</v>
      </c>
      <c r="DS185" s="62">
        <f t="shared" si="125"/>
        <v>293.3333333333415</v>
      </c>
      <c r="DT185" s="62">
        <f ca="1">AVERAGE(OFFSET($DS$3,0,0,'Données projet'!$E$14+1,1))-AVERAGE(OFFSET($H$3,0,0,'Données projet'!$E$14+1,1))</f>
        <v>397.24714625007675</v>
      </c>
      <c r="DU185" s="62">
        <f t="shared" si="152"/>
        <v>431.75775520200608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9">
        <f t="shared" si="110"/>
        <v>256.66666666666669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-4.1145540308207271E-13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509.56241660612449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-9.7543306765146564E-14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625.17723604265689</v>
      </c>
      <c r="AO186" s="62">
        <f t="shared" si="144"/>
        <v>462.33909258902241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5.4092197387944907E-14</v>
      </c>
      <c r="BF186" s="14">
        <f t="shared" si="167"/>
        <v>8.7287050538073676E-13</v>
      </c>
      <c r="BG186" s="22">
        <f t="shared" si="168"/>
        <v>1.6144600406554537E-12</v>
      </c>
      <c r="BH186" s="62">
        <f t="shared" si="116"/>
        <v>293.33333333333491</v>
      </c>
      <c r="BI186" s="62">
        <f ca="1">AVERAGE(OFFSET($BH$3,0,0,'Données projet'!$E$11+1,1))-AVERAGE(OFFSET($H$3,0,0,'Données projet'!$E$11+1,1))</f>
        <v>406.24139966722936</v>
      </c>
      <c r="BJ186" s="62">
        <f t="shared" si="146"/>
        <v>295.95724296920577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-4.5474735088646412E-13</v>
      </c>
      <c r="BZ186" s="14">
        <f>BY186*VLOOKUP('Données projet'!$B$12,Paramètres!$A$1:$I$89,3,0)*VLOOKUP('Données projet'!$B$12,Paramètres!$A$1:$I$89,5,0)</f>
        <v>-4.6111381379887462E-13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565.72091871734051</v>
      </c>
      <c r="CE186" s="62">
        <f t="shared" si="148"/>
        <v>306.61893266146666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4.9658410716801891E-14</v>
      </c>
      <c r="CV186" s="14">
        <f t="shared" si="173"/>
        <v>8.0934058173791862E-13</v>
      </c>
      <c r="CW186" s="22">
        <f t="shared" si="174"/>
        <v>1.4960899118586383E-12</v>
      </c>
      <c r="CX186" s="62">
        <f t="shared" si="122"/>
        <v>293.33333333333479</v>
      </c>
      <c r="CY186" s="62">
        <f ca="1">AVERAGE(OFFSET($CX$3,0,0,'Données projet'!$E$13+1,1))-AVERAGE(OFFSET($H$3,0,0,'Données projet'!$E$13+1,1))</f>
        <v>333.56306908115238</v>
      </c>
      <c r="CZ186" s="62">
        <f t="shared" si="150"/>
        <v>523.65456887919618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4.5474735088646412E-13</v>
      </c>
      <c r="DP186" s="18">
        <f>DO186*VLOOKUP('Données projet'!$B$14,Paramètres!$A$1:$I$89,3,0)*VLOOKUP('Données projet'!$B$14,Paramètres!$A$1:$I$89,5,0)</f>
        <v>3.3342075766995548E-13</v>
      </c>
      <c r="DQ186" s="14">
        <f t="shared" si="176"/>
        <v>4.3537988100583648E-12</v>
      </c>
      <c r="DR186" s="22">
        <f t="shared" si="177"/>
        <v>8.1635740804601579E-12</v>
      </c>
      <c r="DS186" s="62">
        <f t="shared" si="125"/>
        <v>293.3333333333415</v>
      </c>
      <c r="DT186" s="62">
        <f ca="1">AVERAGE(OFFSET($DS$3,0,0,'Données projet'!$E$14+1,1))-AVERAGE(OFFSET($H$3,0,0,'Données projet'!$E$14+1,1))</f>
        <v>397.24714625007675</v>
      </c>
      <c r="DU186" s="62">
        <f t="shared" si="152"/>
        <v>431.75775520200608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9">
        <f t="shared" si="110"/>
        <v>256.66666666666669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-4.1145540308207271E-13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509.56241660612449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-9.7543306765146564E-14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625.17723604265689</v>
      </c>
      <c r="AO187" s="62">
        <f t="shared" si="144"/>
        <v>462.33909258902241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5.4092197387944907E-14</v>
      </c>
      <c r="BF187" s="14">
        <f t="shared" si="167"/>
        <v>8.7287050538073676E-13</v>
      </c>
      <c r="BG187" s="22">
        <f t="shared" si="168"/>
        <v>1.6144600406554537E-12</v>
      </c>
      <c r="BH187" s="62">
        <f t="shared" si="116"/>
        <v>293.33333333333491</v>
      </c>
      <c r="BI187" s="62">
        <f ca="1">AVERAGE(OFFSET($BH$3,0,0,'Données projet'!$E$11+1,1))-AVERAGE(OFFSET($H$3,0,0,'Données projet'!$E$11+1,1))</f>
        <v>406.24139966722936</v>
      </c>
      <c r="BJ187" s="62">
        <f t="shared" si="146"/>
        <v>295.95724296920577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-4.5474735088646412E-13</v>
      </c>
      <c r="BZ187" s="14">
        <f>BY187*VLOOKUP('Données projet'!$B$12,Paramètres!$A$1:$I$89,3,0)*VLOOKUP('Données projet'!$B$12,Paramètres!$A$1:$I$89,5,0)</f>
        <v>-4.6111381379887462E-13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565.72091871734051</v>
      </c>
      <c r="CE187" s="62">
        <f t="shared" si="148"/>
        <v>306.61893266146666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4.9658410716801891E-14</v>
      </c>
      <c r="CV187" s="14">
        <f t="shared" si="173"/>
        <v>8.0934058173791862E-13</v>
      </c>
      <c r="CW187" s="22">
        <f t="shared" si="174"/>
        <v>1.4960899118586383E-12</v>
      </c>
      <c r="CX187" s="62">
        <f t="shared" si="122"/>
        <v>293.33333333333479</v>
      </c>
      <c r="CY187" s="62">
        <f ca="1">AVERAGE(OFFSET($CX$3,0,0,'Données projet'!$E$13+1,1))-AVERAGE(OFFSET($H$3,0,0,'Données projet'!$E$13+1,1))</f>
        <v>333.56306908115238</v>
      </c>
      <c r="CZ187" s="62">
        <f t="shared" si="150"/>
        <v>523.65456887919618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4.5474735088646412E-13</v>
      </c>
      <c r="DP187" s="18">
        <f>DO187*VLOOKUP('Données projet'!$B$14,Paramètres!$A$1:$I$89,3,0)*VLOOKUP('Données projet'!$B$14,Paramètres!$A$1:$I$89,5,0)</f>
        <v>3.3342075766995548E-13</v>
      </c>
      <c r="DQ187" s="14">
        <f t="shared" si="176"/>
        <v>4.3537988100583648E-12</v>
      </c>
      <c r="DR187" s="22">
        <f t="shared" si="177"/>
        <v>8.1635740804601579E-12</v>
      </c>
      <c r="DS187" s="62">
        <f t="shared" si="125"/>
        <v>293.3333333333415</v>
      </c>
      <c r="DT187" s="62">
        <f ca="1">AVERAGE(OFFSET($DS$3,0,0,'Données projet'!$E$14+1,1))-AVERAGE(OFFSET($H$3,0,0,'Données projet'!$E$14+1,1))</f>
        <v>397.24714625007675</v>
      </c>
      <c r="DU187" s="62">
        <f t="shared" si="152"/>
        <v>431.75775520200608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9">
        <f t="shared" si="110"/>
        <v>256.66666666666669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-4.1145540308207271E-13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509.56241660612449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-9.7543306765146564E-14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625.17723604265689</v>
      </c>
      <c r="AO188" s="62">
        <f t="shared" si="144"/>
        <v>462.33909258902241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5.4092197387944907E-14</v>
      </c>
      <c r="BF188" s="14">
        <f t="shared" si="167"/>
        <v>8.7287050538073676E-13</v>
      </c>
      <c r="BG188" s="22">
        <f t="shared" si="168"/>
        <v>1.6144600406554537E-12</v>
      </c>
      <c r="BH188" s="62">
        <f t="shared" si="116"/>
        <v>293.33333333333491</v>
      </c>
      <c r="BI188" s="62">
        <f ca="1">AVERAGE(OFFSET($BH$3,0,0,'Données projet'!$E$11+1,1))-AVERAGE(OFFSET($H$3,0,0,'Données projet'!$E$11+1,1))</f>
        <v>406.24139966722936</v>
      </c>
      <c r="BJ188" s="62">
        <f t="shared" si="146"/>
        <v>295.95724296920577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-4.5474735088646412E-13</v>
      </c>
      <c r="BZ188" s="14">
        <f>BY188*VLOOKUP('Données projet'!$B$12,Paramètres!$A$1:$I$89,3,0)*VLOOKUP('Données projet'!$B$12,Paramètres!$A$1:$I$89,5,0)</f>
        <v>-4.6111381379887462E-13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565.72091871734051</v>
      </c>
      <c r="CE188" s="62">
        <f t="shared" si="148"/>
        <v>306.61893266146666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4.9658410716801891E-14</v>
      </c>
      <c r="CV188" s="14">
        <f t="shared" si="173"/>
        <v>8.0934058173791862E-13</v>
      </c>
      <c r="CW188" s="22">
        <f t="shared" si="174"/>
        <v>1.4960899118586383E-12</v>
      </c>
      <c r="CX188" s="62">
        <f t="shared" si="122"/>
        <v>293.33333333333479</v>
      </c>
      <c r="CY188" s="62">
        <f ca="1">AVERAGE(OFFSET($CX$3,0,0,'Données projet'!$E$13+1,1))-AVERAGE(OFFSET($H$3,0,0,'Données projet'!$E$13+1,1))</f>
        <v>333.56306908115238</v>
      </c>
      <c r="CZ188" s="62">
        <f t="shared" si="150"/>
        <v>523.65456887919618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4.5474735088646412E-13</v>
      </c>
      <c r="DP188" s="18">
        <f>DO188*VLOOKUP('Données projet'!$B$14,Paramètres!$A$1:$I$89,3,0)*VLOOKUP('Données projet'!$B$14,Paramètres!$A$1:$I$89,5,0)</f>
        <v>3.3342075766995548E-13</v>
      </c>
      <c r="DQ188" s="14">
        <f t="shared" si="176"/>
        <v>4.3537988100583648E-12</v>
      </c>
      <c r="DR188" s="22">
        <f t="shared" si="177"/>
        <v>8.1635740804601579E-12</v>
      </c>
      <c r="DS188" s="62">
        <f t="shared" si="125"/>
        <v>293.3333333333415</v>
      </c>
      <c r="DT188" s="62">
        <f ca="1">AVERAGE(OFFSET($DS$3,0,0,'Données projet'!$E$14+1,1))-AVERAGE(OFFSET($H$3,0,0,'Données projet'!$E$14+1,1))</f>
        <v>397.24714625007675</v>
      </c>
      <c r="DU188" s="62">
        <f t="shared" si="152"/>
        <v>431.75775520200608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9">
        <f t="shared" si="110"/>
        <v>256.66666666666669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-4.1145540308207271E-13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509.56241660612449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-9.7543306765146564E-14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625.17723604265689</v>
      </c>
      <c r="AO189" s="62">
        <f t="shared" si="144"/>
        <v>462.33909258902241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5.4092197387944907E-14</v>
      </c>
      <c r="BF189" s="14">
        <f t="shared" si="167"/>
        <v>8.7287050538073676E-13</v>
      </c>
      <c r="BG189" s="22">
        <f t="shared" si="168"/>
        <v>1.6144600406554537E-12</v>
      </c>
      <c r="BH189" s="62">
        <f t="shared" si="116"/>
        <v>293.33333333333491</v>
      </c>
      <c r="BI189" s="62">
        <f ca="1">AVERAGE(OFFSET($BH$3,0,0,'Données projet'!$E$11+1,1))-AVERAGE(OFFSET($H$3,0,0,'Données projet'!$E$11+1,1))</f>
        <v>406.24139966722936</v>
      </c>
      <c r="BJ189" s="62">
        <f t="shared" si="146"/>
        <v>295.95724296920577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-4.5474735088646412E-13</v>
      </c>
      <c r="BZ189" s="14">
        <f>BY189*VLOOKUP('Données projet'!$B$12,Paramètres!$A$1:$I$89,3,0)*VLOOKUP('Données projet'!$B$12,Paramètres!$A$1:$I$89,5,0)</f>
        <v>-4.6111381379887462E-13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565.72091871734051</v>
      </c>
      <c r="CE189" s="62">
        <f t="shared" si="148"/>
        <v>306.61893266146666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4.9658410716801891E-14</v>
      </c>
      <c r="CV189" s="14">
        <f t="shared" si="173"/>
        <v>8.0934058173791862E-13</v>
      </c>
      <c r="CW189" s="22">
        <f t="shared" si="174"/>
        <v>1.4960899118586383E-12</v>
      </c>
      <c r="CX189" s="62">
        <f t="shared" si="122"/>
        <v>293.33333333333479</v>
      </c>
      <c r="CY189" s="62">
        <f ca="1">AVERAGE(OFFSET($CX$3,0,0,'Données projet'!$E$13+1,1))-AVERAGE(OFFSET($H$3,0,0,'Données projet'!$E$13+1,1))</f>
        <v>333.56306908115238</v>
      </c>
      <c r="CZ189" s="62">
        <f t="shared" si="150"/>
        <v>523.65456887919618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4.5474735088646412E-13</v>
      </c>
      <c r="DP189" s="18">
        <f>DO189*VLOOKUP('Données projet'!$B$14,Paramètres!$A$1:$I$89,3,0)*VLOOKUP('Données projet'!$B$14,Paramètres!$A$1:$I$89,5,0)</f>
        <v>3.3342075766995548E-13</v>
      </c>
      <c r="DQ189" s="14">
        <f t="shared" si="176"/>
        <v>4.3537988100583648E-12</v>
      </c>
      <c r="DR189" s="22">
        <f t="shared" si="177"/>
        <v>8.1635740804601579E-12</v>
      </c>
      <c r="DS189" s="62">
        <f t="shared" si="125"/>
        <v>293.3333333333415</v>
      </c>
      <c r="DT189" s="62">
        <f ca="1">AVERAGE(OFFSET($DS$3,0,0,'Données projet'!$E$14+1,1))-AVERAGE(OFFSET($H$3,0,0,'Données projet'!$E$14+1,1))</f>
        <v>397.24714625007675</v>
      </c>
      <c r="DU189" s="62">
        <f t="shared" si="152"/>
        <v>431.75775520200608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9">
        <f t="shared" si="110"/>
        <v>256.66666666666669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-4.1145540308207271E-13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509.56241660612449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-9.7543306765146564E-14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625.17723604265689</v>
      </c>
      <c r="AO190" s="62">
        <f t="shared" si="144"/>
        <v>462.33909258902241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5.4092197387944907E-14</v>
      </c>
      <c r="BF190" s="14">
        <f t="shared" si="167"/>
        <v>8.7287050538073676E-13</v>
      </c>
      <c r="BG190" s="22">
        <f t="shared" si="168"/>
        <v>1.6144600406554537E-12</v>
      </c>
      <c r="BH190" s="62">
        <f t="shared" si="116"/>
        <v>293.33333333333491</v>
      </c>
      <c r="BI190" s="62">
        <f ca="1">AVERAGE(OFFSET($BH$3,0,0,'Données projet'!$E$11+1,1))-AVERAGE(OFFSET($H$3,0,0,'Données projet'!$E$11+1,1))</f>
        <v>406.24139966722936</v>
      </c>
      <c r="BJ190" s="62">
        <f t="shared" si="146"/>
        <v>295.95724296920577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-4.5474735088646412E-13</v>
      </c>
      <c r="BZ190" s="14">
        <f>BY190*VLOOKUP('Données projet'!$B$12,Paramètres!$A$1:$I$89,3,0)*VLOOKUP('Données projet'!$B$12,Paramètres!$A$1:$I$89,5,0)</f>
        <v>-4.6111381379887462E-13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565.72091871734051</v>
      </c>
      <c r="CE190" s="62">
        <f t="shared" si="148"/>
        <v>306.61893266146666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4.9658410716801891E-14</v>
      </c>
      <c r="CV190" s="14">
        <f t="shared" si="173"/>
        <v>8.0934058173791862E-13</v>
      </c>
      <c r="CW190" s="22">
        <f t="shared" si="174"/>
        <v>1.4960899118586383E-12</v>
      </c>
      <c r="CX190" s="62">
        <f t="shared" si="122"/>
        <v>293.33333333333479</v>
      </c>
      <c r="CY190" s="62">
        <f ca="1">AVERAGE(OFFSET($CX$3,0,0,'Données projet'!$E$13+1,1))-AVERAGE(OFFSET($H$3,0,0,'Données projet'!$E$13+1,1))</f>
        <v>333.56306908115238</v>
      </c>
      <c r="CZ190" s="62">
        <f t="shared" si="150"/>
        <v>523.65456887919618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4.5474735088646412E-13</v>
      </c>
      <c r="DP190" s="18">
        <f>DO190*VLOOKUP('Données projet'!$B$14,Paramètres!$A$1:$I$89,3,0)*VLOOKUP('Données projet'!$B$14,Paramètres!$A$1:$I$89,5,0)</f>
        <v>3.3342075766995548E-13</v>
      </c>
      <c r="DQ190" s="14">
        <f t="shared" si="176"/>
        <v>4.3537988100583648E-12</v>
      </c>
      <c r="DR190" s="22">
        <f t="shared" si="177"/>
        <v>8.1635740804601579E-12</v>
      </c>
      <c r="DS190" s="62">
        <f t="shared" si="125"/>
        <v>293.3333333333415</v>
      </c>
      <c r="DT190" s="62">
        <f ca="1">AVERAGE(OFFSET($DS$3,0,0,'Données projet'!$E$14+1,1))-AVERAGE(OFFSET($H$3,0,0,'Données projet'!$E$14+1,1))</f>
        <v>397.24714625007675</v>
      </c>
      <c r="DU190" s="62">
        <f t="shared" si="152"/>
        <v>431.75775520200608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9">
        <f t="shared" si="110"/>
        <v>256.66666666666669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-4.1145540308207271E-13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509.56241660612449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-9.7543306765146564E-14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625.17723604265689</v>
      </c>
      <c r="AO191" s="62">
        <f t="shared" si="144"/>
        <v>462.33909258902241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5.4092197387944907E-14</v>
      </c>
      <c r="BF191" s="14">
        <f t="shared" si="167"/>
        <v>8.7287050538073676E-13</v>
      </c>
      <c r="BG191" s="22">
        <f t="shared" si="168"/>
        <v>1.6144600406554537E-12</v>
      </c>
      <c r="BH191" s="62">
        <f t="shared" si="116"/>
        <v>293.33333333333491</v>
      </c>
      <c r="BI191" s="62">
        <f ca="1">AVERAGE(OFFSET($BH$3,0,0,'Données projet'!$E$11+1,1))-AVERAGE(OFFSET($H$3,0,0,'Données projet'!$E$11+1,1))</f>
        <v>406.24139966722936</v>
      </c>
      <c r="BJ191" s="62">
        <f t="shared" si="146"/>
        <v>295.95724296920577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-4.5474735088646412E-13</v>
      </c>
      <c r="BZ191" s="14">
        <f>BY191*VLOOKUP('Données projet'!$B$12,Paramètres!$A$1:$I$89,3,0)*VLOOKUP('Données projet'!$B$12,Paramètres!$A$1:$I$89,5,0)</f>
        <v>-4.6111381379887462E-13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565.72091871734051</v>
      </c>
      <c r="CE191" s="62">
        <f t="shared" si="148"/>
        <v>306.61893266146666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4.9658410716801891E-14</v>
      </c>
      <c r="CV191" s="14">
        <f t="shared" si="173"/>
        <v>8.0934058173791862E-13</v>
      </c>
      <c r="CW191" s="22">
        <f t="shared" si="174"/>
        <v>1.4960899118586383E-12</v>
      </c>
      <c r="CX191" s="62">
        <f t="shared" si="122"/>
        <v>293.33333333333479</v>
      </c>
      <c r="CY191" s="62">
        <f ca="1">AVERAGE(OFFSET($CX$3,0,0,'Données projet'!$E$13+1,1))-AVERAGE(OFFSET($H$3,0,0,'Données projet'!$E$13+1,1))</f>
        <v>333.56306908115238</v>
      </c>
      <c r="CZ191" s="62">
        <f t="shared" si="150"/>
        <v>523.65456887919618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4.5474735088646412E-13</v>
      </c>
      <c r="DP191" s="18">
        <f>DO191*VLOOKUP('Données projet'!$B$14,Paramètres!$A$1:$I$89,3,0)*VLOOKUP('Données projet'!$B$14,Paramètres!$A$1:$I$89,5,0)</f>
        <v>3.3342075766995548E-13</v>
      </c>
      <c r="DQ191" s="14">
        <f t="shared" si="176"/>
        <v>4.3537988100583648E-12</v>
      </c>
      <c r="DR191" s="22">
        <f t="shared" si="177"/>
        <v>8.1635740804601579E-12</v>
      </c>
      <c r="DS191" s="62">
        <f t="shared" si="125"/>
        <v>293.3333333333415</v>
      </c>
      <c r="DT191" s="62">
        <f ca="1">AVERAGE(OFFSET($DS$3,0,0,'Données projet'!$E$14+1,1))-AVERAGE(OFFSET($H$3,0,0,'Données projet'!$E$14+1,1))</f>
        <v>397.24714625007675</v>
      </c>
      <c r="DU191" s="62">
        <f t="shared" si="152"/>
        <v>431.75775520200608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9">
        <f t="shared" si="110"/>
        <v>256.66666666666669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-4.1145540308207271E-13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509.56241660612449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-9.7543306765146564E-14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625.17723604265689</v>
      </c>
      <c r="AO192" s="62">
        <f t="shared" si="144"/>
        <v>462.33909258902241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5.4092197387944907E-14</v>
      </c>
      <c r="BF192" s="14">
        <f t="shared" si="167"/>
        <v>8.7287050538073676E-13</v>
      </c>
      <c r="BG192" s="22">
        <f t="shared" si="168"/>
        <v>1.6144600406554537E-12</v>
      </c>
      <c r="BH192" s="62">
        <f t="shared" si="116"/>
        <v>293.33333333333491</v>
      </c>
      <c r="BI192" s="62">
        <f ca="1">AVERAGE(OFFSET($BH$3,0,0,'Données projet'!$E$11+1,1))-AVERAGE(OFFSET($H$3,0,0,'Données projet'!$E$11+1,1))</f>
        <v>406.24139966722936</v>
      </c>
      <c r="BJ192" s="62">
        <f t="shared" si="146"/>
        <v>295.95724296920577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-4.5474735088646412E-13</v>
      </c>
      <c r="BZ192" s="14">
        <f>BY192*VLOOKUP('Données projet'!$B$12,Paramètres!$A$1:$I$89,3,0)*VLOOKUP('Données projet'!$B$12,Paramètres!$A$1:$I$89,5,0)</f>
        <v>-4.6111381379887462E-13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565.72091871734051</v>
      </c>
      <c r="CE192" s="62">
        <f t="shared" si="148"/>
        <v>306.61893266146666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4.9658410716801891E-14</v>
      </c>
      <c r="CV192" s="14">
        <f t="shared" si="173"/>
        <v>8.0934058173791862E-13</v>
      </c>
      <c r="CW192" s="22">
        <f t="shared" si="174"/>
        <v>1.4960899118586383E-12</v>
      </c>
      <c r="CX192" s="62">
        <f t="shared" si="122"/>
        <v>293.33333333333479</v>
      </c>
      <c r="CY192" s="62">
        <f ca="1">AVERAGE(OFFSET($CX$3,0,0,'Données projet'!$E$13+1,1))-AVERAGE(OFFSET($H$3,0,0,'Données projet'!$E$13+1,1))</f>
        <v>333.56306908115238</v>
      </c>
      <c r="CZ192" s="62">
        <f t="shared" si="150"/>
        <v>523.65456887919618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4.5474735088646412E-13</v>
      </c>
      <c r="DP192" s="18">
        <f>DO192*VLOOKUP('Données projet'!$B$14,Paramètres!$A$1:$I$89,3,0)*VLOOKUP('Données projet'!$B$14,Paramètres!$A$1:$I$89,5,0)</f>
        <v>3.3342075766995548E-13</v>
      </c>
      <c r="DQ192" s="14">
        <f t="shared" si="176"/>
        <v>4.3537988100583648E-12</v>
      </c>
      <c r="DR192" s="22">
        <f t="shared" si="177"/>
        <v>8.1635740804601579E-12</v>
      </c>
      <c r="DS192" s="62">
        <f t="shared" si="125"/>
        <v>293.3333333333415</v>
      </c>
      <c r="DT192" s="62">
        <f ca="1">AVERAGE(OFFSET($DS$3,0,0,'Données projet'!$E$14+1,1))-AVERAGE(OFFSET($H$3,0,0,'Données projet'!$E$14+1,1))</f>
        <v>397.24714625007675</v>
      </c>
      <c r="DU192" s="62">
        <f t="shared" si="152"/>
        <v>431.75775520200608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9">
        <f t="shared" si="110"/>
        <v>256.66666666666669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-4.1145540308207271E-13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509.56241660612449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-9.7543306765146564E-14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625.17723604265689</v>
      </c>
      <c r="AO193" s="62">
        <f t="shared" si="144"/>
        <v>462.33909258902241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5.4092197387944907E-14</v>
      </c>
      <c r="BF193" s="14">
        <f t="shared" si="167"/>
        <v>8.7287050538073676E-13</v>
      </c>
      <c r="BG193" s="22">
        <f t="shared" si="168"/>
        <v>1.6144600406554537E-12</v>
      </c>
      <c r="BH193" s="62">
        <f t="shared" si="116"/>
        <v>293.33333333333491</v>
      </c>
      <c r="BI193" s="62">
        <f ca="1">AVERAGE(OFFSET($BH$3,0,0,'Données projet'!$E$11+1,1))-AVERAGE(OFFSET($H$3,0,0,'Données projet'!$E$11+1,1))</f>
        <v>406.24139966722936</v>
      </c>
      <c r="BJ193" s="62">
        <f t="shared" si="146"/>
        <v>295.95724296920577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-4.5474735088646412E-13</v>
      </c>
      <c r="BZ193" s="14">
        <f>BY193*VLOOKUP('Données projet'!$B$12,Paramètres!$A$1:$I$89,3,0)*VLOOKUP('Données projet'!$B$12,Paramètres!$A$1:$I$89,5,0)</f>
        <v>-4.6111381379887462E-13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565.72091871734051</v>
      </c>
      <c r="CE193" s="62">
        <f t="shared" si="148"/>
        <v>306.61893266146666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4.9658410716801891E-14</v>
      </c>
      <c r="CV193" s="14">
        <f t="shared" si="173"/>
        <v>8.0934058173791862E-13</v>
      </c>
      <c r="CW193" s="22">
        <f t="shared" si="174"/>
        <v>1.4960899118586383E-12</v>
      </c>
      <c r="CX193" s="62">
        <f t="shared" si="122"/>
        <v>293.33333333333479</v>
      </c>
      <c r="CY193" s="62">
        <f ca="1">AVERAGE(OFFSET($CX$3,0,0,'Données projet'!$E$13+1,1))-AVERAGE(OFFSET($H$3,0,0,'Données projet'!$E$13+1,1))</f>
        <v>333.56306908115238</v>
      </c>
      <c r="CZ193" s="62">
        <f t="shared" si="150"/>
        <v>523.65456887919618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4.5474735088646412E-13</v>
      </c>
      <c r="DP193" s="18">
        <f>DO193*VLOOKUP('Données projet'!$B$14,Paramètres!$A$1:$I$89,3,0)*VLOOKUP('Données projet'!$B$14,Paramètres!$A$1:$I$89,5,0)</f>
        <v>3.3342075766995548E-13</v>
      </c>
      <c r="DQ193" s="14">
        <f t="shared" si="176"/>
        <v>4.3537988100583648E-12</v>
      </c>
      <c r="DR193" s="22">
        <f t="shared" si="177"/>
        <v>8.1635740804601579E-12</v>
      </c>
      <c r="DS193" s="62">
        <f t="shared" si="125"/>
        <v>293.3333333333415</v>
      </c>
      <c r="DT193" s="62">
        <f ca="1">AVERAGE(OFFSET($DS$3,0,0,'Données projet'!$E$14+1,1))-AVERAGE(OFFSET($H$3,0,0,'Données projet'!$E$14+1,1))</f>
        <v>397.24714625007675</v>
      </c>
      <c r="DU193" s="62">
        <f t="shared" si="152"/>
        <v>431.75775520200608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9">
        <f t="shared" si="110"/>
        <v>256.66666666666669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-4.1145540308207271E-13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509.56241660612449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-9.7543306765146564E-14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625.17723604265689</v>
      </c>
      <c r="AO194" s="62">
        <f t="shared" si="144"/>
        <v>462.33909258902241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5.4092197387944907E-14</v>
      </c>
      <c r="BF194" s="14">
        <f t="shared" si="167"/>
        <v>8.7287050538073676E-13</v>
      </c>
      <c r="BG194" s="22">
        <f t="shared" si="168"/>
        <v>1.6144600406554537E-12</v>
      </c>
      <c r="BH194" s="62">
        <f t="shared" si="116"/>
        <v>293.33333333333491</v>
      </c>
      <c r="BI194" s="62">
        <f ca="1">AVERAGE(OFFSET($BH$3,0,0,'Données projet'!$E$11+1,1))-AVERAGE(OFFSET($H$3,0,0,'Données projet'!$E$11+1,1))</f>
        <v>406.24139966722936</v>
      </c>
      <c r="BJ194" s="62">
        <f t="shared" si="146"/>
        <v>295.95724296920577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-4.5474735088646412E-13</v>
      </c>
      <c r="BZ194" s="14">
        <f>BY194*VLOOKUP('Données projet'!$B$12,Paramètres!$A$1:$I$89,3,0)*VLOOKUP('Données projet'!$B$12,Paramètres!$A$1:$I$89,5,0)</f>
        <v>-4.6111381379887462E-13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565.72091871734051</v>
      </c>
      <c r="CE194" s="62">
        <f t="shared" si="148"/>
        <v>306.61893266146666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4.9658410716801891E-14</v>
      </c>
      <c r="CV194" s="14">
        <f t="shared" si="173"/>
        <v>8.0934058173791862E-13</v>
      </c>
      <c r="CW194" s="22">
        <f t="shared" si="174"/>
        <v>1.4960899118586383E-12</v>
      </c>
      <c r="CX194" s="62">
        <f t="shared" si="122"/>
        <v>293.33333333333479</v>
      </c>
      <c r="CY194" s="62">
        <f ca="1">AVERAGE(OFFSET($CX$3,0,0,'Données projet'!$E$13+1,1))-AVERAGE(OFFSET($H$3,0,0,'Données projet'!$E$13+1,1))</f>
        <v>333.56306908115238</v>
      </c>
      <c r="CZ194" s="62">
        <f t="shared" si="150"/>
        <v>523.65456887919618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4.5474735088646412E-13</v>
      </c>
      <c r="DP194" s="18">
        <f>DO194*VLOOKUP('Données projet'!$B$14,Paramètres!$A$1:$I$89,3,0)*VLOOKUP('Données projet'!$B$14,Paramètres!$A$1:$I$89,5,0)</f>
        <v>3.3342075766995548E-13</v>
      </c>
      <c r="DQ194" s="14">
        <f t="shared" si="176"/>
        <v>4.3537988100583648E-12</v>
      </c>
      <c r="DR194" s="22">
        <f t="shared" si="177"/>
        <v>8.1635740804601579E-12</v>
      </c>
      <c r="DS194" s="62">
        <f t="shared" si="125"/>
        <v>293.3333333333415</v>
      </c>
      <c r="DT194" s="62">
        <f ca="1">AVERAGE(OFFSET($DS$3,0,0,'Données projet'!$E$14+1,1))-AVERAGE(OFFSET($H$3,0,0,'Données projet'!$E$14+1,1))</f>
        <v>397.24714625007675</v>
      </c>
      <c r="DU194" s="62">
        <f t="shared" si="152"/>
        <v>431.75775520200608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9">
        <f t="shared" si="110"/>
        <v>256.66666666666669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-4.1145540308207271E-13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509.56241660612449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-9.7543306765146564E-14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625.17723604265689</v>
      </c>
      <c r="AO195" s="62">
        <f t="shared" si="144"/>
        <v>462.33909258902241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5.4092197387944907E-14</v>
      </c>
      <c r="BF195" s="14">
        <f t="shared" si="167"/>
        <v>8.7287050538073676E-13</v>
      </c>
      <c r="BG195" s="22">
        <f t="shared" si="168"/>
        <v>1.6144600406554537E-12</v>
      </c>
      <c r="BH195" s="62">
        <f t="shared" si="116"/>
        <v>293.33333333333491</v>
      </c>
      <c r="BI195" s="62">
        <f ca="1">AVERAGE(OFFSET($BH$3,0,0,'Données projet'!$E$11+1,1))-AVERAGE(OFFSET($H$3,0,0,'Données projet'!$E$11+1,1))</f>
        <v>406.24139966722936</v>
      </c>
      <c r="BJ195" s="62">
        <f t="shared" si="146"/>
        <v>295.95724296920577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-4.5474735088646412E-13</v>
      </c>
      <c r="BZ195" s="14">
        <f>BY195*VLOOKUP('Données projet'!$B$12,Paramètres!$A$1:$I$89,3,0)*VLOOKUP('Données projet'!$B$12,Paramètres!$A$1:$I$89,5,0)</f>
        <v>-4.6111381379887462E-13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565.72091871734051</v>
      </c>
      <c r="CE195" s="62">
        <f t="shared" si="148"/>
        <v>306.61893266146666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4.9658410716801891E-14</v>
      </c>
      <c r="CV195" s="14">
        <f t="shared" si="173"/>
        <v>8.0934058173791862E-13</v>
      </c>
      <c r="CW195" s="22">
        <f t="shared" si="174"/>
        <v>1.4960899118586383E-12</v>
      </c>
      <c r="CX195" s="62">
        <f t="shared" si="122"/>
        <v>293.33333333333479</v>
      </c>
      <c r="CY195" s="62">
        <f ca="1">AVERAGE(OFFSET($CX$3,0,0,'Données projet'!$E$13+1,1))-AVERAGE(OFFSET($H$3,0,0,'Données projet'!$E$13+1,1))</f>
        <v>333.56306908115238</v>
      </c>
      <c r="CZ195" s="62">
        <f t="shared" si="150"/>
        <v>523.65456887919618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4.5474735088646412E-13</v>
      </c>
      <c r="DP195" s="18">
        <f>DO195*VLOOKUP('Données projet'!$B$14,Paramètres!$A$1:$I$89,3,0)*VLOOKUP('Données projet'!$B$14,Paramètres!$A$1:$I$89,5,0)</f>
        <v>3.3342075766995548E-13</v>
      </c>
      <c r="DQ195" s="14">
        <f t="shared" si="176"/>
        <v>4.3537988100583648E-12</v>
      </c>
      <c r="DR195" s="22">
        <f t="shared" si="177"/>
        <v>8.1635740804601579E-12</v>
      </c>
      <c r="DS195" s="62">
        <f t="shared" si="125"/>
        <v>293.3333333333415</v>
      </c>
      <c r="DT195" s="62">
        <f ca="1">AVERAGE(OFFSET($DS$3,0,0,'Données projet'!$E$14+1,1))-AVERAGE(OFFSET($H$3,0,0,'Données projet'!$E$14+1,1))</f>
        <v>397.24714625007675</v>
      </c>
      <c r="DU195" s="62">
        <f t="shared" si="152"/>
        <v>431.75775520200608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9">
        <f t="shared" ref="H196:H203" si="192">(B196+E196+F196)*44/12+(C196+D196)*0.475*44/12</f>
        <v>256.66666666666669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-4.1145540308207271E-13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509.56241660612449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-9.7543306765146564E-14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625.17723604265689</v>
      </c>
      <c r="AO196" s="62">
        <f t="shared" si="144"/>
        <v>462.33909258902241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5.4092197387944907E-14</v>
      </c>
      <c r="BF196" s="14">
        <f t="shared" si="167"/>
        <v>8.7287050538073676E-13</v>
      </c>
      <c r="BG196" s="22">
        <f t="shared" si="168"/>
        <v>1.6144600406554537E-12</v>
      </c>
      <c r="BH196" s="62">
        <f t="shared" ref="BH196:BH203" si="194">BG196+(AY196+AZ196)*44/12</f>
        <v>293.33333333333491</v>
      </c>
      <c r="BI196" s="62">
        <f ca="1">AVERAGE(OFFSET($BH$3,0,0,'Données projet'!$E$11+1,1))-AVERAGE(OFFSET($H$3,0,0,'Données projet'!$E$11+1,1))</f>
        <v>406.24139966722936</v>
      </c>
      <c r="BJ196" s="62">
        <f t="shared" si="146"/>
        <v>295.95724296920577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-4.5474735088646412E-13</v>
      </c>
      <c r="BZ196" s="14">
        <f>BY196*VLOOKUP('Données projet'!$B$12,Paramètres!$A$1:$I$89,3,0)*VLOOKUP('Données projet'!$B$12,Paramètres!$A$1:$I$89,5,0)</f>
        <v>-4.6111381379887462E-13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565.72091871734051</v>
      </c>
      <c r="CE196" s="62">
        <f t="shared" si="148"/>
        <v>306.61893266146666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4.9658410716801891E-14</v>
      </c>
      <c r="CV196" s="14">
        <f t="shared" si="173"/>
        <v>8.0934058173791862E-13</v>
      </c>
      <c r="CW196" s="22">
        <f t="shared" si="174"/>
        <v>1.4960899118586383E-12</v>
      </c>
      <c r="CX196" s="62">
        <f t="shared" ref="CX196:CX203" si="196">CW196+(CO196+CP196)*44/12</f>
        <v>293.33333333333479</v>
      </c>
      <c r="CY196" s="62">
        <f ca="1">AVERAGE(OFFSET($CX$3,0,0,'Données projet'!$E$13+1,1))-AVERAGE(OFFSET($H$3,0,0,'Données projet'!$E$13+1,1))</f>
        <v>333.56306908115238</v>
      </c>
      <c r="CZ196" s="62">
        <f t="shared" si="150"/>
        <v>523.65456887919618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4.5474735088646412E-13</v>
      </c>
      <c r="DP196" s="18">
        <f>DO196*VLOOKUP('Données projet'!$B$14,Paramètres!$A$1:$I$89,3,0)*VLOOKUP('Données projet'!$B$14,Paramètres!$A$1:$I$89,5,0)</f>
        <v>3.3342075766995548E-13</v>
      </c>
      <c r="DQ196" s="14">
        <f t="shared" si="176"/>
        <v>4.3537988100583648E-12</v>
      </c>
      <c r="DR196" s="22">
        <f t="shared" si="177"/>
        <v>8.1635740804601579E-12</v>
      </c>
      <c r="DS196" s="62">
        <f t="shared" ref="DS196:DS203" si="197">DR196+(DJ196+DK196)*44/12</f>
        <v>293.3333333333415</v>
      </c>
      <c r="DT196" s="62">
        <f ca="1">AVERAGE(OFFSET($DS$3,0,0,'Données projet'!$E$14+1,1))-AVERAGE(OFFSET($H$3,0,0,'Données projet'!$E$14+1,1))</f>
        <v>397.24714625007675</v>
      </c>
      <c r="DU196" s="62">
        <f t="shared" si="152"/>
        <v>431.75775520200608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9">
        <f t="shared" si="192"/>
        <v>256.66666666666669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-4.1145540308207271E-13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509.56241660612449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-9.7543306765146564E-14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625.17723604265689</v>
      </c>
      <c r="AO197" s="62">
        <f t="shared" ref="AO197:AO203" si="205">$AO$3</f>
        <v>462.33909258902241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5.4092197387944907E-14</v>
      </c>
      <c r="BF197" s="14">
        <f t="shared" si="167"/>
        <v>8.7287050538073676E-13</v>
      </c>
      <c r="BG197" s="22">
        <f t="shared" si="168"/>
        <v>1.6144600406554537E-12</v>
      </c>
      <c r="BH197" s="62">
        <f t="shared" si="194"/>
        <v>293.33333333333491</v>
      </c>
      <c r="BI197" s="62">
        <f ca="1">AVERAGE(OFFSET($BH$3,0,0,'Données projet'!$E$11+1,1))-AVERAGE(OFFSET($H$3,0,0,'Données projet'!$E$11+1,1))</f>
        <v>406.24139966722936</v>
      </c>
      <c r="BJ197" s="62">
        <f t="shared" ref="BJ197:BJ203" si="206">$BJ$3</f>
        <v>295.95724296920577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-4.5474735088646412E-13</v>
      </c>
      <c r="BZ197" s="14">
        <f>BY197*VLOOKUP('Données projet'!$B$12,Paramètres!$A$1:$I$89,3,0)*VLOOKUP('Données projet'!$B$12,Paramètres!$A$1:$I$89,5,0)</f>
        <v>-4.6111381379887462E-13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565.72091871734051</v>
      </c>
      <c r="CE197" s="62">
        <f t="shared" ref="CE197:CE203" si="207">$CE$3</f>
        <v>306.61893266146666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4.9658410716801891E-14</v>
      </c>
      <c r="CV197" s="14">
        <f t="shared" si="173"/>
        <v>8.0934058173791862E-13</v>
      </c>
      <c r="CW197" s="22">
        <f t="shared" si="174"/>
        <v>1.4960899118586383E-12</v>
      </c>
      <c r="CX197" s="62">
        <f t="shared" si="196"/>
        <v>293.33333333333479</v>
      </c>
      <c r="CY197" s="62">
        <f ca="1">AVERAGE(OFFSET($CX$3,0,0,'Données projet'!$E$13+1,1))-AVERAGE(OFFSET($H$3,0,0,'Données projet'!$E$13+1,1))</f>
        <v>333.56306908115238</v>
      </c>
      <c r="CZ197" s="62">
        <f t="shared" ref="CZ197:CZ203" si="208">$CZ$3</f>
        <v>523.65456887919618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4.5474735088646412E-13</v>
      </c>
      <c r="DP197" s="18">
        <f>DO197*VLOOKUP('Données projet'!$B$14,Paramètres!$A$1:$I$89,3,0)*VLOOKUP('Données projet'!$B$14,Paramètres!$A$1:$I$89,5,0)</f>
        <v>3.3342075766995548E-13</v>
      </c>
      <c r="DQ197" s="14">
        <f t="shared" si="176"/>
        <v>4.3537988100583648E-12</v>
      </c>
      <c r="DR197" s="22">
        <f t="shared" si="177"/>
        <v>8.1635740804601579E-12</v>
      </c>
      <c r="DS197" s="62">
        <f t="shared" si="197"/>
        <v>293.3333333333415</v>
      </c>
      <c r="DT197" s="62">
        <f ca="1">AVERAGE(OFFSET($DS$3,0,0,'Données projet'!$E$14+1,1))-AVERAGE(OFFSET($H$3,0,0,'Données projet'!$E$14+1,1))</f>
        <v>397.24714625007675</v>
      </c>
      <c r="DU197" s="62">
        <f t="shared" ref="DU197:DU203" si="209">$DU$3</f>
        <v>431.75775520200608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9">
        <f t="shared" si="192"/>
        <v>256.66666666666669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-4.1145540308207271E-13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509.56241660612449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-9.7543306765146564E-14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625.17723604265689</v>
      </c>
      <c r="AO198" s="62">
        <f t="shared" si="205"/>
        <v>462.33909258902241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5.4092197387944907E-14</v>
      </c>
      <c r="BF198" s="14">
        <f t="shared" si="167"/>
        <v>8.7287050538073676E-13</v>
      </c>
      <c r="BG198" s="22">
        <f t="shared" si="168"/>
        <v>1.6144600406554537E-12</v>
      </c>
      <c r="BH198" s="62">
        <f t="shared" si="194"/>
        <v>293.33333333333491</v>
      </c>
      <c r="BI198" s="62">
        <f ca="1">AVERAGE(OFFSET($BH$3,0,0,'Données projet'!$E$11+1,1))-AVERAGE(OFFSET($H$3,0,0,'Données projet'!$E$11+1,1))</f>
        <v>406.24139966722936</v>
      </c>
      <c r="BJ198" s="62">
        <f t="shared" si="206"/>
        <v>295.95724296920577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-4.5474735088646412E-13</v>
      </c>
      <c r="BZ198" s="14">
        <f>BY198*VLOOKUP('Données projet'!$B$12,Paramètres!$A$1:$I$89,3,0)*VLOOKUP('Données projet'!$B$12,Paramètres!$A$1:$I$89,5,0)</f>
        <v>-4.6111381379887462E-13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565.72091871734051</v>
      </c>
      <c r="CE198" s="62">
        <f t="shared" si="207"/>
        <v>306.61893266146666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4.9658410716801891E-14</v>
      </c>
      <c r="CV198" s="14">
        <f t="shared" si="173"/>
        <v>8.0934058173791862E-13</v>
      </c>
      <c r="CW198" s="22">
        <f t="shared" si="174"/>
        <v>1.4960899118586383E-12</v>
      </c>
      <c r="CX198" s="62">
        <f t="shared" si="196"/>
        <v>293.33333333333479</v>
      </c>
      <c r="CY198" s="62">
        <f ca="1">AVERAGE(OFFSET($CX$3,0,0,'Données projet'!$E$13+1,1))-AVERAGE(OFFSET($H$3,0,0,'Données projet'!$E$13+1,1))</f>
        <v>333.56306908115238</v>
      </c>
      <c r="CZ198" s="62">
        <f t="shared" si="208"/>
        <v>523.65456887919618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4.5474735088646412E-13</v>
      </c>
      <c r="DP198" s="18">
        <f>DO198*VLOOKUP('Données projet'!$B$14,Paramètres!$A$1:$I$89,3,0)*VLOOKUP('Données projet'!$B$14,Paramètres!$A$1:$I$89,5,0)</f>
        <v>3.3342075766995548E-13</v>
      </c>
      <c r="DQ198" s="14">
        <f t="shared" si="176"/>
        <v>4.3537988100583648E-12</v>
      </c>
      <c r="DR198" s="22">
        <f t="shared" si="177"/>
        <v>8.1635740804601579E-12</v>
      </c>
      <c r="DS198" s="62">
        <f t="shared" si="197"/>
        <v>293.3333333333415</v>
      </c>
      <c r="DT198" s="62">
        <f ca="1">AVERAGE(OFFSET($DS$3,0,0,'Données projet'!$E$14+1,1))-AVERAGE(OFFSET($H$3,0,0,'Données projet'!$E$14+1,1))</f>
        <v>397.24714625007675</v>
      </c>
      <c r="DU198" s="62">
        <f t="shared" si="209"/>
        <v>431.75775520200608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9">
        <f t="shared" si="192"/>
        <v>256.66666666666669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-4.1145540308207271E-13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509.56241660612449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-9.7543306765146564E-14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625.17723604265689</v>
      </c>
      <c r="AO199" s="62">
        <f t="shared" si="205"/>
        <v>462.33909258902241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5.4092197387944907E-14</v>
      </c>
      <c r="BF199" s="14">
        <f t="shared" si="167"/>
        <v>8.7287050538073676E-13</v>
      </c>
      <c r="BG199" s="22">
        <f t="shared" si="168"/>
        <v>1.6144600406554537E-12</v>
      </c>
      <c r="BH199" s="62">
        <f t="shared" si="194"/>
        <v>293.33333333333491</v>
      </c>
      <c r="BI199" s="62">
        <f ca="1">AVERAGE(OFFSET($BH$3,0,0,'Données projet'!$E$11+1,1))-AVERAGE(OFFSET($H$3,0,0,'Données projet'!$E$11+1,1))</f>
        <v>406.24139966722936</v>
      </c>
      <c r="BJ199" s="62">
        <f t="shared" si="206"/>
        <v>295.95724296920577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-4.5474735088646412E-13</v>
      </c>
      <c r="BZ199" s="14">
        <f>BY199*VLOOKUP('Données projet'!$B$12,Paramètres!$A$1:$I$89,3,0)*VLOOKUP('Données projet'!$B$12,Paramètres!$A$1:$I$89,5,0)</f>
        <v>-4.6111381379887462E-13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565.72091871734051</v>
      </c>
      <c r="CE199" s="62">
        <f t="shared" si="207"/>
        <v>306.61893266146666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4.9658410716801891E-14</v>
      </c>
      <c r="CV199" s="14">
        <f t="shared" si="173"/>
        <v>8.0934058173791862E-13</v>
      </c>
      <c r="CW199" s="22">
        <f t="shared" si="174"/>
        <v>1.4960899118586383E-12</v>
      </c>
      <c r="CX199" s="62">
        <f t="shared" si="196"/>
        <v>293.33333333333479</v>
      </c>
      <c r="CY199" s="62">
        <f ca="1">AVERAGE(OFFSET($CX$3,0,0,'Données projet'!$E$13+1,1))-AVERAGE(OFFSET($H$3,0,0,'Données projet'!$E$13+1,1))</f>
        <v>333.56306908115238</v>
      </c>
      <c r="CZ199" s="62">
        <f t="shared" si="208"/>
        <v>523.65456887919618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4.5474735088646412E-13</v>
      </c>
      <c r="DP199" s="18">
        <f>DO199*VLOOKUP('Données projet'!$B$14,Paramètres!$A$1:$I$89,3,0)*VLOOKUP('Données projet'!$B$14,Paramètres!$A$1:$I$89,5,0)</f>
        <v>3.3342075766995548E-13</v>
      </c>
      <c r="DQ199" s="14">
        <f t="shared" si="176"/>
        <v>4.3537988100583648E-12</v>
      </c>
      <c r="DR199" s="22">
        <f t="shared" si="177"/>
        <v>8.1635740804601579E-12</v>
      </c>
      <c r="DS199" s="62">
        <f t="shared" si="197"/>
        <v>293.3333333333415</v>
      </c>
      <c r="DT199" s="62">
        <f ca="1">AVERAGE(OFFSET($DS$3,0,0,'Données projet'!$E$14+1,1))-AVERAGE(OFFSET($H$3,0,0,'Données projet'!$E$14+1,1))</f>
        <v>397.24714625007675</v>
      </c>
      <c r="DU199" s="62">
        <f t="shared" si="209"/>
        <v>431.75775520200608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9">
        <f t="shared" si="192"/>
        <v>256.66666666666669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-4.1145540308207271E-13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509.56241660612449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-9.7543306765146564E-14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625.17723604265689</v>
      </c>
      <c r="AO200" s="62">
        <f t="shared" si="205"/>
        <v>462.33909258902241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5.4092197387944907E-14</v>
      </c>
      <c r="BF200" s="14">
        <f t="shared" si="167"/>
        <v>8.7287050538073676E-13</v>
      </c>
      <c r="BG200" s="22">
        <f t="shared" si="168"/>
        <v>1.6144600406554537E-12</v>
      </c>
      <c r="BH200" s="62">
        <f t="shared" si="194"/>
        <v>293.33333333333491</v>
      </c>
      <c r="BI200" s="62">
        <f ca="1">AVERAGE(OFFSET($BH$3,0,0,'Données projet'!$E$11+1,1))-AVERAGE(OFFSET($H$3,0,0,'Données projet'!$E$11+1,1))</f>
        <v>406.24139966722936</v>
      </c>
      <c r="BJ200" s="62">
        <f t="shared" si="206"/>
        <v>295.95724296920577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-4.5474735088646412E-13</v>
      </c>
      <c r="BZ200" s="14">
        <f>BY200*VLOOKUP('Données projet'!$B$12,Paramètres!$A$1:$I$89,3,0)*VLOOKUP('Données projet'!$B$12,Paramètres!$A$1:$I$89,5,0)</f>
        <v>-4.6111381379887462E-13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565.72091871734051</v>
      </c>
      <c r="CE200" s="62">
        <f t="shared" si="207"/>
        <v>306.61893266146666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4.9658410716801891E-14</v>
      </c>
      <c r="CV200" s="14">
        <f t="shared" si="173"/>
        <v>8.0934058173791862E-13</v>
      </c>
      <c r="CW200" s="22">
        <f t="shared" si="174"/>
        <v>1.4960899118586383E-12</v>
      </c>
      <c r="CX200" s="62">
        <f t="shared" si="196"/>
        <v>293.33333333333479</v>
      </c>
      <c r="CY200" s="62">
        <f ca="1">AVERAGE(OFFSET($CX$3,0,0,'Données projet'!$E$13+1,1))-AVERAGE(OFFSET($H$3,0,0,'Données projet'!$E$13+1,1))</f>
        <v>333.56306908115238</v>
      </c>
      <c r="CZ200" s="62">
        <f t="shared" si="208"/>
        <v>523.65456887919618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4.5474735088646412E-13</v>
      </c>
      <c r="DP200" s="18">
        <f>DO200*VLOOKUP('Données projet'!$B$14,Paramètres!$A$1:$I$89,3,0)*VLOOKUP('Données projet'!$B$14,Paramètres!$A$1:$I$89,5,0)</f>
        <v>3.3342075766995548E-13</v>
      </c>
      <c r="DQ200" s="14">
        <f t="shared" si="176"/>
        <v>4.3537988100583648E-12</v>
      </c>
      <c r="DR200" s="22">
        <f t="shared" si="177"/>
        <v>8.1635740804601579E-12</v>
      </c>
      <c r="DS200" s="62">
        <f t="shared" si="197"/>
        <v>293.3333333333415</v>
      </c>
      <c r="DT200" s="62">
        <f ca="1">AVERAGE(OFFSET($DS$3,0,0,'Données projet'!$E$14+1,1))-AVERAGE(OFFSET($H$3,0,0,'Données projet'!$E$14+1,1))</f>
        <v>397.24714625007675</v>
      </c>
      <c r="DU200" s="62">
        <f t="shared" si="209"/>
        <v>431.75775520200608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9">
        <f t="shared" si="192"/>
        <v>256.66666666666669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-4.1145540308207271E-13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509.56241660612449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-9.7543306765146564E-14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625.17723604265689</v>
      </c>
      <c r="AO201" s="62">
        <f t="shared" si="205"/>
        <v>462.33909258902241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5.4092197387944907E-14</v>
      </c>
      <c r="BF201" s="14">
        <f t="shared" si="167"/>
        <v>8.7287050538073676E-13</v>
      </c>
      <c r="BG201" s="22">
        <f t="shared" si="168"/>
        <v>1.6144600406554537E-12</v>
      </c>
      <c r="BH201" s="62">
        <f t="shared" si="194"/>
        <v>293.33333333333491</v>
      </c>
      <c r="BI201" s="62">
        <f ca="1">AVERAGE(OFFSET($BH$3,0,0,'Données projet'!$E$11+1,1))-AVERAGE(OFFSET($H$3,0,0,'Données projet'!$E$11+1,1))</f>
        <v>406.24139966722936</v>
      </c>
      <c r="BJ201" s="62">
        <f t="shared" si="206"/>
        <v>295.95724296920577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-4.5474735088646412E-13</v>
      </c>
      <c r="BZ201" s="14">
        <f>BY201*VLOOKUP('Données projet'!$B$12,Paramètres!$A$1:$I$89,3,0)*VLOOKUP('Données projet'!$B$12,Paramètres!$A$1:$I$89,5,0)</f>
        <v>-4.6111381379887462E-13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565.72091871734051</v>
      </c>
      <c r="CE201" s="62">
        <f t="shared" si="207"/>
        <v>306.61893266146666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4.9658410716801891E-14</v>
      </c>
      <c r="CV201" s="14">
        <f t="shared" si="173"/>
        <v>8.0934058173791862E-13</v>
      </c>
      <c r="CW201" s="22">
        <f t="shared" si="174"/>
        <v>1.4960899118586383E-12</v>
      </c>
      <c r="CX201" s="62">
        <f t="shared" si="196"/>
        <v>293.33333333333479</v>
      </c>
      <c r="CY201" s="62">
        <f ca="1">AVERAGE(OFFSET($CX$3,0,0,'Données projet'!$E$13+1,1))-AVERAGE(OFFSET($H$3,0,0,'Données projet'!$E$13+1,1))</f>
        <v>333.56306908115238</v>
      </c>
      <c r="CZ201" s="62">
        <f t="shared" si="208"/>
        <v>523.65456887919618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4.5474735088646412E-13</v>
      </c>
      <c r="DP201" s="18">
        <f>DO201*VLOOKUP('Données projet'!$B$14,Paramètres!$A$1:$I$89,3,0)*VLOOKUP('Données projet'!$B$14,Paramètres!$A$1:$I$89,5,0)</f>
        <v>3.3342075766995548E-13</v>
      </c>
      <c r="DQ201" s="14">
        <f t="shared" si="176"/>
        <v>4.3537988100583648E-12</v>
      </c>
      <c r="DR201" s="22">
        <f t="shared" si="177"/>
        <v>8.1635740804601579E-12</v>
      </c>
      <c r="DS201" s="62">
        <f t="shared" si="197"/>
        <v>293.3333333333415</v>
      </c>
      <c r="DT201" s="62">
        <f ca="1">AVERAGE(OFFSET($DS$3,0,0,'Données projet'!$E$14+1,1))-AVERAGE(OFFSET($H$3,0,0,'Données projet'!$E$14+1,1))</f>
        <v>397.24714625007675</v>
      </c>
      <c r="DU201" s="62">
        <f t="shared" si="209"/>
        <v>431.75775520200608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9">
        <f t="shared" si="192"/>
        <v>256.66666666666669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-4.1145540308207271E-13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509.56241660612449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-9.7543306765146564E-14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625.17723604265689</v>
      </c>
      <c r="AO202" s="62">
        <f t="shared" si="205"/>
        <v>462.33909258902241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5.4092197387944907E-14</v>
      </c>
      <c r="BF202" s="14">
        <f t="shared" si="167"/>
        <v>8.7287050538073676E-13</v>
      </c>
      <c r="BG202" s="22">
        <f t="shared" si="168"/>
        <v>1.6144600406554537E-12</v>
      </c>
      <c r="BH202" s="62">
        <f t="shared" si="194"/>
        <v>293.33333333333491</v>
      </c>
      <c r="BI202" s="62">
        <f ca="1">AVERAGE(OFFSET($BH$3,0,0,'Données projet'!$E$11+1,1))-AVERAGE(OFFSET($H$3,0,0,'Données projet'!$E$11+1,1))</f>
        <v>406.24139966722936</v>
      </c>
      <c r="BJ202" s="62">
        <f t="shared" si="206"/>
        <v>295.95724296920577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-4.5474735088646412E-13</v>
      </c>
      <c r="BZ202" s="14">
        <f>BY202*VLOOKUP('Données projet'!$B$12,Paramètres!$A$1:$I$89,3,0)*VLOOKUP('Données projet'!$B$12,Paramètres!$A$1:$I$89,5,0)</f>
        <v>-4.6111381379887462E-13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565.72091871734051</v>
      </c>
      <c r="CE202" s="62">
        <f t="shared" si="207"/>
        <v>306.61893266146666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4.9658410716801891E-14</v>
      </c>
      <c r="CV202" s="14">
        <f t="shared" si="173"/>
        <v>8.0934058173791862E-13</v>
      </c>
      <c r="CW202" s="22">
        <f t="shared" si="174"/>
        <v>1.4960899118586383E-12</v>
      </c>
      <c r="CX202" s="62">
        <f t="shared" si="196"/>
        <v>293.33333333333479</v>
      </c>
      <c r="CY202" s="62">
        <f ca="1">AVERAGE(OFFSET($CX$3,0,0,'Données projet'!$E$13+1,1))-AVERAGE(OFFSET($H$3,0,0,'Données projet'!$E$13+1,1))</f>
        <v>333.56306908115238</v>
      </c>
      <c r="CZ202" s="62">
        <f t="shared" si="208"/>
        <v>523.65456887919618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4.5474735088646412E-13</v>
      </c>
      <c r="DP202" s="18">
        <f>DO202*VLOOKUP('Données projet'!$B$14,Paramètres!$A$1:$I$89,3,0)*VLOOKUP('Données projet'!$B$14,Paramètres!$A$1:$I$89,5,0)</f>
        <v>3.3342075766995548E-13</v>
      </c>
      <c r="DQ202" s="14">
        <f t="shared" si="176"/>
        <v>4.3537988100583648E-12</v>
      </c>
      <c r="DR202" s="22">
        <f t="shared" si="177"/>
        <v>8.1635740804601579E-12</v>
      </c>
      <c r="DS202" s="62">
        <f t="shared" si="197"/>
        <v>293.3333333333415</v>
      </c>
      <c r="DT202" s="62">
        <f ca="1">AVERAGE(OFFSET($DS$3,0,0,'Données projet'!$E$14+1,1))-AVERAGE(OFFSET($H$3,0,0,'Données projet'!$E$14+1,1))</f>
        <v>397.24714625007675</v>
      </c>
      <c r="DU202" s="62">
        <f t="shared" si="209"/>
        <v>431.75775520200608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9">
        <f t="shared" si="192"/>
        <v>256.66666666666669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-4.1145540308207271E-13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509.56241660612449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-9.7543306765146564E-14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625.17723604265689</v>
      </c>
      <c r="AO203" s="62">
        <f t="shared" si="205"/>
        <v>462.33909258902241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5.4092197387944907E-14</v>
      </c>
      <c r="BF203" s="14">
        <f t="shared" si="167"/>
        <v>8.7287050538073676E-13</v>
      </c>
      <c r="BG203" s="22">
        <f t="shared" si="168"/>
        <v>1.6144600406554537E-12</v>
      </c>
      <c r="BH203" s="62">
        <f t="shared" si="194"/>
        <v>293.33333333333491</v>
      </c>
      <c r="BI203" s="62">
        <f ca="1">AVERAGE(OFFSET($BH$3,0,0,'Données projet'!$E$11+1,1))-AVERAGE(OFFSET($H$3,0,0,'Données projet'!$E$11+1,1))</f>
        <v>406.24139966722936</v>
      </c>
      <c r="BJ203" s="62">
        <f t="shared" si="206"/>
        <v>295.95724296920577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-4.5474735088646412E-13</v>
      </c>
      <c r="BZ203" s="14">
        <f>BY203*VLOOKUP('Données projet'!$B$12,Paramètres!$A$1:$I$89,3,0)*VLOOKUP('Données projet'!$B$12,Paramètres!$A$1:$I$89,5,0)</f>
        <v>-4.6111381379887462E-13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565.72091871734051</v>
      </c>
      <c r="CE203" s="62">
        <f t="shared" si="207"/>
        <v>306.61893266146666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4.9658410716801891E-14</v>
      </c>
      <c r="CV203" s="14">
        <f t="shared" si="173"/>
        <v>8.0934058173791862E-13</v>
      </c>
      <c r="CW203" s="22">
        <f t="shared" si="174"/>
        <v>1.4960899118586383E-12</v>
      </c>
      <c r="CX203" s="62">
        <f t="shared" si="196"/>
        <v>293.33333333333479</v>
      </c>
      <c r="CY203" s="62">
        <f ca="1">AVERAGE(OFFSET($CX$3,0,0,'Données projet'!$E$13+1,1))-AVERAGE(OFFSET($H$3,0,0,'Données projet'!$E$13+1,1))</f>
        <v>333.56306908115238</v>
      </c>
      <c r="CZ203" s="62">
        <f t="shared" si="208"/>
        <v>523.65456887919618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4.5474735088646412E-13</v>
      </c>
      <c r="DP203" s="18">
        <f>DO203*VLOOKUP('Données projet'!$B$14,Paramètres!$A$1:$I$89,3,0)*VLOOKUP('Données projet'!$B$14,Paramètres!$A$1:$I$89,5,0)</f>
        <v>3.3342075766995548E-13</v>
      </c>
      <c r="DQ203" s="14">
        <f t="shared" si="176"/>
        <v>4.3537988100583648E-12</v>
      </c>
      <c r="DR203" s="22">
        <f t="shared" si="177"/>
        <v>8.1635740804601579E-12</v>
      </c>
      <c r="DS203" s="62">
        <f t="shared" si="197"/>
        <v>293.3333333333415</v>
      </c>
      <c r="DT203" s="62">
        <f ca="1">AVERAGE(OFFSET($DS$3,0,0,'Données projet'!$E$14+1,1))-AVERAGE(OFFSET($H$3,0,0,'Données projet'!$E$14+1,1))</f>
        <v>397.24714625007675</v>
      </c>
      <c r="DU203" s="62">
        <f t="shared" si="209"/>
        <v>431.75775520200608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.75" thickBot="1" x14ac:dyDescent="0.3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1.2392705892426346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1.1577536725165907</v>
      </c>
      <c r="BA205" s="87">
        <f>EXP(LN('Données projet'!B88)/'Données projet'!A88)</f>
        <v>1.2934226882877784</v>
      </c>
      <c r="BV205" s="87">
        <f>EXP(LN('Données projet'!B114)/'Données projet'!A114)</f>
        <v>1.2392705892426346</v>
      </c>
      <c r="CQ205" s="87">
        <f>EXP(LN('Données projet'!B140)/'Données projet'!A140)</f>
        <v>1.3655017210306359</v>
      </c>
      <c r="DL205" s="87">
        <f>EXP(LN('Données projet'!B166)/'Données projet'!A166)</f>
        <v>1.3409598814794317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4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5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4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6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6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5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4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5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Q5" zoomScale="85" zoomScaleNormal="85" workbookViewId="0">
      <selection activeCell="S20" sqref="S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34" t="s">
        <v>315</v>
      </c>
      <c r="I4" s="334"/>
      <c r="K4" s="331" t="s">
        <v>253</v>
      </c>
      <c r="L4" s="33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3" t="s">
        <v>310</v>
      </c>
      <c r="S7" s="324"/>
      <c r="T7" s="324"/>
      <c r="U7" s="324"/>
      <c r="V7" s="325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940.00971763606424</v>
      </c>
      <c r="U10" s="188">
        <f>'Données projet'!D9</f>
        <v>1.5847572000000001</v>
      </c>
      <c r="V10" s="187">
        <f>U10*T10</f>
        <v>1489.6871680937199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Hêtre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4102.889605221706</v>
      </c>
      <c r="U11" s="188">
        <f>'Données projet'!D10</f>
        <v>0.41580610000000001</v>
      </c>
      <c r="V11" s="187">
        <f t="shared" ref="V11" si="0">U11*T11</f>
        <v>1706.0065254777774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Charme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509.58934385645489</v>
      </c>
      <c r="U12" s="188">
        <f>'Données projet'!D11</f>
        <v>0.41510550000000002</v>
      </c>
      <c r="V12" s="187">
        <f t="shared" ref="V12:V19" si="1">U12*T12</f>
        <v>211.53333937620565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Chêne pubescent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940.00971763606424</v>
      </c>
      <c r="U13" s="188">
        <f>'Données projet'!D12</f>
        <v>0.39864140000000003</v>
      </c>
      <c r="V13" s="187">
        <f t="shared" si="1"/>
        <v>374.72678985204539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Chêne rouge d'Amérique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9308.1184408206864</v>
      </c>
      <c r="U14" s="188">
        <f>'Données projet'!D13</f>
        <v>0.17164700000000002</v>
      </c>
      <c r="V14" s="187">
        <f t="shared" si="1"/>
        <v>1597.7106060115486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35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Châtaignier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3008.0555481758756</v>
      </c>
      <c r="U15" s="188">
        <f>'Données projet'!D14</f>
        <v>6.51558E-2</v>
      </c>
      <c r="V15" s="187">
        <f t="shared" si="1"/>
        <v>195.99226568583771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5"/>
      <c r="H16" s="201"/>
      <c r="I16" s="202"/>
      <c r="J16" s="214"/>
      <c r="K16" s="223"/>
      <c r="L16" s="331" t="s">
        <v>254</v>
      </c>
      <c r="M16" s="332"/>
      <c r="N16" s="2"/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5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5"/>
      <c r="H19" s="230" t="s">
        <v>178</v>
      </c>
      <c r="I19" s="230" t="s">
        <v>287</v>
      </c>
      <c r="J19" s="258"/>
      <c r="K19" s="181"/>
      <c r="L19" s="331" t="s">
        <v>288</v>
      </c>
      <c r="M19" s="332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5"/>
      <c r="H20" s="201">
        <v>0</v>
      </c>
      <c r="I20" s="202">
        <v>11070.2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33" t="s">
        <v>260</v>
      </c>
      <c r="M23" s="333"/>
      <c r="N23" s="333"/>
      <c r="O23" s="25"/>
      <c r="P23" s="25"/>
      <c r="Q23" s="263"/>
      <c r="R23" s="25"/>
      <c r="S23" s="183" t="s">
        <v>264</v>
      </c>
      <c r="T23" s="32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-33203.253905502868</v>
      </c>
      <c r="U23" s="328"/>
      <c r="V23" s="32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25</v>
      </c>
      <c r="B24" s="191">
        <f>'Données projet'!D37</f>
        <v>34</v>
      </c>
      <c r="C24" s="204">
        <v>10</v>
      </c>
      <c r="D24" s="192">
        <f t="shared" ref="D24:D42" si="2">B24*C24</f>
        <v>340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2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29"/>
      <c r="V24" s="32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30</v>
      </c>
      <c r="B25" s="191">
        <f>'Données projet'!D38</f>
        <v>0</v>
      </c>
      <c r="C25" s="204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30">
        <f ca="1">T23-T24</f>
        <v>-33203.253905502868</v>
      </c>
      <c r="U25" s="330"/>
      <c r="V25" s="33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35</v>
      </c>
      <c r="B26" s="191">
        <f>'Données projet'!D39</f>
        <v>56</v>
      </c>
      <c r="C26" s="204">
        <v>10</v>
      </c>
      <c r="D26" s="192">
        <f t="shared" si="2"/>
        <v>560</v>
      </c>
      <c r="E26" s="204"/>
      <c r="F26" s="262"/>
      <c r="G26" s="257"/>
      <c r="H26" s="201"/>
      <c r="I26" s="202"/>
      <c r="K26" s="223"/>
      <c r="L26" s="317" t="s">
        <v>258</v>
      </c>
      <c r="M26" s="318"/>
      <c r="N26" s="318"/>
      <c r="O26" s="318"/>
      <c r="P26" s="319"/>
      <c r="Q26" s="263"/>
      <c r="R26" s="25"/>
      <c r="S26" s="196" t="s">
        <v>265</v>
      </c>
      <c r="T26" s="327" t="str">
        <f ca="1">IF(T25&lt;0,"Votre projet est additionnel","Votre projet n'est pas additionnel")</f>
        <v>Votre projet est additionnel</v>
      </c>
      <c r="U26" s="327"/>
      <c r="V26" s="32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40</v>
      </c>
      <c r="B27" s="191">
        <f>'Données projet'!D40</f>
        <v>0</v>
      </c>
      <c r="C27" s="204"/>
      <c r="D27" s="192">
        <f t="shared" si="2"/>
        <v>0</v>
      </c>
      <c r="E27" s="204"/>
      <c r="F27" s="262"/>
      <c r="G27" s="257"/>
      <c r="H27" s="201"/>
      <c r="I27" s="202"/>
      <c r="K27" s="223"/>
      <c r="L27" s="320"/>
      <c r="M27" s="321"/>
      <c r="N27" s="321"/>
      <c r="O27" s="321"/>
      <c r="P27" s="322"/>
      <c r="Q27" s="263"/>
      <c r="R27" s="25"/>
      <c r="S27" s="326" t="s">
        <v>267</v>
      </c>
      <c r="T27" s="326"/>
      <c r="U27" s="326"/>
      <c r="V27" s="32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45</v>
      </c>
      <c r="B28" s="191">
        <f>'Données projet'!D41</f>
        <v>56</v>
      </c>
      <c r="C28" s="204">
        <v>10</v>
      </c>
      <c r="D28" s="192">
        <f t="shared" si="2"/>
        <v>560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50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55</v>
      </c>
      <c r="B30" s="191">
        <f>'Données projet'!D43</f>
        <v>56</v>
      </c>
      <c r="C30" s="204">
        <v>20</v>
      </c>
      <c r="D30" s="192">
        <f t="shared" si="2"/>
        <v>1120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65</v>
      </c>
      <c r="B32" s="191">
        <f>'Données projet'!D45</f>
        <v>56</v>
      </c>
      <c r="C32" s="204">
        <v>30</v>
      </c>
      <c r="D32" s="192">
        <f t="shared" si="2"/>
        <v>1680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75</v>
      </c>
      <c r="B34" s="191">
        <f>'Données projet'!D47</f>
        <v>56</v>
      </c>
      <c r="C34" s="204">
        <v>40</v>
      </c>
      <c r="D34" s="192">
        <f t="shared" si="2"/>
        <v>2240</v>
      </c>
      <c r="E34" s="204"/>
      <c r="F34" s="262"/>
      <c r="G34" s="216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80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90</v>
      </c>
      <c r="B36" s="191">
        <f>'Données projet'!D49</f>
        <v>56</v>
      </c>
      <c r="C36" s="204">
        <v>70</v>
      </c>
      <c r="D36" s="192">
        <f t="shared" si="2"/>
        <v>3920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100</v>
      </c>
      <c r="B37" s="191">
        <f>'Données projet'!D50</f>
        <v>55</v>
      </c>
      <c r="C37" s="204">
        <v>100</v>
      </c>
      <c r="D37" s="192">
        <f t="shared" si="2"/>
        <v>5500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110</v>
      </c>
      <c r="B38" s="191">
        <f>'Données projet'!D51</f>
        <v>53</v>
      </c>
      <c r="C38" s="204">
        <v>120</v>
      </c>
      <c r="D38" s="192">
        <f t="shared" si="2"/>
        <v>6360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120</v>
      </c>
      <c r="B39" s="191">
        <f>'Données projet'!D52</f>
        <v>47</v>
      </c>
      <c r="C39" s="204">
        <v>120</v>
      </c>
      <c r="D39" s="192">
        <f t="shared" si="2"/>
        <v>5640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130</v>
      </c>
      <c r="B40" s="191">
        <f>'Données projet'!D53</f>
        <v>44</v>
      </c>
      <c r="C40" s="204">
        <v>150</v>
      </c>
      <c r="D40" s="192">
        <f t="shared" si="2"/>
        <v>6600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140</v>
      </c>
      <c r="B41" s="191">
        <f>'Données projet'!D54</f>
        <v>43</v>
      </c>
      <c r="C41" s="204">
        <v>200</v>
      </c>
      <c r="D41" s="192">
        <f t="shared" si="2"/>
        <v>8600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150</v>
      </c>
      <c r="B42" s="191">
        <f>'Données projet'!D55</f>
        <v>335</v>
      </c>
      <c r="C42" s="204">
        <v>200</v>
      </c>
      <c r="D42" s="192">
        <f t="shared" si="2"/>
        <v>67000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Hêtre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15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18</v>
      </c>
      <c r="B55" s="191">
        <f>'Données projet'!D63</f>
        <v>2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21</v>
      </c>
      <c r="B56" s="191">
        <f>'Données projet'!D64</f>
        <v>8</v>
      </c>
      <c r="C56" s="202">
        <v>10</v>
      </c>
      <c r="D56" s="189">
        <f t="shared" si="4"/>
        <v>80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24</v>
      </c>
      <c r="B57" s="191">
        <f>'Données projet'!D65</f>
        <v>47</v>
      </c>
      <c r="C57" s="202">
        <v>20</v>
      </c>
      <c r="D57" s="189">
        <f t="shared" si="4"/>
        <v>940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27</v>
      </c>
      <c r="B58" s="191">
        <f>'Données projet'!D66</f>
        <v>43</v>
      </c>
      <c r="C58" s="202">
        <v>20</v>
      </c>
      <c r="D58" s="189">
        <f t="shared" si="4"/>
        <v>860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30</v>
      </c>
      <c r="B59" s="191">
        <f>'Données projet'!D67</f>
        <v>48</v>
      </c>
      <c r="C59" s="202">
        <v>30</v>
      </c>
      <c r="D59" s="189">
        <f t="shared" si="4"/>
        <v>1440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36</v>
      </c>
      <c r="B60" s="191">
        <f>'Données projet'!D68</f>
        <v>92</v>
      </c>
      <c r="C60" s="202">
        <v>30</v>
      </c>
      <c r="D60" s="189">
        <f t="shared" si="4"/>
        <v>2760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42</v>
      </c>
      <c r="B61" s="191">
        <f>'Données projet'!D69</f>
        <v>90</v>
      </c>
      <c r="C61" s="202">
        <v>40</v>
      </c>
      <c r="D61" s="189">
        <f t="shared" si="4"/>
        <v>3600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51</v>
      </c>
      <c r="B62" s="191">
        <f>'Données projet'!D70</f>
        <v>119</v>
      </c>
      <c r="C62" s="202">
        <v>40</v>
      </c>
      <c r="D62" s="189">
        <f t="shared" si="4"/>
        <v>4760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63</v>
      </c>
      <c r="B63" s="191">
        <f>'Données projet'!D71</f>
        <v>124</v>
      </c>
      <c r="C63" s="202">
        <v>50</v>
      </c>
      <c r="D63" s="189">
        <f t="shared" si="4"/>
        <v>6200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72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81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84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90</v>
      </c>
      <c r="B67" s="191">
        <f>'Données projet'!D75</f>
        <v>705</v>
      </c>
      <c r="C67" s="202">
        <v>80</v>
      </c>
      <c r="D67" s="189">
        <f t="shared" si="4"/>
        <v>56400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Charme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15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20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25</v>
      </c>
      <c r="B87" s="191">
        <f>'Données projet'!D90</f>
        <v>35.897435897435898</v>
      </c>
      <c r="C87" s="202">
        <v>10</v>
      </c>
      <c r="D87" s="189">
        <f t="shared" si="6"/>
        <v>358.97435897435901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30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35</v>
      </c>
      <c r="B89" s="191">
        <f>'Données projet'!D92</f>
        <v>33.333333333333336</v>
      </c>
      <c r="C89" s="202">
        <v>10</v>
      </c>
      <c r="D89" s="189">
        <f t="shared" si="6"/>
        <v>333.33333333333337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str">
        <f>IF(O88+1&lt;=MIN('Données projet'!$E$9:$E$18),O88+1,"STOP")</f>
        <v>STOP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40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45</v>
      </c>
      <c r="B91" s="191">
        <f>'Données projet'!D94</f>
        <v>34.615384615384613</v>
      </c>
      <c r="C91" s="202">
        <v>15</v>
      </c>
      <c r="D91" s="189">
        <f t="shared" si="6"/>
        <v>519.23076923076917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50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55</v>
      </c>
      <c r="B93" s="191">
        <f>'Données projet'!D96</f>
        <v>34.615384615384613</v>
      </c>
      <c r="C93" s="202">
        <v>20</v>
      </c>
      <c r="D93" s="189">
        <f t="shared" si="6"/>
        <v>692.30769230769226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60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65</v>
      </c>
      <c r="B95" s="191">
        <f>'Données projet'!D98</f>
        <v>32.692307692307693</v>
      </c>
      <c r="C95" s="202">
        <v>20</v>
      </c>
      <c r="D95" s="189">
        <f t="shared" si="6"/>
        <v>653.84615384615381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70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75</v>
      </c>
      <c r="B97" s="191">
        <f>'Données projet'!D100</f>
        <v>30.769230769230766</v>
      </c>
      <c r="C97" s="202">
        <v>25</v>
      </c>
      <c r="D97" s="189">
        <f t="shared" si="6"/>
        <v>769.23076923076917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80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85</v>
      </c>
      <c r="B99" s="191">
        <f>'Données projet'!D102</f>
        <v>28.846153846153847</v>
      </c>
      <c r="C99" s="202">
        <v>30</v>
      </c>
      <c r="D99" s="189">
        <f t="shared" si="6"/>
        <v>865.38461538461536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90</v>
      </c>
      <c r="B100" s="191">
        <f>'Données projet'!D103</f>
        <v>0</v>
      </c>
      <c r="C100" s="204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95</v>
      </c>
      <c r="B101" s="191">
        <f>'Données projet'!D104</f>
        <v>27.564102564102562</v>
      </c>
      <c r="C101" s="204">
        <v>35</v>
      </c>
      <c r="D101" s="189">
        <f t="shared" si="6"/>
        <v>964.74358974358972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100</v>
      </c>
      <c r="B102" s="191">
        <f>'Données projet'!D105</f>
        <v>0</v>
      </c>
      <c r="C102" s="204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110</v>
      </c>
      <c r="B103" s="191">
        <f>'Données projet'!D106</f>
        <v>37.820512820512818</v>
      </c>
      <c r="C103" s="204">
        <v>40</v>
      </c>
      <c r="D103" s="189">
        <f t="shared" si="6"/>
        <v>1512.8205128205127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120</v>
      </c>
      <c r="B104" s="191">
        <f>'Données projet'!D107</f>
        <v>285.89743589743591</v>
      </c>
      <c r="C104" s="204">
        <v>50</v>
      </c>
      <c r="D104" s="189">
        <f t="shared" si="6"/>
        <v>14294.871794871795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Chêne pubescent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25</v>
      </c>
      <c r="B117" s="191">
        <f>'Données projet'!D115</f>
        <v>34</v>
      </c>
      <c r="C117" s="204">
        <v>10</v>
      </c>
      <c r="D117" s="189">
        <f t="shared" ref="D117:D135" si="8">B117*C117</f>
        <v>340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0</v>
      </c>
      <c r="C118" s="204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35</v>
      </c>
      <c r="B119" s="191">
        <f>'Données projet'!D117</f>
        <v>56</v>
      </c>
      <c r="C119" s="204">
        <v>10</v>
      </c>
      <c r="D119" s="189">
        <f t="shared" si="8"/>
        <v>560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40</v>
      </c>
      <c r="B120" s="191">
        <f>'Données projet'!D118</f>
        <v>0</v>
      </c>
      <c r="C120" s="204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45</v>
      </c>
      <c r="B121" s="191">
        <f>'Données projet'!D119</f>
        <v>56</v>
      </c>
      <c r="C121" s="204">
        <v>10</v>
      </c>
      <c r="D121" s="189">
        <f t="shared" si="8"/>
        <v>560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50</v>
      </c>
      <c r="B122" s="191">
        <f>'Données projet'!D120</f>
        <v>0</v>
      </c>
      <c r="C122" s="204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55</v>
      </c>
      <c r="B123" s="191">
        <f>'Données projet'!D121</f>
        <v>56</v>
      </c>
      <c r="C123" s="204">
        <v>20</v>
      </c>
      <c r="D123" s="189">
        <f t="shared" si="8"/>
        <v>1120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60</v>
      </c>
      <c r="B124" s="191">
        <f>'Données projet'!D122</f>
        <v>0</v>
      </c>
      <c r="C124" s="204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65</v>
      </c>
      <c r="B125" s="191">
        <f>'Données projet'!D123</f>
        <v>56</v>
      </c>
      <c r="C125" s="204">
        <v>30</v>
      </c>
      <c r="D125" s="189">
        <f t="shared" si="8"/>
        <v>1680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70</v>
      </c>
      <c r="B126" s="191">
        <f>'Données projet'!D124</f>
        <v>0</v>
      </c>
      <c r="C126" s="204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75</v>
      </c>
      <c r="B127" s="191">
        <f>'Données projet'!D125</f>
        <v>56</v>
      </c>
      <c r="C127" s="204">
        <v>40</v>
      </c>
      <c r="D127" s="189">
        <f t="shared" si="8"/>
        <v>2240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80</v>
      </c>
      <c r="B128" s="191">
        <f>'Données projet'!D126</f>
        <v>0</v>
      </c>
      <c r="C128" s="204">
        <v>50</v>
      </c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90</v>
      </c>
      <c r="B129" s="191">
        <f>'Données projet'!D127</f>
        <v>56</v>
      </c>
      <c r="C129" s="204">
        <v>70</v>
      </c>
      <c r="D129" s="189">
        <f t="shared" si="8"/>
        <v>3920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100</v>
      </c>
      <c r="B130" s="191">
        <f>'Données projet'!D128</f>
        <v>55</v>
      </c>
      <c r="C130" s="204">
        <v>100</v>
      </c>
      <c r="D130" s="189">
        <f t="shared" si="8"/>
        <v>5500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110</v>
      </c>
      <c r="B131" s="191">
        <f>'Données projet'!D129</f>
        <v>53</v>
      </c>
      <c r="C131" s="204">
        <v>120</v>
      </c>
      <c r="D131" s="189">
        <f t="shared" si="8"/>
        <v>6360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120</v>
      </c>
      <c r="B132" s="191">
        <f>'Données projet'!D130</f>
        <v>47</v>
      </c>
      <c r="C132" s="204">
        <v>120</v>
      </c>
      <c r="D132" s="189">
        <f t="shared" si="8"/>
        <v>5640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130</v>
      </c>
      <c r="B133" s="191">
        <f>'Données projet'!D131</f>
        <v>44</v>
      </c>
      <c r="C133" s="204">
        <v>150</v>
      </c>
      <c r="D133" s="189">
        <f t="shared" si="8"/>
        <v>6600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140</v>
      </c>
      <c r="B134" s="191">
        <f>'Données projet'!D132</f>
        <v>43</v>
      </c>
      <c r="C134" s="204">
        <v>200</v>
      </c>
      <c r="D134" s="189">
        <f t="shared" si="8"/>
        <v>8600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150</v>
      </c>
      <c r="B135" s="191">
        <f>'Données projet'!D133</f>
        <v>335</v>
      </c>
      <c r="C135" s="204">
        <v>200</v>
      </c>
      <c r="D135" s="189">
        <f t="shared" si="8"/>
        <v>67000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Chêne rouge d'Amérique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5">
        <f>'Données projet'!D140</f>
        <v>0</v>
      </c>
      <c r="C147" s="202"/>
      <c r="D147" s="192">
        <f t="shared" ref="D147:D162" si="10"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5">
        <f>'Données projet'!D141</f>
        <v>84</v>
      </c>
      <c r="C148" s="204">
        <v>20</v>
      </c>
      <c r="D148" s="192">
        <f t="shared" si="10"/>
        <v>1680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5">
        <f>'Données projet'!D142</f>
        <v>0</v>
      </c>
      <c r="C149" s="204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5">
        <f>'Données projet'!D143</f>
        <v>103</v>
      </c>
      <c r="C150" s="204">
        <v>50</v>
      </c>
      <c r="D150" s="192">
        <f t="shared" si="10"/>
        <v>5150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5">
        <f>'Données projet'!D144</f>
        <v>0</v>
      </c>
      <c r="C151" s="204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5">
        <f>'Données projet'!D145</f>
        <v>94</v>
      </c>
      <c r="C152" s="204">
        <v>100</v>
      </c>
      <c r="D152" s="192">
        <f t="shared" si="10"/>
        <v>9400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5">
        <f>'Données projet'!D146</f>
        <v>0</v>
      </c>
      <c r="C153" s="204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5">
        <f>'Données projet'!D147</f>
        <v>78</v>
      </c>
      <c r="C154" s="204">
        <v>120</v>
      </c>
      <c r="D154" s="192">
        <f t="shared" si="10"/>
        <v>9360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5">
        <f>'Données projet'!D148</f>
        <v>258</v>
      </c>
      <c r="C155" s="204">
        <v>200</v>
      </c>
      <c r="D155" s="192">
        <f t="shared" si="10"/>
        <v>51600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5">
        <f>'Données projet'!D149</f>
        <v>0</v>
      </c>
      <c r="C156" s="204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5">
        <f>'Données projet'!D150</f>
        <v>0</v>
      </c>
      <c r="C157" s="204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5">
        <f>'Données projet'!D151</f>
        <v>0</v>
      </c>
      <c r="C158" s="204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5">
        <f>'Données projet'!D152</f>
        <v>0</v>
      </c>
      <c r="C159" s="204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5">
        <f>'Données projet'!D153</f>
        <v>0</v>
      </c>
      <c r="C160" s="204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5">
        <f>'Données projet'!D154</f>
        <v>0</v>
      </c>
      <c r="C161" s="204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5">
        <f>'Données projet'!D155</f>
        <v>0</v>
      </c>
      <c r="C162" s="204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5">
        <f>'Données projet'!D156</f>
        <v>0</v>
      </c>
      <c r="C163" s="202"/>
      <c r="D163" s="192">
        <f t="shared" ref="D163:D166" si="11">B163*C163</f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5">
        <f>'Données projet'!D157</f>
        <v>0</v>
      </c>
      <c r="C164" s="202"/>
      <c r="D164" s="192">
        <f t="shared" si="11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5">
        <f>'Données projet'!D158</f>
        <v>0</v>
      </c>
      <c r="C165" s="202"/>
      <c r="D165" s="192">
        <f t="shared" si="11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2"/>
      <c r="D166" s="192">
        <f t="shared" si="11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Châtaignier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10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15</v>
      </c>
      <c r="B179" s="191">
        <f>'Données projet'!D167</f>
        <v>0</v>
      </c>
      <c r="C179" s="204"/>
      <c r="D179" s="189">
        <f t="shared" ref="D179:D197" si="12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20</v>
      </c>
      <c r="B180" s="191">
        <f>'Données projet'!D168</f>
        <v>90.7</v>
      </c>
      <c r="C180" s="204">
        <v>10</v>
      </c>
      <c r="D180" s="189">
        <f t="shared" si="12"/>
        <v>907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25</v>
      </c>
      <c r="B181" s="191">
        <f>'Données projet'!D169</f>
        <v>0</v>
      </c>
      <c r="C181" s="202"/>
      <c r="D181" s="189">
        <f t="shared" si="12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30</v>
      </c>
      <c r="B182" s="191">
        <f>'Données projet'!D170</f>
        <v>84</v>
      </c>
      <c r="C182" s="202">
        <v>10</v>
      </c>
      <c r="D182" s="189">
        <f t="shared" si="12"/>
        <v>840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35</v>
      </c>
      <c r="B183" s="191">
        <f>'Données projet'!D171</f>
        <v>0</v>
      </c>
      <c r="C183" s="202"/>
      <c r="D183" s="189">
        <f t="shared" si="12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40</v>
      </c>
      <c r="B184" s="191">
        <f>'Données projet'!D172</f>
        <v>82.1</v>
      </c>
      <c r="C184" s="202">
        <v>20</v>
      </c>
      <c r="D184" s="189">
        <f t="shared" si="12"/>
        <v>1642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45</v>
      </c>
      <c r="B185" s="191">
        <f>'Données projet'!D173</f>
        <v>0</v>
      </c>
      <c r="C185" s="202"/>
      <c r="D185" s="189">
        <f t="shared" si="12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50</v>
      </c>
      <c r="B186" s="191">
        <f>'Données projet'!D174</f>
        <v>47.5</v>
      </c>
      <c r="C186" s="202">
        <v>30</v>
      </c>
      <c r="D186" s="189">
        <f t="shared" si="12"/>
        <v>1425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55</v>
      </c>
      <c r="B187" s="191">
        <f>'Données projet'!D175</f>
        <v>0</v>
      </c>
      <c r="C187" s="202"/>
      <c r="D187" s="189">
        <f t="shared" si="12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60</v>
      </c>
      <c r="B188" s="191">
        <f>'Données projet'!D176</f>
        <v>35.099999999999994</v>
      </c>
      <c r="C188" s="202">
        <v>40</v>
      </c>
      <c r="D188" s="189">
        <f t="shared" si="12"/>
        <v>1403.9999999999998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65</v>
      </c>
      <c r="B189" s="191">
        <f>'Données projet'!D177</f>
        <v>0</v>
      </c>
      <c r="C189" s="202"/>
      <c r="D189" s="189">
        <f t="shared" si="12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70</v>
      </c>
      <c r="B190" s="191">
        <f>'Données projet'!D178</f>
        <v>30.9</v>
      </c>
      <c r="C190" s="202">
        <v>80</v>
      </c>
      <c r="D190" s="189">
        <f t="shared" si="12"/>
        <v>2472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75</v>
      </c>
      <c r="B191" s="191">
        <f>'Données projet'!D179</f>
        <v>0</v>
      </c>
      <c r="C191" s="202"/>
      <c r="D191" s="189">
        <f t="shared" si="12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80</v>
      </c>
      <c r="B192" s="191">
        <f>'Données projet'!D180</f>
        <v>395.6</v>
      </c>
      <c r="C192" s="202">
        <v>150</v>
      </c>
      <c r="D192" s="189">
        <f t="shared" si="12"/>
        <v>59340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2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2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2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2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2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3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4"/>
      <c r="D211" s="189">
        <f t="shared" si="13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4"/>
      <c r="D212" s="189">
        <f t="shared" si="13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4"/>
      <c r="D213" s="189">
        <f t="shared" si="13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4"/>
      <c r="D214" s="189">
        <f t="shared" si="13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4"/>
      <c r="D215" s="189">
        <f t="shared" si="13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4"/>
      <c r="D216" s="189">
        <f t="shared" si="13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4"/>
      <c r="D217" s="189">
        <f t="shared" si="13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3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3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3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3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3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3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3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3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3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3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3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4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4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4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4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4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4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4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4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4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4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4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4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4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4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4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4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4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4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4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5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5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5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5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5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5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5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5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5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5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5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5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5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5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5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5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5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5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5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6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6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6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6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6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6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6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6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6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6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6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6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6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6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6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6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6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6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6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C1" zoomScale="90" zoomScaleNormal="90" workbookViewId="0">
      <selection activeCell="C10" sqref="C1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Chêne sessile</v>
      </c>
      <c r="B6" s="153">
        <f>'Données projet'!D9</f>
        <v>1.5847572000000001</v>
      </c>
      <c r="C6" s="154">
        <f ca="1">IF(OR('Données projet'!B9="",'Données projet'!C9="",'Données projet'!C9=0%),0,Calculateur!S3)</f>
        <v>509.56241660612449</v>
      </c>
      <c r="D6" s="154">
        <f>IF(OR('Données projet'!B9="",'Données projet'!C9="",'Données projet'!C9=0%),0,Calculateur!T3)</f>
        <v>278.21741231699929</v>
      </c>
      <c r="E6" s="154">
        <f ca="1">MIN(C6,D6)</f>
        <v>278.21741231699929</v>
      </c>
      <c r="F6" s="154">
        <f ca="1">E6*B6</f>
        <v>440.90704733473331</v>
      </c>
      <c r="G6" s="154">
        <f ca="1">F6*(100%-'Données projet'!$C$24)*(100%-'Données projet'!$C$25)*(100%-'Données projet'!$C$26)*(100%-'Données projet'!$C$27)</f>
        <v>396.81634260125998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13.4704362</v>
      </c>
      <c r="K6" s="158">
        <f>J6*(100%-'Données projet'!$C$24)*(100%-'Données projet'!$C$25)*(100%-'Données projet'!$C$26)*(100%-'Données projet'!$C$27)</f>
        <v>12.123392580000001</v>
      </c>
      <c r="L6" s="159">
        <f ca="1">G6+I6+K6</f>
        <v>408.93973518125995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Hêtre</v>
      </c>
      <c r="B7" s="161">
        <f>'Données projet'!D10</f>
        <v>0.41580610000000001</v>
      </c>
      <c r="C7" s="154">
        <f ca="1">IF(OR('Données projet'!B10="",'Données projet'!C10="",'Données projet'!C10=0%),0,Calculateur!AN3)</f>
        <v>625.17723604265689</v>
      </c>
      <c r="D7" s="154">
        <f>IF(OR('Données projet'!B10="",'Données projet'!C10="",'Données projet'!C10=0%),0,Calculateur!AO3)</f>
        <v>462.33909258902241</v>
      </c>
      <c r="E7" s="154">
        <f t="shared" ref="E7:E15" ca="1" si="0">MIN(C7,D7)</f>
        <v>462.33909258902241</v>
      </c>
      <c r="F7" s="154">
        <f t="shared" ref="F7:F15" ca="1" si="1">E7*B7</f>
        <v>192.24341496698031</v>
      </c>
      <c r="G7" s="154">
        <f ca="1">F7*(100%-'Données projet'!$C$24)*(100%-'Données projet'!$C$25)*(100%-'Données projet'!$C$26)*(100%-'Données projet'!$C$27)</f>
        <v>173.01907347028228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15.3848257</v>
      </c>
      <c r="K7" s="158">
        <f>J7*(100%-'Données projet'!$C$24)*(100%-'Données projet'!$C$25)*(100%-'Données projet'!$C$26)*(100%-'Données projet'!$C$27)</f>
        <v>13.846343130000001</v>
      </c>
      <c r="L7" s="159">
        <f t="shared" ref="L7:L15" ca="1" si="2">G7+I7+K7</f>
        <v>186.86541660028229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Charme</v>
      </c>
      <c r="B8" s="161">
        <f>'Données projet'!D11</f>
        <v>0.41510550000000002</v>
      </c>
      <c r="C8" s="154">
        <f ca="1">IF(OR('Données projet'!B11="",'Données projet'!C11="",'Données projet'!C11=0%),0,Calculateur!BI3)</f>
        <v>406.24139966722936</v>
      </c>
      <c r="D8" s="154">
        <f>IF(OR('Données projet'!B11="",'Données projet'!C11="",'Données projet'!C11=0%),0,Calculateur!BJ3)</f>
        <v>295.95724296920577</v>
      </c>
      <c r="E8" s="154">
        <f t="shared" ca="1" si="0"/>
        <v>295.95724296920577</v>
      </c>
      <c r="F8" s="154">
        <f t="shared" ca="1" si="1"/>
        <v>122.85347932135365</v>
      </c>
      <c r="G8" s="154">
        <f ca="1">F8*(100%-'Données projet'!$C$24)*(100%-'Données projet'!$C$25)*(100%-'Données projet'!$C$26)*(100%-'Données projet'!$C$27)</f>
        <v>110.56813138921828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3.7253057692307694</v>
      </c>
      <c r="K8" s="158">
        <f>J8*(100%-'Données projet'!$C$24)*(100%-'Données projet'!$C$25)*(100%-'Données projet'!$C$26)*(100%-'Données projet'!$C$27)</f>
        <v>3.3527751923076927</v>
      </c>
      <c r="L8" s="159">
        <f t="shared" ca="1" si="2"/>
        <v>113.92090658152597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Chêne pubescent</v>
      </c>
      <c r="B9" s="161">
        <f>'Données projet'!D12</f>
        <v>0.39864140000000003</v>
      </c>
      <c r="C9" s="154">
        <f ca="1">IF(OR('Données projet'!B12="",'Données projet'!C12="",'Données projet'!C12=0%),0,Calculateur!CD3)</f>
        <v>565.72091871734051</v>
      </c>
      <c r="D9" s="154">
        <f>IF(OR('Données projet'!B12="",'Données projet'!C12="",'Données projet'!C12=0%),0,Calculateur!CE3)</f>
        <v>306.61893266146666</v>
      </c>
      <c r="E9" s="154">
        <f t="shared" ca="1" si="0"/>
        <v>306.61893266146666</v>
      </c>
      <c r="F9" s="154">
        <f t="shared" ca="1" si="1"/>
        <v>122.23100058267281</v>
      </c>
      <c r="G9" s="154">
        <f ca="1">F9*(100%-'Données projet'!$C$24)*(100%-'Données projet'!$C$25)*(100%-'Données projet'!$C$26)*(100%-'Données projet'!$C$27)</f>
        <v>110.00790052440553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3.3884519000000002</v>
      </c>
      <c r="K9" s="158">
        <f>J9*(100%-'Données projet'!$C$24)*(100%-'Données projet'!$C$25)*(100%-'Données projet'!$C$26)*(100%-'Données projet'!$C$27)</f>
        <v>3.0496067100000004</v>
      </c>
      <c r="L9" s="159">
        <f t="shared" ca="1" si="2"/>
        <v>113.05750723440553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Chêne rouge d'Amérique</v>
      </c>
      <c r="B10" s="161">
        <f>'Données projet'!D13</f>
        <v>0.17164700000000002</v>
      </c>
      <c r="C10" s="154">
        <f ca="1">IF(OR('Données projet'!B13="",'Données projet'!C13="",'Données projet'!C13=0%),0,Calculateur!CY3)</f>
        <v>333.56306908115238</v>
      </c>
      <c r="D10" s="154">
        <f>IF(OR('Données projet'!B13="",'Données projet'!C13="",'Données projet'!C13=0%),0,Calculateur!CZ3)</f>
        <v>523.65456887919618</v>
      </c>
      <c r="E10" s="154">
        <f t="shared" ca="1" si="0"/>
        <v>333.56306908115238</v>
      </c>
      <c r="F10" s="154">
        <f t="shared" ca="1" si="1"/>
        <v>57.255100118572571</v>
      </c>
      <c r="G10" s="154">
        <f ca="1">F10*(100%-'Données projet'!$C$24)*(100%-'Données projet'!$C$25)*(100%-'Données projet'!$C$26)*(100%-'Données projet'!$C$27)</f>
        <v>51.529590106715318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8.0244972500000014</v>
      </c>
      <c r="K10" s="158">
        <f>J10*(100%-'Données projet'!$C$24)*(100%-'Données projet'!$C$25)*(100%-'Données projet'!$C$26)*(100%-'Données projet'!$C$27)</f>
        <v>7.2220475250000016</v>
      </c>
      <c r="L10" s="159">
        <f t="shared" ca="1" si="2"/>
        <v>58.751637631715319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Châtaignier</v>
      </c>
      <c r="B11" s="161">
        <f>'Données projet'!D14</f>
        <v>6.51558E-2</v>
      </c>
      <c r="C11" s="154">
        <f ca="1">IF(OR('Données projet'!B14="",'Données projet'!C14="",'Données projet'!C14=0%),0,Calculateur!DT3)</f>
        <v>397.24714625007675</v>
      </c>
      <c r="D11" s="154">
        <f>IF(OR('Données projet'!B14="",'Données projet'!C14="",'Données projet'!C14=0%),0,Calculateur!DU3)</f>
        <v>431.75775520200608</v>
      </c>
      <c r="E11" s="154">
        <f t="shared" ca="1" si="0"/>
        <v>397.24714625007675</v>
      </c>
      <c r="F11" s="154">
        <f t="shared" ca="1" si="1"/>
        <v>25.88295561164075</v>
      </c>
      <c r="G11" s="154">
        <f ca="1">F11*(100%-'Données projet'!$C$24)*(100%-'Données projet'!$C$25)*(100%-'Données projet'!$C$26)*(100%-'Données projet'!$C$27)</f>
        <v>23.294660050476676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2.8456795649999997</v>
      </c>
      <c r="K11" s="158">
        <f>J11*(100%-'Données projet'!$C$24)*(100%-'Données projet'!$C$25)*(100%-'Données projet'!$C$26)*(100%-'Données projet'!$C$27)</f>
        <v>2.5611116084999996</v>
      </c>
      <c r="L11" s="159">
        <f t="shared" ca="1" si="2"/>
        <v>25.855771658976675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961.37299793595344</v>
      </c>
      <c r="G16" s="173">
        <f t="shared" ca="1" si="3"/>
        <v>865.23569814235793</v>
      </c>
      <c r="H16" s="174">
        <f t="shared" si="3"/>
        <v>0</v>
      </c>
      <c r="I16" s="174">
        <f t="shared" si="3"/>
        <v>0</v>
      </c>
      <c r="J16" s="175">
        <f t="shared" si="3"/>
        <v>46.839196384230775</v>
      </c>
      <c r="K16" s="175">
        <f t="shared" si="3"/>
        <v>42.155276745807697</v>
      </c>
      <c r="L16" s="176">
        <f t="shared" ca="1" si="3"/>
        <v>907.39097488816572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36" t="s">
        <v>246</v>
      </c>
      <c r="G17" s="337"/>
      <c r="H17" s="337"/>
      <c r="I17" s="337"/>
      <c r="J17" s="337"/>
      <c r="K17" s="337"/>
      <c r="L17" s="337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38"/>
      <c r="G18" s="338"/>
      <c r="H18" s="338"/>
      <c r="I18" s="338"/>
      <c r="J18" s="338"/>
      <c r="K18" s="338"/>
      <c r="L18" s="338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Hêtre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Charme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Chêne pubescent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Chêne rouge d'Amérique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Châtaignier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VAN</vt:lpstr>
      <vt:lpstr>REE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Geoffrey.Rombaut</cp:lastModifiedBy>
  <dcterms:created xsi:type="dcterms:W3CDTF">2021-02-01T08:22:39Z</dcterms:created>
  <dcterms:modified xsi:type="dcterms:W3CDTF">2023-08-01T04:38:59Z</dcterms:modified>
</cp:coreProperties>
</file>