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livier.Gleizes\Documents\C+FOR\CDC\CNPF C+for n° 108 Vimarcé (CDC n° 3)\"/>
    </mc:Choice>
  </mc:AlternateContent>
  <bookViews>
    <workbookView xWindow="0" yWindow="0" windowWidth="11748" windowHeight="5316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8" i="1" l="1"/>
  <c r="D88" i="1"/>
  <c r="D95" i="1"/>
  <c r="D179" i="1"/>
  <c r="B179" i="1"/>
  <c r="B172" i="1"/>
  <c r="D171" i="1"/>
  <c r="B171" i="1"/>
  <c r="B170" i="1"/>
  <c r="D169" i="1"/>
  <c r="B169" i="1"/>
  <c r="B168" i="1"/>
  <c r="D167" i="1"/>
  <c r="B167" i="1"/>
  <c r="B166" i="1"/>
  <c r="B122" i="1" l="1"/>
  <c r="D122" i="1" s="1"/>
  <c r="B121" i="1"/>
  <c r="B120" i="1"/>
  <c r="B119" i="1"/>
  <c r="B118" i="1"/>
  <c r="B117" i="1"/>
  <c r="B116" i="1"/>
  <c r="B115" i="1"/>
  <c r="D121" i="1"/>
  <c r="D120" i="1"/>
  <c r="D119" i="1"/>
  <c r="D118" i="1"/>
  <c r="D117" i="1"/>
  <c r="D116" i="1"/>
  <c r="D115" i="1"/>
  <c r="B114" i="1"/>
  <c r="D198" i="1" l="1"/>
  <c r="B148" i="1" l="1"/>
  <c r="B147" i="1"/>
  <c r="B146" i="1"/>
  <c r="B145" i="1"/>
  <c r="B144" i="1"/>
  <c r="B143" i="1"/>
  <c r="B142" i="1"/>
  <c r="B141" i="1"/>
  <c r="D148" i="1" l="1"/>
  <c r="A141" i="1"/>
  <c r="D226" i="1" l="1"/>
  <c r="D220" i="1"/>
  <c r="B220" i="1"/>
  <c r="B219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GL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FS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X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HH21" i="2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HG22" i="2"/>
  <c r="EC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FS28" i="2"/>
  <c r="EV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HG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HH35" i="2" l="1"/>
  <c r="EA35" i="2"/>
  <c r="EB35" i="2"/>
  <c r="FQ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EC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FS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EV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V61" i="2"/>
  <c r="EW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HG63" i="2"/>
  <c r="EX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W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V105" i="2"/>
  <c r="EB105" i="2"/>
  <c r="EA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B108" i="2" l="1"/>
  <c r="FS108" i="2"/>
  <c r="EW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FQ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HI113" i="2"/>
  <c r="HG113" i="2"/>
  <c r="FS113" i="2"/>
  <c r="EW113" i="2"/>
  <c r="EC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HI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FS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I120" i="2"/>
  <c r="HH120" i="2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G130" i="2" l="1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HI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X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W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HH140" i="2"/>
  <c r="HG140" i="2"/>
  <c r="FR140" i="2"/>
  <c r="EX140" i="2"/>
  <c r="EB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G141" i="2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A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X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G146" i="2" l="1"/>
  <c r="EA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HI150" i="2"/>
  <c r="FS150" i="2"/>
  <c r="EV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G154" i="2"/>
  <c r="HH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AC154" i="2"/>
  <c r="ED154" i="2"/>
  <c r="DI154" i="2"/>
  <c r="HH155" i="2"/>
  <c r="EW155" i="2"/>
  <c r="EX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EY155" i="2"/>
  <c r="EX156" i="2"/>
  <c r="HH156" i="2"/>
  <c r="HG156" i="2"/>
  <c r="HI156" i="2"/>
  <c r="FS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X157" i="2"/>
  <c r="EB157" i="2"/>
  <c r="EC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ED158" i="2"/>
  <c r="HI159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FS160" i="2"/>
  <c r="ED159" i="2"/>
  <c r="HI160" i="2"/>
  <c r="EC160" i="2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D160" i="2" l="1"/>
  <c r="HG161" i="2"/>
  <c r="EX161" i="2"/>
  <c r="EB161" i="2"/>
  <c r="EA161" i="2"/>
  <c r="ED161" i="2" s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B162" i="2"/>
  <c r="EW162" i="2"/>
  <c r="EC162" i="2"/>
  <c r="DI161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 l="1"/>
  <c r="EY163" i="2"/>
  <c r="EA164" i="2"/>
  <c r="DI163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ED165" i="2" s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I167" i="2"/>
  <c r="HH167" i="2"/>
  <c r="FR167" i="2"/>
  <c r="EX167" i="2"/>
  <c r="EA167" i="2"/>
  <c r="EB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EV168" i="2"/>
  <c r="EW168" i="2"/>
  <c r="EC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B172" i="2"/>
  <c r="EA172" i="2"/>
  <c r="ED171" i="2"/>
  <c r="EV172" i="2"/>
  <c r="EW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HI175" i="2"/>
  <c r="FS175" i="2"/>
  <c r="EW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W177" i="2"/>
  <c r="EC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D177" i="2"/>
  <c r="HG178" i="2"/>
  <c r="EW178" i="2"/>
  <c r="EA178" i="2"/>
  <c r="EB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HG179" i="2"/>
  <c r="HI179" i="2"/>
  <c r="EV179" i="2"/>
  <c r="EB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D179" i="2"/>
  <c r="HG180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X182" i="2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W185" i="2"/>
  <c r="HG185" i="2"/>
  <c r="ED184" i="2"/>
  <c r="HH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HH186" i="2"/>
  <c r="HG186" i="2"/>
  <c r="EA186" i="2"/>
  <c r="EB186" i="2"/>
  <c r="ED185" i="2"/>
  <c r="FR186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V189" i="2"/>
  <c r="EB189" i="2"/>
  <c r="EC189" i="2"/>
  <c r="FS189" i="2"/>
  <c r="HI189" i="2"/>
  <c r="EX189" i="2"/>
  <c r="EA189" i="2"/>
  <c r="ED189" i="2" s="1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V190" i="2"/>
  <c r="HG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W192" i="2"/>
  <c r="EV192" i="2"/>
  <c r="HI192" i="2"/>
  <c r="EB192" i="2"/>
  <c r="EC192" i="2"/>
  <c r="EA192" i="2"/>
  <c r="ED192" i="2" s="1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FQ193" i="2"/>
  <c r="EA193" i="2"/>
  <c r="EB193" i="2"/>
  <c r="HI193" i="2"/>
  <c r="EX193" i="2"/>
  <c r="DI192" i="2"/>
  <c r="FS193" i="2"/>
  <c r="EC193" i="2"/>
  <c r="ED193" i="2" s="1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CN193" i="2" l="1"/>
  <c r="HG194" i="2"/>
  <c r="EA194" i="2"/>
  <c r="EB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X195" i="2" l="1"/>
  <c r="ED194" i="2"/>
  <c r="HI195" i="2"/>
  <c r="EA195" i="2"/>
  <c r="EB195" i="2"/>
  <c r="EY194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Y196" i="2"/>
  <c r="HH197" i="2"/>
  <c r="HG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W198" i="2"/>
  <c r="HI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W199" i="2"/>
  <c r="FS199" i="2"/>
  <c r="HH199" i="2"/>
  <c r="HG199" i="2"/>
  <c r="EB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J199" i="2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DI200" i="2"/>
  <c r="FS201" i="2"/>
  <c r="ED200" i="2"/>
  <c r="HH201" i="2"/>
  <c r="HG201" i="2"/>
  <c r="EB201" i="2"/>
  <c r="EA201" i="2"/>
  <c r="ED201" i="2" s="1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S6" i="2" s="1" a="1"/>
  <c r="CS6" i="2" s="1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5" i="2" a="1"/>
  <c r="CS5" i="2" s="1"/>
  <c r="CT5" i="2" s="1"/>
  <c r="AX199" i="2"/>
  <c r="EY201" i="2" l="1"/>
  <c r="EX202" i="2"/>
  <c r="EW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20" i="2" a="1"/>
  <c r="EI20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DN45" i="2" a="1"/>
  <c r="DN45" i="2" s="1"/>
  <c r="CS72" i="2" a="1"/>
  <c r="CS72" i="2" s="1"/>
  <c r="FD82" i="2" a="1"/>
  <c r="FD82" i="2" s="1"/>
  <c r="DN187" i="2" a="1"/>
  <c r="DN187" i="2" s="1"/>
  <c r="HJ202" i="2"/>
  <c r="AX200" i="2"/>
  <c r="BX107" i="2" l="1" a="1"/>
  <c r="BX107" i="2" s="1"/>
  <c r="CS56" i="2" a="1"/>
  <c r="CS56" i="2" s="1"/>
  <c r="CS185" i="2" a="1"/>
  <c r="CS185" i="2" s="1"/>
  <c r="CS129" i="2" a="1"/>
  <c r="CS129" i="2" s="1"/>
  <c r="CS38" i="2" a="1"/>
  <c r="CS38" i="2" s="1"/>
  <c r="CS77" i="2" a="1"/>
  <c r="CS77" i="2" s="1"/>
  <c r="CS134" i="2" a="1"/>
  <c r="CS134" i="2" s="1"/>
  <c r="CS52" i="2" a="1"/>
  <c r="CS52" i="2" s="1"/>
  <c r="CS161" i="2" a="1"/>
  <c r="CS161" i="2" s="1"/>
  <c r="CS116" i="2" a="1"/>
  <c r="CS116" i="2" s="1"/>
  <c r="CS137" i="2" a="1"/>
  <c r="CS137" i="2" s="1"/>
  <c r="CS120" i="2" a="1"/>
  <c r="CS120" i="2" s="1"/>
  <c r="CS105" i="2" a="1"/>
  <c r="CS105" i="2" s="1"/>
  <c r="CS66" i="2" a="1"/>
  <c r="CS66" i="2" s="1"/>
  <c r="CS114" i="2" a="1"/>
  <c r="CS114" i="2" s="1"/>
  <c r="EY202" i="2"/>
  <c r="EI34" i="2" a="1"/>
  <c r="EI34" i="2" s="1"/>
  <c r="EI165" i="2" a="1"/>
  <c r="EI165" i="2" s="1"/>
  <c r="EI142" i="2" a="1"/>
  <c r="EI142" i="2" s="1"/>
  <c r="EI71" i="2" a="1"/>
  <c r="EI71" i="2" s="1"/>
  <c r="EI145" i="2" a="1"/>
  <c r="EI145" i="2" s="1"/>
  <c r="EI37" i="2" a="1"/>
  <c r="EI37" i="2" s="1"/>
  <c r="EI57" i="2" a="1"/>
  <c r="EI57" i="2" s="1"/>
  <c r="EI162" i="2" a="1"/>
  <c r="EI162" i="2" s="1"/>
  <c r="EI35" i="2" a="1"/>
  <c r="EI35" i="2" s="1"/>
  <c r="EI36" i="2" a="1"/>
  <c r="EI36" i="2" s="1"/>
  <c r="EI150" i="2" a="1"/>
  <c r="EI150" i="2" s="1"/>
  <c r="EI139" i="2" a="1"/>
  <c r="EI139" i="2" s="1"/>
  <c r="EI87" i="2" a="1"/>
  <c r="EI87" i="2" s="1"/>
  <c r="EI29" i="2" a="1"/>
  <c r="EI29" i="2" s="1"/>
  <c r="EI67" i="2" a="1"/>
  <c r="EI67" i="2" s="1"/>
  <c r="EI109" i="2" a="1"/>
  <c r="EI109" i="2" s="1"/>
  <c r="EI106" i="2" a="1"/>
  <c r="EI106" i="2" s="1"/>
  <c r="EI170" i="2" a="1"/>
  <c r="EI170" i="2" s="1"/>
  <c r="EI38" i="2" a="1"/>
  <c r="EI38" i="2" s="1"/>
  <c r="EI153" i="2" a="1"/>
  <c r="EI153" i="2" s="1"/>
  <c r="EI16" i="2" a="1"/>
  <c r="EI16" i="2" s="1"/>
  <c r="EI198" i="2" a="1"/>
  <c r="EI198" i="2" s="1"/>
  <c r="EI113" i="2" a="1"/>
  <c r="EI113" i="2" s="1"/>
  <c r="EI128" i="2" a="1"/>
  <c r="EI128" i="2" s="1"/>
  <c r="EI195" i="2" a="1"/>
  <c r="EI195" i="2" s="1"/>
  <c r="EI166" i="2" a="1"/>
  <c r="EI166" i="2" s="1"/>
  <c r="EI178" i="2" a="1"/>
  <c r="EI178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CN203" i="2"/>
  <c r="EY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CD107" i="2" l="1"/>
  <c r="CD54" i="2"/>
  <c r="CD147" i="2"/>
  <c r="CD68" i="2"/>
  <c r="CD14" i="2"/>
  <c r="CD144" i="2"/>
  <c r="CD192" i="2"/>
  <c r="CD21" i="2"/>
  <c r="CD141" i="2"/>
  <c r="CD60" i="2"/>
  <c r="CD40" i="2"/>
  <c r="CD89" i="2"/>
  <c r="CD188" i="2"/>
  <c r="CD119" i="2"/>
  <c r="CD136" i="2"/>
  <c r="CD104" i="2"/>
  <c r="CD27" i="2"/>
  <c r="CD194" i="2"/>
  <c r="CD98" i="2"/>
  <c r="CD58" i="2"/>
  <c r="CD76" i="2"/>
  <c r="CD25" i="2"/>
  <c r="CD17" i="2"/>
  <c r="CD88" i="2"/>
  <c r="CD189" i="2"/>
  <c r="CD182" i="2"/>
  <c r="CD171" i="2"/>
  <c r="CD133" i="2"/>
  <c r="CD10" i="2"/>
  <c r="CD184" i="2"/>
  <c r="CD62" i="2"/>
  <c r="CD63" i="2"/>
  <c r="CD70" i="2"/>
  <c r="CD94" i="2"/>
  <c r="CD113" i="2"/>
  <c r="CD49" i="2"/>
  <c r="CD9" i="2"/>
  <c r="CD176" i="2"/>
  <c r="CD125" i="2"/>
  <c r="CD199" i="2"/>
  <c r="CD202" i="2"/>
  <c r="CD11" i="2"/>
  <c r="CD127" i="2"/>
  <c r="CD193" i="2"/>
  <c r="CD100" i="2"/>
  <c r="CD55" i="2"/>
  <c r="CD102" i="2"/>
  <c r="CD152" i="2"/>
  <c r="CD16" i="2"/>
  <c r="CD38" i="2"/>
  <c r="CD167" i="2"/>
  <c r="CD47" i="2"/>
  <c r="CD34" i="2"/>
  <c r="CD105" i="2"/>
  <c r="CD122" i="2"/>
  <c r="CD161" i="2"/>
  <c r="CD77" i="2"/>
  <c r="CD169" i="2"/>
  <c r="CD156" i="2"/>
  <c r="CD4" i="2"/>
  <c r="CD36" i="2"/>
  <c r="CD185" i="2"/>
  <c r="CD26" i="2"/>
  <c r="CD20" i="2"/>
  <c r="CD134" i="2"/>
  <c r="CD145" i="2"/>
  <c r="CD6" i="2"/>
  <c r="CD57" i="2"/>
  <c r="CD42" i="2"/>
  <c r="CD179" i="2"/>
  <c r="CD151" i="2"/>
  <c r="CD126" i="2"/>
  <c r="CD72" i="2"/>
  <c r="CD66" i="2"/>
  <c r="CD172" i="2"/>
  <c r="CD116" i="2"/>
  <c r="CD115" i="2"/>
  <c r="CD67" i="2"/>
  <c r="CD86" i="2"/>
  <c r="CD146" i="2"/>
  <c r="CD44" i="2"/>
  <c r="CD149" i="2"/>
  <c r="CD8" i="2"/>
  <c r="CD61" i="2"/>
  <c r="CD92" i="2"/>
  <c r="CD160" i="2"/>
  <c r="CD39" i="2"/>
  <c r="CD29" i="2"/>
  <c r="CD75" i="2"/>
  <c r="CD203" i="2"/>
  <c r="CD37" i="2"/>
  <c r="CD73" i="2"/>
  <c r="CD18" i="2"/>
  <c r="CD137" i="2"/>
  <c r="CD166" i="2"/>
  <c r="CD129" i="2"/>
  <c r="CD183" i="2"/>
  <c r="CD96" i="2"/>
  <c r="CD118" i="2"/>
  <c r="CD99" i="2"/>
  <c r="CD168" i="2"/>
  <c r="CD177" i="2"/>
  <c r="CD84" i="2"/>
  <c r="CD83" i="2"/>
  <c r="CD155" i="2"/>
  <c r="CD103" i="2"/>
  <c r="CD117" i="2"/>
  <c r="CD28" i="2"/>
  <c r="CD143" i="2"/>
  <c r="CD12" i="2"/>
  <c r="CD95" i="2"/>
  <c r="CD56" i="2"/>
  <c r="CD148" i="2"/>
  <c r="CD128" i="2"/>
  <c r="CD111" i="2"/>
  <c r="CD142" i="2"/>
  <c r="CD150" i="2"/>
  <c r="CD153" i="2"/>
  <c r="CD7" i="2"/>
  <c r="CD187" i="2"/>
  <c r="CD91" i="2"/>
  <c r="CD5" i="2"/>
  <c r="CD197" i="2"/>
  <c r="CD51" i="2"/>
  <c r="CD200" i="2"/>
  <c r="CD178" i="2"/>
  <c r="CD24" i="2"/>
  <c r="CD164" i="2"/>
  <c r="CD46" i="2"/>
  <c r="CD80" i="2"/>
  <c r="CD13" i="2"/>
  <c r="CD52" i="2"/>
  <c r="CD69" i="2"/>
  <c r="CD64" i="2"/>
  <c r="CD71" i="2"/>
  <c r="CD135" i="2"/>
  <c r="CD170" i="2"/>
  <c r="CD3" i="2"/>
  <c r="C9" i="4" s="1"/>
  <c r="E9" i="4" s="1"/>
  <c r="F9" i="4" s="1"/>
  <c r="G9" i="4" s="1"/>
  <c r="L9" i="4" s="1"/>
  <c r="CD90" i="2"/>
  <c r="CD201" i="2"/>
  <c r="CD123" i="2"/>
  <c r="CD114" i="2"/>
  <c r="CD50" i="2"/>
  <c r="CD59" i="2"/>
  <c r="CD35" i="2"/>
  <c r="CD41" i="2"/>
  <c r="CD191" i="2"/>
  <c r="CD140" i="2"/>
  <c r="CD97" i="2"/>
  <c r="CD43" i="2"/>
  <c r="CD23" i="2"/>
  <c r="CD30" i="2"/>
  <c r="CD87" i="2"/>
  <c r="CD82" i="2"/>
  <c r="CD186" i="2"/>
  <c r="CD22" i="2"/>
  <c r="CD174" i="2"/>
  <c r="CD112" i="2"/>
  <c r="CD175" i="2"/>
  <c r="CD157" i="2"/>
  <c r="CD32" i="2"/>
  <c r="CD81" i="2"/>
  <c r="CD120" i="2"/>
  <c r="CD162" i="2"/>
  <c r="CD138" i="2"/>
  <c r="CD106" i="2"/>
  <c r="CD15" i="2"/>
  <c r="CD154" i="2"/>
  <c r="CD101" i="2"/>
  <c r="CD190" i="2"/>
  <c r="CD31" i="2"/>
  <c r="CD165" i="2"/>
  <c r="CD48" i="2"/>
  <c r="CD195" i="2"/>
  <c r="CD19" i="2"/>
  <c r="CD74" i="2"/>
  <c r="CD173" i="2"/>
  <c r="CD121" i="2"/>
  <c r="CD33" i="2"/>
  <c r="CD163" i="2"/>
  <c r="CD78" i="2"/>
  <c r="CD198" i="2"/>
  <c r="CD196" i="2"/>
  <c r="CD109" i="2"/>
  <c r="CD93" i="2"/>
  <c r="CD124" i="2"/>
  <c r="CD45" i="2"/>
  <c r="CD132" i="2"/>
  <c r="CD131" i="2"/>
  <c r="CD158" i="2"/>
  <c r="CD53" i="2"/>
  <c r="CD65" i="2"/>
  <c r="CD180" i="2"/>
  <c r="CD181" i="2"/>
  <c r="CD79" i="2"/>
  <c r="CD85" i="2"/>
  <c r="CD110" i="2"/>
  <c r="CD139" i="2"/>
  <c r="CD130" i="2"/>
  <c r="CD159" i="2"/>
  <c r="CD108" i="2"/>
  <c r="FE114" i="2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73" i="2" l="1"/>
  <c r="CY187" i="2"/>
  <c r="CY24" i="2"/>
  <c r="CY116" i="2"/>
  <c r="CY61" i="2"/>
  <c r="CY189" i="2"/>
  <c r="CY175" i="2"/>
  <c r="CY130" i="2"/>
  <c r="CY203" i="2"/>
  <c r="CY83" i="2"/>
  <c r="CY74" i="2"/>
  <c r="CY122" i="2"/>
  <c r="CY26" i="2"/>
  <c r="CY128" i="2"/>
  <c r="CY103" i="2"/>
  <c r="CY178" i="2"/>
  <c r="CY120" i="2"/>
  <c r="CY164" i="2"/>
  <c r="CY184" i="2"/>
  <c r="CY38" i="2"/>
  <c r="CY149" i="2"/>
  <c r="CY32" i="2"/>
  <c r="CY107" i="2"/>
  <c r="CY22" i="2"/>
  <c r="CY5" i="2"/>
  <c r="CY112" i="2"/>
  <c r="CY147" i="2"/>
  <c r="CY95" i="2"/>
  <c r="CY197" i="2"/>
  <c r="CY50" i="2"/>
  <c r="CY28" i="2"/>
  <c r="CY140" i="2"/>
  <c r="CY63" i="2"/>
  <c r="CY85" i="2"/>
  <c r="CY181" i="2"/>
  <c r="CY12" i="2"/>
  <c r="CY57" i="2"/>
  <c r="CY39" i="2"/>
  <c r="CY200" i="2"/>
  <c r="CY46" i="2"/>
  <c r="CY145" i="2"/>
  <c r="CY37" i="2"/>
  <c r="CY56" i="2"/>
  <c r="CY190" i="2"/>
  <c r="CY148" i="2"/>
  <c r="CY81" i="2"/>
  <c r="CY176" i="2"/>
  <c r="CY108" i="2"/>
  <c r="CY49" i="2"/>
  <c r="CY174" i="2"/>
  <c r="CY100" i="2"/>
  <c r="CY99" i="2"/>
  <c r="CY104" i="2"/>
  <c r="CY77" i="2"/>
  <c r="CY195" i="2"/>
  <c r="CY8" i="2"/>
  <c r="CY54" i="2"/>
  <c r="CY172" i="2"/>
  <c r="CY156" i="2"/>
  <c r="CY111" i="2"/>
  <c r="CY15" i="2"/>
  <c r="CY80" i="2"/>
  <c r="CY146" i="2"/>
  <c r="CY45" i="2"/>
  <c r="CY193" i="2"/>
  <c r="CY167" i="2"/>
  <c r="CY65" i="2"/>
  <c r="CY88" i="2"/>
  <c r="CY98" i="2"/>
  <c r="CY71" i="2"/>
  <c r="CY198" i="2"/>
  <c r="CY60" i="2"/>
  <c r="CY53" i="2"/>
  <c r="CY64" i="2"/>
  <c r="CY133" i="2"/>
  <c r="CY110" i="2"/>
  <c r="CY192" i="2"/>
  <c r="CY126" i="2"/>
  <c r="CY123" i="2"/>
  <c r="CY165" i="2"/>
  <c r="CY36" i="2"/>
  <c r="CY115" i="2"/>
  <c r="CY94" i="2"/>
  <c r="CY21" i="2"/>
  <c r="CY9" i="2"/>
  <c r="CY96" i="2"/>
  <c r="CY143" i="2"/>
  <c r="CY158" i="2"/>
  <c r="CY16" i="2"/>
  <c r="CY170" i="2"/>
  <c r="CY141" i="2"/>
  <c r="CY199" i="2"/>
  <c r="CY43" i="2"/>
  <c r="CY166" i="2"/>
  <c r="CY188" i="2"/>
  <c r="CY119" i="2"/>
  <c r="CY20" i="2"/>
  <c r="CY87" i="2"/>
  <c r="CY69" i="2"/>
  <c r="CY179" i="2"/>
  <c r="CY27" i="2"/>
  <c r="CY91" i="2"/>
  <c r="CY161" i="2"/>
  <c r="CY31" i="2"/>
  <c r="CY138" i="2"/>
  <c r="CY160" i="2"/>
  <c r="CY17" i="2"/>
  <c r="CY10" i="2"/>
  <c r="CY66" i="2"/>
  <c r="CY196" i="2"/>
  <c r="CY177" i="2"/>
  <c r="CY183" i="2"/>
  <c r="CY59" i="2"/>
  <c r="CY105" i="2"/>
  <c r="CY152" i="2"/>
  <c r="CY191" i="2"/>
  <c r="CY194" i="2"/>
  <c r="CY47" i="2"/>
  <c r="CY134" i="2"/>
  <c r="CY23" i="2"/>
  <c r="CY125" i="2"/>
  <c r="CY124" i="2"/>
  <c r="CY82" i="2"/>
  <c r="CY201" i="2"/>
  <c r="CY182" i="2"/>
  <c r="CY150" i="2"/>
  <c r="CY129" i="2"/>
  <c r="CY168" i="2"/>
  <c r="CY109" i="2"/>
  <c r="CY52" i="2"/>
  <c r="CY44" i="2"/>
  <c r="CY180" i="2"/>
  <c r="CY55" i="2"/>
  <c r="CY135" i="2"/>
  <c r="CY157" i="2"/>
  <c r="CY40" i="2"/>
  <c r="CY113" i="2"/>
  <c r="CY139" i="2"/>
  <c r="CY173" i="2"/>
  <c r="CY79" i="2"/>
  <c r="CY76" i="2"/>
  <c r="CY18" i="2"/>
  <c r="CY131" i="2"/>
  <c r="CY142" i="2"/>
  <c r="CY132" i="2"/>
  <c r="CY93" i="2"/>
  <c r="CY101" i="2"/>
  <c r="CY127" i="2"/>
  <c r="CY58" i="2"/>
  <c r="CY68" i="2"/>
  <c r="CY11" i="2"/>
  <c r="CY29" i="2"/>
  <c r="CY102" i="2"/>
  <c r="CY169" i="2"/>
  <c r="CY121" i="2"/>
  <c r="CY33" i="2"/>
  <c r="CY78" i="2"/>
  <c r="CY117" i="2"/>
  <c r="CY3" i="2"/>
  <c r="C10" i="4" s="1"/>
  <c r="E10" i="4" s="1"/>
  <c r="F10" i="4" s="1"/>
  <c r="G10" i="4" s="1"/>
  <c r="L10" i="4" s="1"/>
  <c r="CY163" i="2"/>
  <c r="CY97" i="2"/>
  <c r="CY70" i="2"/>
  <c r="CY51" i="2"/>
  <c r="CY67" i="2"/>
  <c r="CY154" i="2"/>
  <c r="CY7" i="2"/>
  <c r="CY137" i="2"/>
  <c r="CY171" i="2"/>
  <c r="CY14" i="2"/>
  <c r="CY72" i="2"/>
  <c r="CY6" i="2"/>
  <c r="CY153" i="2"/>
  <c r="CY144" i="2"/>
  <c r="CY35" i="2"/>
  <c r="CY118" i="2"/>
  <c r="CY90" i="2"/>
  <c r="CY4" i="2"/>
  <c r="CY25" i="2"/>
  <c r="CY162" i="2"/>
  <c r="CY136" i="2"/>
  <c r="CY13" i="2"/>
  <c r="CY41" i="2"/>
  <c r="CY86" i="2"/>
  <c r="CY84" i="2"/>
  <c r="CY92" i="2"/>
  <c r="CY19" i="2"/>
  <c r="CY62" i="2"/>
  <c r="CY75" i="2"/>
  <c r="CY202" i="2"/>
  <c r="CY34" i="2"/>
  <c r="CY155" i="2"/>
  <c r="CY48" i="2"/>
  <c r="CY159" i="2"/>
  <c r="CY89" i="2"/>
  <c r="CY114" i="2"/>
  <c r="CY186" i="2"/>
  <c r="CY185" i="2"/>
  <c r="CY106" i="2"/>
  <c r="CY151" i="2"/>
  <c r="CY42" i="2"/>
  <c r="CY30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GZ109" i="2" l="1"/>
  <c r="GZ162" i="2"/>
  <c r="GZ9" i="2"/>
  <c r="GZ78" i="2"/>
  <c r="GZ191" i="2"/>
  <c r="GZ72" i="2"/>
  <c r="GZ42" i="2"/>
  <c r="GZ27" i="2"/>
  <c r="GZ175" i="2"/>
  <c r="GZ143" i="2"/>
  <c r="GZ77" i="2"/>
  <c r="GZ43" i="2"/>
  <c r="GZ188" i="2"/>
  <c r="GZ88" i="2"/>
  <c r="GZ115" i="2"/>
  <c r="GZ104" i="2"/>
  <c r="GZ120" i="2"/>
  <c r="GZ99" i="2"/>
  <c r="GZ89" i="2"/>
  <c r="GZ33" i="2"/>
  <c r="GZ192" i="2"/>
  <c r="GZ114" i="2"/>
  <c r="GZ45" i="2"/>
  <c r="GZ141" i="2"/>
  <c r="GZ197" i="2"/>
  <c r="GZ17" i="2"/>
  <c r="GZ136" i="2"/>
  <c r="GZ180" i="2"/>
  <c r="GZ100" i="2"/>
  <c r="GZ51" i="2"/>
  <c r="GZ68" i="2"/>
  <c r="GZ49" i="2"/>
  <c r="GZ125" i="2"/>
  <c r="GZ193" i="2"/>
  <c r="GZ75" i="2"/>
  <c r="GZ91" i="2"/>
  <c r="GZ96" i="2"/>
  <c r="GZ97" i="2"/>
  <c r="GZ157" i="2"/>
  <c r="GZ161" i="2"/>
  <c r="GZ8" i="2"/>
  <c r="GZ59" i="2"/>
  <c r="GZ117" i="2"/>
  <c r="GZ140" i="2"/>
  <c r="GZ107" i="2"/>
  <c r="GZ129" i="2"/>
  <c r="GZ127" i="2"/>
  <c r="GZ145" i="2"/>
  <c r="GZ103" i="2"/>
  <c r="GZ58" i="2"/>
  <c r="GZ101" i="2"/>
  <c r="GZ122" i="2"/>
  <c r="GZ187" i="2"/>
  <c r="GZ153" i="2"/>
  <c r="GZ144" i="2"/>
  <c r="GZ126" i="2"/>
  <c r="GZ30" i="2"/>
  <c r="GZ67" i="2"/>
  <c r="GZ185" i="2"/>
  <c r="GZ156" i="2"/>
  <c r="GZ39" i="2"/>
  <c r="GZ131" i="2"/>
  <c r="GZ110" i="2"/>
  <c r="GZ173" i="2"/>
  <c r="GZ18" i="2"/>
  <c r="GZ177" i="2"/>
  <c r="GZ85" i="2"/>
  <c r="GZ186" i="2"/>
  <c r="GZ137" i="2"/>
  <c r="GZ166" i="2"/>
  <c r="GZ81" i="2"/>
  <c r="GZ61" i="2"/>
  <c r="GZ151" i="2"/>
  <c r="GZ171" i="2"/>
  <c r="GZ181" i="2"/>
  <c r="GZ94" i="2"/>
  <c r="GZ13" i="2"/>
  <c r="GZ37" i="2"/>
  <c r="GZ87" i="2"/>
  <c r="GZ64" i="2"/>
  <c r="GZ48" i="2"/>
  <c r="GZ26" i="2"/>
  <c r="GZ198" i="2"/>
  <c r="GZ35" i="2"/>
  <c r="GZ203" i="2"/>
  <c r="GZ80" i="2"/>
  <c r="GZ178" i="2"/>
  <c r="GZ50" i="2"/>
  <c r="GZ149" i="2"/>
  <c r="GZ199" i="2"/>
  <c r="GZ133" i="2"/>
  <c r="GZ6" i="2"/>
  <c r="GZ196" i="2"/>
  <c r="GZ138" i="2"/>
  <c r="GZ174" i="2"/>
  <c r="GZ168" i="2"/>
  <c r="GZ159" i="2"/>
  <c r="GZ25" i="2"/>
  <c r="GZ201" i="2"/>
  <c r="GZ63" i="2"/>
  <c r="GZ70" i="2"/>
  <c r="GZ90" i="2"/>
  <c r="GZ95" i="2"/>
  <c r="GZ46" i="2"/>
  <c r="GZ83" i="2"/>
  <c r="GZ54" i="2"/>
  <c r="GZ62" i="2"/>
  <c r="GZ160" i="2"/>
  <c r="GZ165" i="2"/>
  <c r="GZ44" i="2"/>
  <c r="GZ76" i="2"/>
  <c r="GZ111" i="2"/>
  <c r="GZ11" i="2"/>
  <c r="GZ195" i="2"/>
  <c r="GZ189" i="2"/>
  <c r="GZ23" i="2"/>
  <c r="GZ47" i="2"/>
  <c r="GZ71" i="2"/>
  <c r="GZ74" i="2"/>
  <c r="GZ135" i="2"/>
  <c r="GZ170" i="2"/>
  <c r="GZ79" i="2"/>
  <c r="GZ172" i="2"/>
  <c r="GZ56" i="2"/>
  <c r="GZ15" i="2"/>
  <c r="GZ84" i="2"/>
  <c r="GZ118" i="2"/>
  <c r="GZ113" i="2"/>
  <c r="GZ10" i="2"/>
  <c r="GZ154" i="2"/>
  <c r="GZ182" i="2"/>
  <c r="GZ200" i="2"/>
  <c r="GZ183" i="2"/>
  <c r="GZ5" i="2"/>
  <c r="GZ36" i="2"/>
  <c r="GZ60" i="2"/>
  <c r="GZ130" i="2"/>
  <c r="GZ169" i="2"/>
  <c r="GZ57" i="2"/>
  <c r="GZ12" i="2"/>
  <c r="GZ163" i="2"/>
  <c r="GZ176" i="2"/>
  <c r="GZ40" i="2"/>
  <c r="GZ19" i="2"/>
  <c r="GZ21" i="2"/>
  <c r="GZ119" i="2"/>
  <c r="GZ150" i="2"/>
  <c r="GZ142" i="2"/>
  <c r="GZ116" i="2"/>
  <c r="GZ184" i="2"/>
  <c r="GZ152" i="2"/>
  <c r="GZ146" i="2"/>
  <c r="GZ105" i="2"/>
  <c r="GZ66" i="2"/>
  <c r="GZ147" i="2"/>
  <c r="GZ65" i="2"/>
  <c r="GZ106" i="2"/>
  <c r="GZ41" i="2"/>
  <c r="GZ93" i="2"/>
  <c r="GZ128" i="2"/>
  <c r="GZ52" i="2"/>
  <c r="GZ98" i="2"/>
  <c r="GZ38" i="2"/>
  <c r="GZ16" i="2"/>
  <c r="GZ28" i="2"/>
  <c r="GZ86" i="2"/>
  <c r="GZ4" i="2"/>
  <c r="GZ22" i="2"/>
  <c r="GZ20" i="2"/>
  <c r="GZ7" i="2"/>
  <c r="GZ167" i="2"/>
  <c r="GZ14" i="2"/>
  <c r="GZ53" i="2"/>
  <c r="GZ132" i="2"/>
  <c r="GZ124" i="2"/>
  <c r="GZ121" i="2"/>
  <c r="GZ155" i="2"/>
  <c r="GZ164" i="2"/>
  <c r="GZ29" i="2"/>
  <c r="GZ102" i="2"/>
  <c r="GZ148" i="2"/>
  <c r="GZ92" i="2"/>
  <c r="GZ134" i="2"/>
  <c r="GZ108" i="2"/>
  <c r="GZ112" i="2"/>
  <c r="GZ34" i="2"/>
  <c r="GZ32" i="2"/>
  <c r="GZ194" i="2"/>
  <c r="GZ123" i="2"/>
  <c r="GZ31" i="2"/>
  <c r="GZ158" i="2"/>
  <c r="GZ55" i="2"/>
  <c r="GZ202" i="2"/>
  <c r="GZ69" i="2"/>
  <c r="GZ73" i="2"/>
  <c r="GZ139" i="2"/>
  <c r="GZ24" i="2"/>
  <c r="GZ179" i="2"/>
  <c r="GZ82" i="2"/>
  <c r="GZ190" i="2"/>
  <c r="GZ3" i="2"/>
  <c r="C15" i="4" s="1"/>
  <c r="E15" i="4" s="1"/>
  <c r="F15" i="4" s="1"/>
  <c r="G15" i="4" s="1"/>
  <c r="L15" i="4" s="1"/>
  <c r="GE184" i="2"/>
  <c r="GE132" i="2"/>
  <c r="GE68" i="2"/>
  <c r="GE114" i="2"/>
  <c r="GE105" i="2"/>
  <c r="GE101" i="2"/>
  <c r="GE18" i="2"/>
  <c r="GE35" i="2"/>
  <c r="GE112" i="2"/>
  <c r="GE164" i="2"/>
  <c r="GE142" i="2"/>
  <c r="GE37" i="2"/>
  <c r="GE87" i="2"/>
  <c r="GE78" i="2"/>
  <c r="GE109" i="2"/>
  <c r="GE27" i="2"/>
  <c r="GE167" i="2"/>
  <c r="GE79" i="2"/>
  <c r="GE59" i="2"/>
  <c r="GE144" i="2"/>
  <c r="GE34" i="2"/>
  <c r="GE44" i="2"/>
  <c r="GE107" i="2"/>
  <c r="GE157" i="2"/>
  <c r="GE95" i="2"/>
  <c r="GE94" i="2"/>
  <c r="GE12" i="2"/>
  <c r="GE67" i="2"/>
  <c r="GE99" i="2"/>
  <c r="GE61" i="2"/>
  <c r="GE150" i="2"/>
  <c r="GE10" i="2"/>
  <c r="GE88" i="2"/>
  <c r="GE71" i="2"/>
  <c r="GE149" i="2"/>
  <c r="GE51" i="2"/>
  <c r="GE84" i="2"/>
  <c r="GE159" i="2"/>
  <c r="GE38" i="2"/>
  <c r="GE162" i="2"/>
  <c r="GE92" i="2"/>
  <c r="GE50" i="2"/>
  <c r="GE72" i="2"/>
  <c r="GE171" i="2"/>
  <c r="GE177" i="2"/>
  <c r="GE60" i="2"/>
  <c r="GE19" i="2"/>
  <c r="GE127" i="2"/>
  <c r="GE194" i="2"/>
  <c r="GE165" i="2"/>
  <c r="GE136" i="2"/>
  <c r="GE46" i="2"/>
  <c r="GE93" i="2"/>
  <c r="GE48" i="2"/>
  <c r="GE32" i="2"/>
  <c r="GE124" i="2"/>
  <c r="GE56" i="2"/>
  <c r="GE58" i="2"/>
  <c r="GE86" i="2"/>
  <c r="GE25" i="2"/>
  <c r="GE130" i="2"/>
  <c r="GE146" i="2"/>
  <c r="GE126" i="2"/>
  <c r="GE64" i="2"/>
  <c r="GE122" i="2"/>
  <c r="GE166" i="2"/>
  <c r="GE11" i="2"/>
  <c r="GE21" i="2"/>
  <c r="GE186" i="2"/>
  <c r="GE195" i="2"/>
  <c r="GE118" i="2"/>
  <c r="GE198" i="2"/>
  <c r="GE176" i="2"/>
  <c r="GE47" i="2"/>
  <c r="GE185" i="2"/>
  <c r="GE45" i="2"/>
  <c r="GE85" i="2"/>
  <c r="GE197" i="2"/>
  <c r="GE22" i="2"/>
  <c r="GE173" i="2"/>
  <c r="GE145" i="2"/>
  <c r="GE193" i="2"/>
  <c r="GE117" i="2"/>
  <c r="GE116" i="2"/>
  <c r="GE153" i="2"/>
  <c r="GE98" i="2"/>
  <c r="GE41" i="2"/>
  <c r="GE39" i="2"/>
  <c r="GE33" i="2"/>
  <c r="GE77" i="2"/>
  <c r="GE163" i="2"/>
  <c r="GE190" i="2"/>
  <c r="GE189" i="2"/>
  <c r="GE108" i="2"/>
  <c r="GE15" i="2"/>
  <c r="GE168" i="2"/>
  <c r="GE3" i="2"/>
  <c r="C14" i="4" s="1"/>
  <c r="E14" i="4" s="1"/>
  <c r="F14" i="4" s="1"/>
  <c r="G14" i="4" s="1"/>
  <c r="L14" i="4" s="1"/>
  <c r="GE53" i="2"/>
  <c r="GE123" i="2"/>
  <c r="GE135" i="2"/>
  <c r="GE82" i="2"/>
  <c r="GE174" i="2"/>
  <c r="GE66" i="2"/>
  <c r="GE187" i="2"/>
  <c r="GE141" i="2"/>
  <c r="GE110" i="2"/>
  <c r="GE90" i="2"/>
  <c r="GE152" i="2"/>
  <c r="GE96" i="2"/>
  <c r="GE111" i="2"/>
  <c r="GE113" i="2"/>
  <c r="GE178" i="2"/>
  <c r="GE201" i="2"/>
  <c r="GE70" i="2"/>
  <c r="GE26" i="2"/>
  <c r="GE120" i="2"/>
  <c r="GE49" i="2"/>
  <c r="GE192" i="2"/>
  <c r="GE147" i="2"/>
  <c r="GE134" i="2"/>
  <c r="GE76" i="2"/>
  <c r="GE63" i="2"/>
  <c r="GE31" i="2"/>
  <c r="GE133" i="2"/>
  <c r="GE129" i="2"/>
  <c r="GE160" i="2"/>
  <c r="GE121" i="2"/>
  <c r="GE7" i="2"/>
  <c r="GE73" i="2"/>
  <c r="GE170" i="2"/>
  <c r="GE43" i="2"/>
  <c r="GE191" i="2"/>
  <c r="GE80" i="2"/>
  <c r="GE154" i="2"/>
  <c r="GE200" i="2"/>
  <c r="GE106" i="2"/>
  <c r="GE182" i="2"/>
  <c r="GE97" i="2"/>
  <c r="GE115" i="2"/>
  <c r="GE62" i="2"/>
  <c r="GE158" i="2"/>
  <c r="GE119" i="2"/>
  <c r="GE151" i="2"/>
  <c r="GE172" i="2"/>
  <c r="GE161" i="2"/>
  <c r="GE100" i="2"/>
  <c r="GE199" i="2"/>
  <c r="GE23" i="2"/>
  <c r="GE102" i="2"/>
  <c r="GE156" i="2"/>
  <c r="GE40" i="2"/>
  <c r="GE181" i="2"/>
  <c r="GE16" i="2"/>
  <c r="GE13" i="2"/>
  <c r="GE24" i="2"/>
  <c r="GE17" i="2"/>
  <c r="GE131" i="2"/>
  <c r="GE175" i="2"/>
  <c r="GE74" i="2"/>
  <c r="GE14" i="2"/>
  <c r="GE138" i="2"/>
  <c r="GE128" i="2"/>
  <c r="GE65" i="2"/>
  <c r="GE57" i="2"/>
  <c r="GE140" i="2"/>
  <c r="GE188" i="2"/>
  <c r="GE103" i="2"/>
  <c r="GE36" i="2"/>
  <c r="GE54" i="2"/>
  <c r="GE89" i="2"/>
  <c r="GE81" i="2"/>
  <c r="GE91" i="2"/>
  <c r="GE155" i="2"/>
  <c r="GE148" i="2"/>
  <c r="GE4" i="2"/>
  <c r="GE6" i="2"/>
  <c r="GE42" i="2"/>
  <c r="GE179" i="2"/>
  <c r="GE139" i="2"/>
  <c r="GE69" i="2"/>
  <c r="GE125" i="2"/>
  <c r="GE203" i="2"/>
  <c r="GE202" i="2"/>
  <c r="GE52" i="2"/>
  <c r="GE83" i="2"/>
  <c r="GE55" i="2"/>
  <c r="GE28" i="2"/>
  <c r="GE143" i="2"/>
  <c r="GE183" i="2"/>
  <c r="GE104" i="2"/>
  <c r="GE180" i="2"/>
  <c r="GE196" i="2"/>
  <c r="GE9" i="2"/>
  <c r="GE29" i="2"/>
  <c r="GE30" i="2"/>
  <c r="GE20" i="2"/>
  <c r="GE169" i="2"/>
  <c r="GE5" i="2"/>
  <c r="GE8" i="2"/>
  <c r="GE75" i="2"/>
  <c r="GE137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<sst xmlns="http://schemas.openxmlformats.org/spreadsheetml/2006/main" count="1179" uniqueCount="324">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</sst>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0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0" fontId="0" fillId="14" borderId="1" xfId="0" applyNumberForma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5744"/>
        <c:axId val="1746288"/>
      </c:scatterChart>
      <c:valAx>
        <c:axId val="1745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6288"/>
        <c:crosses val="autoZero"/>
        <c:crossBetween val="midCat"/>
      </c:valAx>
      <c:valAx>
        <c:axId val="174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5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347712"/>
        <c:axId val="429347168"/>
      </c:scatterChart>
      <c:valAx>
        <c:axId val="429347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9347168"/>
        <c:crosses val="autoZero"/>
        <c:crossBetween val="midCat"/>
      </c:valAx>
      <c:valAx>
        <c:axId val="42934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9347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6832"/>
        <c:axId val="420797920"/>
      </c:scatterChart>
      <c:valAx>
        <c:axId val="17468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797920"/>
        <c:crosses val="autoZero"/>
        <c:crossBetween val="midCat"/>
      </c:valAx>
      <c:valAx>
        <c:axId val="420797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68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803904"/>
        <c:axId val="420802816"/>
      </c:scatterChart>
      <c:valAx>
        <c:axId val="420803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802816"/>
        <c:crosses val="autoZero"/>
        <c:crossBetween val="midCat"/>
      </c:valAx>
      <c:valAx>
        <c:axId val="42080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803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1.4380138466054599</c:v>
                </c:pt>
                <c:pt idx="2">
                  <c:v>1.6875991845994376</c:v>
                </c:pt>
                <c:pt idx="3">
                  <c:v>1.9806665306831832</c:v>
                </c:pt>
                <c:pt idx="4">
                  <c:v>2.32481817880418</c:v>
                </c:pt>
                <c:pt idx="5">
                  <c:v>2.7289900330905534</c:v>
                </c:pt>
                <c:pt idx="6">
                  <c:v>3.203686281221815</c:v>
                </c:pt>
                <c:pt idx="7">
                  <c:v>3.7612554820460891</c:v>
                </c:pt>
                <c:pt idx="8">
                  <c:v>4.4162153954838086</c:v>
                </c:pt>
                <c:pt idx="9">
                  <c:v>5.1856351825720131</c:v>
                </c:pt>
                <c:pt idx="10">
                  <c:v>6.0895851343840945</c:v>
                </c:pt>
                <c:pt idx="11">
                  <c:v>7.1516658916658464</c:v>
                </c:pt>
                <c:pt idx="12">
                  <c:v>8.3996312408642595</c:v>
                </c:pt>
                <c:pt idx="13">
                  <c:v>9.8661210739520406</c:v>
                </c:pt>
                <c:pt idx="14">
                  <c:v>11.589524046435578</c:v>
                </c:pt>
                <c:pt idx="15">
                  <c:v>13.614992939574798</c:v>
                </c:pt>
                <c:pt idx="16">
                  <c:v>15.995639822719939</c:v>
                </c:pt>
                <c:pt idx="17">
                  <c:v>18.793942930082366</c:v>
                </c:pt>
                <c:pt idx="18">
                  <c:v>22.083402843214927</c:v>
                </c:pt>
                <c:pt idx="19">
                  <c:v>25.950492259231435</c:v>
                </c:pt>
                <c:pt idx="20">
                  <c:v>30.49695150599419</c:v>
                </c:pt>
                <c:pt idx="21">
                  <c:v>35.842491252095542</c:v>
                </c:pt>
                <c:pt idx="22">
                  <c:v>42.127974802498365</c:v>
                </c:pt>
                <c:pt idx="23">
                  <c:v>49.51916526613595</c:v>
                </c:pt>
                <c:pt idx="24">
                  <c:v>58.211138078518069</c:v>
                </c:pt>
                <c:pt idx="25">
                  <c:v>68.433477271807831</c:v>
                </c:pt>
                <c:pt idx="26">
                  <c:v>80.456394991923858</c:v>
                </c:pt>
                <c:pt idx="27">
                  <c:v>94.597938638820423</c:v>
                </c:pt>
                <c:pt idx="28">
                  <c:v>111.23247932645454</c:v>
                </c:pt>
                <c:pt idx="29">
                  <c:v>130.80070991807179</c:v>
                </c:pt>
                <c:pt idx="30">
                  <c:v>153.82142162778047</c:v>
                </c:pt>
                <c:pt idx="31">
                  <c:v>165.4594931344069</c:v>
                </c:pt>
                <c:pt idx="32">
                  <c:v>177.0782356697724</c:v>
                </c:pt>
                <c:pt idx="33">
                  <c:v>188.6790972060131</c:v>
                </c:pt>
                <c:pt idx="34">
                  <c:v>200.2633328946263</c:v>
                </c:pt>
                <c:pt idx="35">
                  <c:v>211.83204065745056</c:v>
                </c:pt>
                <c:pt idx="36">
                  <c:v>223.38618858142613</c:v>
                </c:pt>
                <c:pt idx="37">
                  <c:v>234.92663633985001</c:v>
                </c:pt>
                <c:pt idx="38">
                  <c:v>246.45415217825635</c:v>
                </c:pt>
                <c:pt idx="39">
                  <c:v>257.96942655211097</c:v>
                </c:pt>
                <c:pt idx="40">
                  <c:v>269.47308319939998</c:v>
                </c:pt>
                <c:pt idx="41">
                  <c:v>280.96568822175709</c:v>
                </c:pt>
                <c:pt idx="42">
                  <c:v>292.44775760079426</c:v>
                </c:pt>
                <c:pt idx="43">
                  <c:v>303.91976347139087</c:v>
                </c:pt>
                <c:pt idx="44">
                  <c:v>315.38213939764222</c:v>
                </c:pt>
                <c:pt idx="45">
                  <c:v>326.83528484125645</c:v>
                </c:pt>
                <c:pt idx="46">
                  <c:v>338.2795689705585</c:v>
                </c:pt>
                <c:pt idx="47">
                  <c:v>349.71533392687957</c:v>
                </c:pt>
                <c:pt idx="48">
                  <c:v>361.14289764121116</c:v>
                </c:pt>
                <c:pt idx="49">
                  <c:v>372.56255627561069</c:v>
                </c:pt>
                <c:pt idx="50">
                  <c:v>383.97458634955802</c:v>
                </c:pt>
                <c:pt idx="51">
                  <c:v>395.37924660026198</c:v>
                </c:pt>
                <c:pt idx="52">
                  <c:v>236.15567000087893</c:v>
                </c:pt>
                <c:pt idx="53">
                  <c:v>247.40720442634384</c:v>
                </c:pt>
                <c:pt idx="54">
                  <c:v>258.64712580976141</c:v>
                </c:pt>
                <c:pt idx="55">
                  <c:v>269.87601023001861</c:v>
                </c:pt>
                <c:pt idx="56">
                  <c:v>281.09438188143378</c:v>
                </c:pt>
                <c:pt idx="57">
                  <c:v>292.30271967558332</c:v>
                </c:pt>
                <c:pt idx="58">
                  <c:v>303.50146277682819</c:v>
                </c:pt>
                <c:pt idx="59">
                  <c:v>314.69101527756692</c:v>
                </c:pt>
                <c:pt idx="60">
                  <c:v>325.87175017337614</c:v>
                </c:pt>
                <c:pt idx="61">
                  <c:v>337.04401276379798</c:v>
                </c:pt>
                <c:pt idx="62">
                  <c:v>252.35841209837443</c:v>
                </c:pt>
                <c:pt idx="63">
                  <c:v>262.73284691865422</c:v>
                </c:pt>
                <c:pt idx="64">
                  <c:v>273.09803939468708</c:v>
                </c:pt>
                <c:pt idx="65">
                  <c:v>283.45438999358515</c:v>
                </c:pt>
                <c:pt idx="66">
                  <c:v>293.8022675095666</c:v>
                </c:pt>
                <c:pt idx="67">
                  <c:v>304.14201262042309</c:v>
                </c:pt>
                <c:pt idx="68">
                  <c:v>314.47394093474492</c:v>
                </c:pt>
                <c:pt idx="69">
                  <c:v>324.7983456175059</c:v>
                </c:pt>
                <c:pt idx="70">
                  <c:v>335.1154996641738</c:v>
                </c:pt>
                <c:pt idx="71">
                  <c:v>345.42565787999416</c:v>
                </c:pt>
                <c:pt idx="72">
                  <c:v>355.72905861051328</c:v>
                </c:pt>
                <c:pt idx="73">
                  <c:v>366.02592526105167</c:v>
                </c:pt>
                <c:pt idx="74">
                  <c:v>281.90576500782731</c:v>
                </c:pt>
                <c:pt idx="75">
                  <c:v>291.4615194153061</c:v>
                </c:pt>
                <c:pt idx="76">
                  <c:v>301.01027742846833</c:v>
                </c:pt>
                <c:pt idx="77">
                  <c:v>310.55229243957797</c:v>
                </c:pt>
                <c:pt idx="78">
                  <c:v>320.08780098731563</c:v>
                </c:pt>
                <c:pt idx="79">
                  <c:v>329.61702435733633</c:v>
                </c:pt>
                <c:pt idx="80">
                  <c:v>339.14016998796063</c:v>
                </c:pt>
                <c:pt idx="81">
                  <c:v>348.65743270964475</c:v>
                </c:pt>
                <c:pt idx="82">
                  <c:v>358.16899584197944</c:v>
                </c:pt>
                <c:pt idx="83">
                  <c:v>367.6750321680226</c:v>
                </c:pt>
                <c:pt idx="84">
                  <c:v>377.17570480256501</c:v>
                </c:pt>
                <c:pt idx="85">
                  <c:v>386.67116796831164</c:v>
                </c:pt>
                <c:pt idx="86">
                  <c:v>310.25502677283106</c:v>
                </c:pt>
                <c:pt idx="87">
                  <c:v>318.98740593712245</c:v>
                </c:pt>
                <c:pt idx="88">
                  <c:v>327.714493945801</c:v>
                </c:pt>
                <c:pt idx="89">
                  <c:v>336.43645167959869</c:v>
                </c:pt>
                <c:pt idx="90">
                  <c:v>345.1534309907932</c:v>
                </c:pt>
                <c:pt idx="91">
                  <c:v>353.86557543008013</c:v>
                </c:pt>
                <c:pt idx="92">
                  <c:v>362.57302089808542</c:v>
                </c:pt>
                <c:pt idx="93">
                  <c:v>371.27589623099425</c:v>
                </c:pt>
                <c:pt idx="94">
                  <c:v>379.97432372837596</c:v>
                </c:pt>
                <c:pt idx="95">
                  <c:v>388.66841963013377</c:v>
                </c:pt>
                <c:pt idx="96">
                  <c:v>397.3582945485353</c:v>
                </c:pt>
                <c:pt idx="97">
                  <c:v>406.04405386046125</c:v>
                </c:pt>
                <c:pt idx="98">
                  <c:v>334.41940603910399</c:v>
                </c:pt>
                <c:pt idx="99">
                  <c:v>342.29956794326108</c:v>
                </c:pt>
                <c:pt idx="100">
                  <c:v>350.17574235486956</c:v>
                </c:pt>
                <c:pt idx="101">
                  <c:v>358.04803168315993</c:v>
                </c:pt>
                <c:pt idx="102">
                  <c:v>365.91653346305429</c:v>
                </c:pt>
                <c:pt idx="103">
                  <c:v>373.781340689297</c:v>
                </c:pt>
                <c:pt idx="104">
                  <c:v>381.64254212098012</c:v>
                </c:pt>
                <c:pt idx="105">
                  <c:v>389.50022255965609</c:v>
                </c:pt>
                <c:pt idx="106">
                  <c:v>397.35446310382622</c:v>
                </c:pt>
                <c:pt idx="107">
                  <c:v>405.20534138224843</c:v>
                </c:pt>
                <c:pt idx="108">
                  <c:v>413.05293176821192</c:v>
                </c:pt>
                <c:pt idx="109">
                  <c:v>420.89730557667355</c:v>
                </c:pt>
                <c:pt idx="110">
                  <c:v>347.55719193287524</c:v>
                </c:pt>
                <c:pt idx="111">
                  <c:v>354.63762505887559</c:v>
                </c:pt>
                <c:pt idx="112">
                  <c:v>361.71496177810758</c:v>
                </c:pt>
                <c:pt idx="113">
                  <c:v>368.78927127528988</c:v>
                </c:pt>
                <c:pt idx="114">
                  <c:v>375.86061986197689</c:v>
                </c:pt>
                <c:pt idx="115">
                  <c:v>382.92907114888561</c:v>
                </c:pt>
                <c:pt idx="116">
                  <c:v>389.99468620482668</c:v>
                </c:pt>
                <c:pt idx="117">
                  <c:v>397.05752370351041</c:v>
                </c:pt>
                <c:pt idx="118">
                  <c:v>404.11764005935646</c:v>
                </c:pt>
                <c:pt idx="119">
                  <c:v>411.17508955331374</c:v>
                </c:pt>
                <c:pt idx="120">
                  <c:v>418.22992444958618</c:v>
                </c:pt>
                <c:pt idx="121">
                  <c:v>425.28219510406808</c:v>
                </c:pt>
                <c:pt idx="122">
                  <c:v>222.90571332852619</c:v>
                </c:pt>
                <c:pt idx="123">
                  <c:v>227.85759264677259</c:v>
                </c:pt>
                <c:pt idx="124">
                  <c:v>232.80700909260011</c:v>
                </c:pt>
                <c:pt idx="125">
                  <c:v>237.75402251395349</c:v>
                </c:pt>
                <c:pt idx="126">
                  <c:v>242.69869006033085</c:v>
                </c:pt>
                <c:pt idx="127">
                  <c:v>247.64106635821585</c:v>
                </c:pt>
                <c:pt idx="128">
                  <c:v>252.58120367175138</c:v>
                </c:pt>
                <c:pt idx="129">
                  <c:v>257.51915205016729</c:v>
                </c:pt>
                <c:pt idx="130">
                  <c:v>262.45495946329385</c:v>
                </c:pt>
                <c:pt idx="131">
                  <c:v>267.38867192633279</c:v>
                </c:pt>
                <c:pt idx="132">
                  <c:v>6.6746200022902298E-12</c:v>
                </c:pt>
                <c:pt idx="133">
                  <c:v>6.6746200022902298E-12</c:v>
                </c:pt>
                <c:pt idx="134">
                  <c:v>6.6746200022902298E-12</c:v>
                </c:pt>
                <c:pt idx="135">
                  <c:v>6.6746200022902298E-12</c:v>
                </c:pt>
                <c:pt idx="136">
                  <c:v>6.6746200022902298E-12</c:v>
                </c:pt>
                <c:pt idx="137">
                  <c:v>6.6746200022902298E-12</c:v>
                </c:pt>
                <c:pt idx="138">
                  <c:v>6.6746200022902298E-12</c:v>
                </c:pt>
                <c:pt idx="139">
                  <c:v>6.6746200022902298E-12</c:v>
                </c:pt>
                <c:pt idx="140">
                  <c:v>6.6746200022902298E-12</c:v>
                </c:pt>
                <c:pt idx="141">
                  <c:v>6.6746200022902298E-12</c:v>
                </c:pt>
                <c:pt idx="142">
                  <c:v>6.6746200022902298E-12</c:v>
                </c:pt>
                <c:pt idx="143">
                  <c:v>6.6746200022902298E-12</c:v>
                </c:pt>
                <c:pt idx="144">
                  <c:v>6.6746200022902298E-12</c:v>
                </c:pt>
                <c:pt idx="145">
                  <c:v>6.6746200022902298E-12</c:v>
                </c:pt>
                <c:pt idx="146">
                  <c:v>6.6746200022902298E-12</c:v>
                </c:pt>
                <c:pt idx="147">
                  <c:v>6.6746200022902298E-12</c:v>
                </c:pt>
                <c:pt idx="148">
                  <c:v>6.6746200022902298E-12</c:v>
                </c:pt>
                <c:pt idx="149">
                  <c:v>6.6746200022902298E-12</c:v>
                </c:pt>
                <c:pt idx="150">
                  <c:v>6.6746200022902298E-12</c:v>
                </c:pt>
                <c:pt idx="151">
                  <c:v>6.6746200022902298E-12</c:v>
                </c:pt>
                <c:pt idx="152">
                  <c:v>6.6746200022902298E-12</c:v>
                </c:pt>
                <c:pt idx="153">
                  <c:v>6.6746200022902298E-12</c:v>
                </c:pt>
                <c:pt idx="154">
                  <c:v>6.6746200022902298E-12</c:v>
                </c:pt>
                <c:pt idx="155">
                  <c:v>6.6746200022902298E-12</c:v>
                </c:pt>
                <c:pt idx="156">
                  <c:v>6.6746200022902298E-12</c:v>
                </c:pt>
                <c:pt idx="157">
                  <c:v>6.6746200022902298E-12</c:v>
                </c:pt>
                <c:pt idx="158">
                  <c:v>6.6746200022902298E-12</c:v>
                </c:pt>
                <c:pt idx="159">
                  <c:v>6.6746200022902298E-12</c:v>
                </c:pt>
                <c:pt idx="160">
                  <c:v>6.6746200022902298E-12</c:v>
                </c:pt>
                <c:pt idx="161">
                  <c:v>6.6746200022902298E-12</c:v>
                </c:pt>
                <c:pt idx="162">
                  <c:v>6.6746200022902298E-12</c:v>
                </c:pt>
                <c:pt idx="163">
                  <c:v>6.6746200022902298E-12</c:v>
                </c:pt>
                <c:pt idx="164">
                  <c:v>6.6746200022902298E-12</c:v>
                </c:pt>
                <c:pt idx="165">
                  <c:v>6.6746200022902298E-12</c:v>
                </c:pt>
                <c:pt idx="166">
                  <c:v>6.6746200022902298E-12</c:v>
                </c:pt>
                <c:pt idx="167">
                  <c:v>6.6746200022902298E-12</c:v>
                </c:pt>
                <c:pt idx="168">
                  <c:v>6.6746200022902298E-12</c:v>
                </c:pt>
                <c:pt idx="169">
                  <c:v>6.6746200022902298E-12</c:v>
                </c:pt>
                <c:pt idx="170">
                  <c:v>6.6746200022902298E-12</c:v>
                </c:pt>
                <c:pt idx="171">
                  <c:v>6.6746200022902298E-12</c:v>
                </c:pt>
                <c:pt idx="172">
                  <c:v>6.6746200022902298E-12</c:v>
                </c:pt>
                <c:pt idx="173">
                  <c:v>6.6746200022902298E-12</c:v>
                </c:pt>
                <c:pt idx="174">
                  <c:v>6.6746200022902298E-12</c:v>
                </c:pt>
                <c:pt idx="175">
                  <c:v>6.6746200022902298E-12</c:v>
                </c:pt>
                <c:pt idx="176">
                  <c:v>6.6746200022902298E-12</c:v>
                </c:pt>
                <c:pt idx="177">
                  <c:v>6.6746200022902298E-12</c:v>
                </c:pt>
                <c:pt idx="178">
                  <c:v>6.6746200022902298E-12</c:v>
                </c:pt>
                <c:pt idx="179">
                  <c:v>6.6746200022902298E-12</c:v>
                </c:pt>
                <c:pt idx="180">
                  <c:v>6.6746200022902298E-12</c:v>
                </c:pt>
                <c:pt idx="181">
                  <c:v>6.6746200022902298E-12</c:v>
                </c:pt>
                <c:pt idx="182">
                  <c:v>6.6746200022902298E-12</c:v>
                </c:pt>
                <c:pt idx="183">
                  <c:v>6.6746200022902298E-12</c:v>
                </c:pt>
                <c:pt idx="184">
                  <c:v>6.6746200022902298E-12</c:v>
                </c:pt>
                <c:pt idx="185">
                  <c:v>6.6746200022902298E-12</c:v>
                </c:pt>
                <c:pt idx="186">
                  <c:v>6.6746200022902298E-12</c:v>
                </c:pt>
                <c:pt idx="187">
                  <c:v>6.6746200022902298E-12</c:v>
                </c:pt>
                <c:pt idx="188">
                  <c:v>6.6746200022902298E-12</c:v>
                </c:pt>
                <c:pt idx="189">
                  <c:v>6.6746200022902298E-12</c:v>
                </c:pt>
                <c:pt idx="190">
                  <c:v>6.6746200022902298E-12</c:v>
                </c:pt>
                <c:pt idx="191">
                  <c:v>6.6746200022902298E-12</c:v>
                </c:pt>
                <c:pt idx="192">
                  <c:v>6.6746200022902298E-12</c:v>
                </c:pt>
                <c:pt idx="193">
                  <c:v>6.6746200022902298E-12</c:v>
                </c:pt>
                <c:pt idx="194">
                  <c:v>6.6746200022902298E-12</c:v>
                </c:pt>
                <c:pt idx="195">
                  <c:v>6.6746200022902298E-12</c:v>
                </c:pt>
                <c:pt idx="196">
                  <c:v>6.6746200022902298E-12</c:v>
                </c:pt>
                <c:pt idx="197">
                  <c:v>6.6746200022902298E-12</c:v>
                </c:pt>
                <c:pt idx="198">
                  <c:v>6.6746200022902298E-12</c:v>
                </c:pt>
                <c:pt idx="199">
                  <c:v>6.6746200022902298E-12</c:v>
                </c:pt>
                <c:pt idx="200">
                  <c:v>6.6746200022902298E-12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802272"/>
        <c:axId val="420800640"/>
      </c:scatterChart>
      <c:valAx>
        <c:axId val="420802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800640"/>
        <c:crosses val="autoZero"/>
        <c:crossBetween val="midCat"/>
      </c:valAx>
      <c:valAx>
        <c:axId val="420800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802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1.4635092725865444</c:v>
                </c:pt>
                <c:pt idx="2">
                  <c:v>1.7025282971777473</c:v>
                </c:pt>
                <c:pt idx="3">
                  <c:v>1.9807295715251672</c:v>
                </c:pt>
                <c:pt idx="4">
                  <c:v>2.3045589019379573</c:v>
                </c:pt>
                <c:pt idx="5">
                  <c:v>2.6815259974432273</c:v>
                </c:pt>
                <c:pt idx="6">
                  <c:v>3.1203806130660916</c:v>
                </c:pt>
                <c:pt idx="7">
                  <c:v>3.6313179394381785</c:v>
                </c:pt>
                <c:pt idx="8">
                  <c:v>4.2262181075132297</c:v>
                </c:pt>
                <c:pt idx="9">
                  <c:v>4.9189254896556944</c:v>
                </c:pt>
                <c:pt idx="10">
                  <c:v>5.7255744267395903</c:v>
                </c:pt>
                <c:pt idx="11">
                  <c:v>6.664969117921788</c:v>
                </c:pt>
                <c:pt idx="12">
                  <c:v>7.7590267020304333</c:v>
                </c:pt>
                <c:pt idx="13">
                  <c:v>9.0332940680955645</c:v>
                </c:pt>
                <c:pt idx="14">
                  <c:v>10.517550693721811</c:v>
                </c:pt>
                <c:pt idx="15">
                  <c:v>12.246511866133764</c:v>
                </c:pt>
                <c:pt idx="16">
                  <c:v>14.260649041304555</c:v>
                </c:pt>
                <c:pt idx="17">
                  <c:v>16.60714689941619</c:v>
                </c:pt>
                <c:pt idx="18">
                  <c:v>19.34101992752473</c:v>
                </c:pt>
                <c:pt idx="19">
                  <c:v>22.526415181596182</c:v>
                </c:pt>
                <c:pt idx="20">
                  <c:v>26.238132342188624</c:v>
                </c:pt>
                <c:pt idx="21">
                  <c:v>30.563397388633103</c:v>
                </c:pt>
                <c:pt idx="22">
                  <c:v>35.603932301371032</c:v>
                </c:pt>
                <c:pt idx="23">
                  <c:v>41.478370308065969</c:v>
                </c:pt>
                <c:pt idx="24">
                  <c:v>48.325074487878773</c:v>
                </c:pt>
                <c:pt idx="25">
                  <c:v>56.305427240430838</c:v>
                </c:pt>
                <c:pt idx="26">
                  <c:v>65.607669445808</c:v>
                </c:pt>
                <c:pt idx="27">
                  <c:v>76.451381363264133</c:v>
                </c:pt>
                <c:pt idx="28">
                  <c:v>89.092712758979928</c:v>
                </c:pt>
                <c:pt idx="29">
                  <c:v>103.83048779112333</c:v>
                </c:pt>
                <c:pt idx="30">
                  <c:v>121.0133312503405</c:v>
                </c:pt>
                <c:pt idx="31">
                  <c:v>130.47455945534963</c:v>
                </c:pt>
                <c:pt idx="32">
                  <c:v>139.91920681924447</c:v>
                </c:pt>
                <c:pt idx="33">
                  <c:v>149.34855182595956</c:v>
                </c:pt>
                <c:pt idx="34">
                  <c:v>158.7636980385312</c:v>
                </c:pt>
                <c:pt idx="35">
                  <c:v>168.16560721899756</c:v>
                </c:pt>
                <c:pt idx="36">
                  <c:v>177.55512463547487</c:v>
                </c:pt>
                <c:pt idx="37">
                  <c:v>186.93299872397799</c:v>
                </c:pt>
                <c:pt idx="38">
                  <c:v>196.29989659034709</c:v>
                </c:pt>
                <c:pt idx="39">
                  <c:v>205.65641639311912</c:v>
                </c:pt>
                <c:pt idx="40">
                  <c:v>215.00309735126984</c:v>
                </c:pt>
                <c:pt idx="41">
                  <c:v>155.52224371123677</c:v>
                </c:pt>
                <c:pt idx="42">
                  <c:v>164.82416739611833</c:v>
                </c:pt>
                <c:pt idx="43">
                  <c:v>174.11369119185997</c:v>
                </c:pt>
                <c:pt idx="44">
                  <c:v>183.39157071786599</c:v>
                </c:pt>
                <c:pt idx="45">
                  <c:v>192.65847878639758</c:v>
                </c:pt>
                <c:pt idx="46">
                  <c:v>201.91501811205728</c:v>
                </c:pt>
                <c:pt idx="47">
                  <c:v>211.16173156473567</c:v>
                </c:pt>
                <c:pt idx="48">
                  <c:v>220.39911052988498</c:v>
                </c:pt>
                <c:pt idx="49">
                  <c:v>229.62760179186114</c:v>
                </c:pt>
                <c:pt idx="50">
                  <c:v>238.84761325137129</c:v>
                </c:pt>
                <c:pt idx="51">
                  <c:v>188.39077675130136</c:v>
                </c:pt>
                <c:pt idx="52">
                  <c:v>198.17201274884755</c:v>
                </c:pt>
                <c:pt idx="53">
                  <c:v>207.94204969306148</c:v>
                </c:pt>
                <c:pt idx="54">
                  <c:v>217.7014884479286</c:v>
                </c:pt>
                <c:pt idx="55">
                  <c:v>227.45087154547332</c:v>
                </c:pt>
                <c:pt idx="56">
                  <c:v>237.19069116103324</c:v>
                </c:pt>
                <c:pt idx="57">
                  <c:v>246.92139570839672</c:v>
                </c:pt>
                <c:pt idx="58">
                  <c:v>256.6433953397547</c:v>
                </c:pt>
                <c:pt idx="59">
                  <c:v>266.35706656780263</c:v>
                </c:pt>
                <c:pt idx="60">
                  <c:v>276.06275617767665</c:v>
                </c:pt>
                <c:pt idx="61">
                  <c:v>227.13987125384526</c:v>
                </c:pt>
                <c:pt idx="62">
                  <c:v>238.22629827083426</c:v>
                </c:pt>
                <c:pt idx="63">
                  <c:v>249.30097227010035</c:v>
                </c:pt>
                <c:pt idx="64">
                  <c:v>260.36448926638076</c:v>
                </c:pt>
                <c:pt idx="65">
                  <c:v>271.41739044940789</c:v>
                </c:pt>
                <c:pt idx="66">
                  <c:v>282.46016930254598</c:v>
                </c:pt>
                <c:pt idx="67">
                  <c:v>293.49327754906773</c:v>
                </c:pt>
                <c:pt idx="68">
                  <c:v>304.51713015687432</c:v>
                </c:pt>
                <c:pt idx="69">
                  <c:v>315.53210958013784</c:v>
                </c:pt>
                <c:pt idx="70">
                  <c:v>326.53856937734338</c:v>
                </c:pt>
                <c:pt idx="71">
                  <c:v>274.30804838266249</c:v>
                </c:pt>
                <c:pt idx="72">
                  <c:v>285.96704456474043</c:v>
                </c:pt>
                <c:pt idx="73">
                  <c:v>297.61540606446545</c:v>
                </c:pt>
                <c:pt idx="74">
                  <c:v>309.25360794571606</c:v>
                </c:pt>
                <c:pt idx="75">
                  <c:v>320.88208658053628</c:v>
                </c:pt>
                <c:pt idx="76">
                  <c:v>332.50124411840181</c:v>
                </c:pt>
                <c:pt idx="77">
                  <c:v>344.11145229783097</c:v>
                </c:pt>
                <c:pt idx="78">
                  <c:v>355.71305571649401</c:v>
                </c:pt>
                <c:pt idx="79">
                  <c:v>367.30637465226465</c:v>
                </c:pt>
                <c:pt idx="80">
                  <c:v>378.8917075093982</c:v>
                </c:pt>
                <c:pt idx="81">
                  <c:v>331.47336627577857</c:v>
                </c:pt>
                <c:pt idx="82">
                  <c:v>343.59791066444672</c:v>
                </c:pt>
                <c:pt idx="83">
                  <c:v>355.71305571649401</c:v>
                </c:pt>
                <c:pt idx="84">
                  <c:v>367.81916674611404</c:v>
                </c:pt>
                <c:pt idx="85">
                  <c:v>379.91658305220102</c:v>
                </c:pt>
                <c:pt idx="86">
                  <c:v>392.00562055799747</c:v>
                </c:pt>
                <c:pt idx="87">
                  <c:v>404.08657410806762</c:v>
                </c:pt>
                <c:pt idx="88">
                  <c:v>416.15971947620778</c:v>
                </c:pt>
                <c:pt idx="89">
                  <c:v>428.22531512817227</c:v>
                </c:pt>
                <c:pt idx="90">
                  <c:v>440.28360377535751</c:v>
                </c:pt>
                <c:pt idx="91">
                  <c:v>402.14187022237041</c:v>
                </c:pt>
                <c:pt idx="92">
                  <c:v>415.13686787099647</c:v>
                </c:pt>
                <c:pt idx="93">
                  <c:v>428.12309534936963</c:v>
                </c:pt>
                <c:pt idx="94">
                  <c:v>441.10085615785653</c:v>
                </c:pt>
                <c:pt idx="95">
                  <c:v>454.07043448193554</c:v>
                </c:pt>
                <c:pt idx="96">
                  <c:v>467.03209694960123</c:v>
                </c:pt>
                <c:pt idx="97">
                  <c:v>479.98609418352476</c:v>
                </c:pt>
                <c:pt idx="98">
                  <c:v>492.93266217694435</c:v>
                </c:pt>
                <c:pt idx="99">
                  <c:v>505.87202351750079</c:v>
                </c:pt>
                <c:pt idx="100">
                  <c:v>518.80438847936102</c:v>
                </c:pt>
                <c:pt idx="101">
                  <c:v>487.22484042893853</c:v>
                </c:pt>
                <c:pt idx="102">
                  <c:v>501.49177357540185</c:v>
                </c:pt>
                <c:pt idx="103">
                  <c:v>515.75011953425008</c:v>
                </c:pt>
                <c:pt idx="104">
                  <c:v>530.00014907281752</c:v>
                </c:pt>
                <c:pt idx="105">
                  <c:v>544.24211721589984</c:v>
                </c:pt>
                <c:pt idx="106">
                  <c:v>558.4762645576136</c:v>
                </c:pt>
                <c:pt idx="107">
                  <c:v>572.7028184326042</c:v>
                </c:pt>
                <c:pt idx="108">
                  <c:v>586.92199396486899</c:v>
                </c:pt>
                <c:pt idx="109">
                  <c:v>601.13399500970047</c:v>
                </c:pt>
                <c:pt idx="110">
                  <c:v>615.33901500195941</c:v>
                </c:pt>
                <c:pt idx="111">
                  <c:v>1.6301611558033651E-12</c:v>
                </c:pt>
                <c:pt idx="112">
                  <c:v>1.6301611558033651E-12</c:v>
                </c:pt>
                <c:pt idx="113">
                  <c:v>1.6301611558033651E-12</c:v>
                </c:pt>
                <c:pt idx="114">
                  <c:v>1.6301611558033651E-12</c:v>
                </c:pt>
                <c:pt idx="115">
                  <c:v>1.6301611558033651E-12</c:v>
                </c:pt>
                <c:pt idx="116">
                  <c:v>1.6301611558033651E-12</c:v>
                </c:pt>
                <c:pt idx="117">
                  <c:v>1.6301611558033651E-12</c:v>
                </c:pt>
                <c:pt idx="118">
                  <c:v>1.6301611558033651E-12</c:v>
                </c:pt>
                <c:pt idx="119">
                  <c:v>1.6301611558033651E-12</c:v>
                </c:pt>
                <c:pt idx="120">
                  <c:v>1.6301611558033651E-12</c:v>
                </c:pt>
                <c:pt idx="121">
                  <c:v>1.6301611558033651E-12</c:v>
                </c:pt>
                <c:pt idx="122">
                  <c:v>1.6301611558033651E-12</c:v>
                </c:pt>
                <c:pt idx="123">
                  <c:v>1.6301611558033651E-12</c:v>
                </c:pt>
                <c:pt idx="124">
                  <c:v>1.6301611558033651E-12</c:v>
                </c:pt>
                <c:pt idx="125">
                  <c:v>1.6301611558033651E-12</c:v>
                </c:pt>
                <c:pt idx="126">
                  <c:v>1.6301611558033651E-12</c:v>
                </c:pt>
                <c:pt idx="127">
                  <c:v>1.6301611558033651E-12</c:v>
                </c:pt>
                <c:pt idx="128">
                  <c:v>1.6301611558033651E-12</c:v>
                </c:pt>
                <c:pt idx="129">
                  <c:v>1.6301611558033651E-12</c:v>
                </c:pt>
                <c:pt idx="130">
                  <c:v>1.6301611558033651E-12</c:v>
                </c:pt>
                <c:pt idx="131">
                  <c:v>1.6301611558033651E-12</c:v>
                </c:pt>
                <c:pt idx="132">
                  <c:v>1.6301611558033651E-12</c:v>
                </c:pt>
                <c:pt idx="133">
                  <c:v>1.6301611558033651E-12</c:v>
                </c:pt>
                <c:pt idx="134">
                  <c:v>1.6301611558033651E-12</c:v>
                </c:pt>
                <c:pt idx="135">
                  <c:v>1.6301611558033651E-12</c:v>
                </c:pt>
                <c:pt idx="136">
                  <c:v>1.6301611558033651E-12</c:v>
                </c:pt>
                <c:pt idx="137">
                  <c:v>1.6301611558033651E-12</c:v>
                </c:pt>
                <c:pt idx="138">
                  <c:v>1.6301611558033651E-12</c:v>
                </c:pt>
                <c:pt idx="139">
                  <c:v>1.6301611558033651E-12</c:v>
                </c:pt>
                <c:pt idx="140">
                  <c:v>1.6301611558033651E-12</c:v>
                </c:pt>
                <c:pt idx="141">
                  <c:v>1.6301611558033651E-12</c:v>
                </c:pt>
                <c:pt idx="142">
                  <c:v>1.6301611558033651E-12</c:v>
                </c:pt>
                <c:pt idx="143">
                  <c:v>1.6301611558033651E-12</c:v>
                </c:pt>
                <c:pt idx="144">
                  <c:v>1.6301611558033651E-12</c:v>
                </c:pt>
                <c:pt idx="145">
                  <c:v>1.6301611558033651E-12</c:v>
                </c:pt>
                <c:pt idx="146">
                  <c:v>1.6301611558033651E-12</c:v>
                </c:pt>
                <c:pt idx="147">
                  <c:v>1.6301611558033651E-12</c:v>
                </c:pt>
                <c:pt idx="148">
                  <c:v>1.6301611558033651E-12</c:v>
                </c:pt>
                <c:pt idx="149">
                  <c:v>1.6301611558033651E-12</c:v>
                </c:pt>
                <c:pt idx="150">
                  <c:v>1.6301611558033651E-12</c:v>
                </c:pt>
                <c:pt idx="151">
                  <c:v>1.6301611558033651E-12</c:v>
                </c:pt>
                <c:pt idx="152">
                  <c:v>1.6301611558033651E-12</c:v>
                </c:pt>
                <c:pt idx="153">
                  <c:v>1.6301611558033651E-12</c:v>
                </c:pt>
                <c:pt idx="154">
                  <c:v>1.6301611558033651E-12</c:v>
                </c:pt>
                <c:pt idx="155">
                  <c:v>1.6301611558033651E-12</c:v>
                </c:pt>
                <c:pt idx="156">
                  <c:v>1.6301611558033651E-12</c:v>
                </c:pt>
                <c:pt idx="157">
                  <c:v>1.6301611558033651E-12</c:v>
                </c:pt>
                <c:pt idx="158">
                  <c:v>1.6301611558033651E-12</c:v>
                </c:pt>
                <c:pt idx="159">
                  <c:v>1.6301611558033651E-12</c:v>
                </c:pt>
                <c:pt idx="160">
                  <c:v>1.6301611558033651E-12</c:v>
                </c:pt>
                <c:pt idx="161">
                  <c:v>1.6301611558033651E-12</c:v>
                </c:pt>
                <c:pt idx="162">
                  <c:v>1.6301611558033651E-12</c:v>
                </c:pt>
                <c:pt idx="163">
                  <c:v>1.6301611558033651E-12</c:v>
                </c:pt>
                <c:pt idx="164">
                  <c:v>1.6301611558033651E-12</c:v>
                </c:pt>
                <c:pt idx="165">
                  <c:v>1.6301611558033651E-12</c:v>
                </c:pt>
                <c:pt idx="166">
                  <c:v>1.6301611558033651E-12</c:v>
                </c:pt>
                <c:pt idx="167">
                  <c:v>1.6301611558033651E-12</c:v>
                </c:pt>
                <c:pt idx="168">
                  <c:v>1.6301611558033651E-12</c:v>
                </c:pt>
                <c:pt idx="169">
                  <c:v>1.6301611558033651E-12</c:v>
                </c:pt>
                <c:pt idx="170">
                  <c:v>1.6301611558033651E-12</c:v>
                </c:pt>
                <c:pt idx="171">
                  <c:v>1.6301611558033651E-12</c:v>
                </c:pt>
                <c:pt idx="172">
                  <c:v>1.6301611558033651E-12</c:v>
                </c:pt>
                <c:pt idx="173">
                  <c:v>1.6301611558033651E-12</c:v>
                </c:pt>
                <c:pt idx="174">
                  <c:v>1.6301611558033651E-12</c:v>
                </c:pt>
                <c:pt idx="175">
                  <c:v>1.6301611558033651E-12</c:v>
                </c:pt>
                <c:pt idx="176">
                  <c:v>1.6301611558033651E-12</c:v>
                </c:pt>
                <c:pt idx="177">
                  <c:v>1.6301611558033651E-12</c:v>
                </c:pt>
                <c:pt idx="178">
                  <c:v>1.6301611558033651E-12</c:v>
                </c:pt>
                <c:pt idx="179">
                  <c:v>1.6301611558033651E-12</c:v>
                </c:pt>
                <c:pt idx="180">
                  <c:v>1.6301611558033651E-12</c:v>
                </c:pt>
                <c:pt idx="181">
                  <c:v>1.6301611558033651E-12</c:v>
                </c:pt>
                <c:pt idx="182">
                  <c:v>1.6301611558033651E-12</c:v>
                </c:pt>
                <c:pt idx="183">
                  <c:v>1.6301611558033651E-12</c:v>
                </c:pt>
                <c:pt idx="184">
                  <c:v>1.6301611558033651E-12</c:v>
                </c:pt>
                <c:pt idx="185">
                  <c:v>1.6301611558033651E-12</c:v>
                </c:pt>
                <c:pt idx="186">
                  <c:v>1.6301611558033651E-12</c:v>
                </c:pt>
                <c:pt idx="187">
                  <c:v>1.6301611558033651E-12</c:v>
                </c:pt>
                <c:pt idx="188">
                  <c:v>1.6301611558033651E-12</c:v>
                </c:pt>
                <c:pt idx="189">
                  <c:v>1.6301611558033651E-12</c:v>
                </c:pt>
                <c:pt idx="190">
                  <c:v>1.6301611558033651E-12</c:v>
                </c:pt>
                <c:pt idx="191">
                  <c:v>1.6301611558033651E-12</c:v>
                </c:pt>
                <c:pt idx="192">
                  <c:v>1.6301611558033651E-12</c:v>
                </c:pt>
                <c:pt idx="193">
                  <c:v>1.6301611558033651E-12</c:v>
                </c:pt>
                <c:pt idx="194">
                  <c:v>1.6301611558033651E-12</c:v>
                </c:pt>
                <c:pt idx="195">
                  <c:v>1.6301611558033651E-12</c:v>
                </c:pt>
                <c:pt idx="196">
                  <c:v>1.6301611558033651E-12</c:v>
                </c:pt>
                <c:pt idx="197">
                  <c:v>1.6301611558033651E-12</c:v>
                </c:pt>
                <c:pt idx="198">
                  <c:v>1.6301611558033651E-12</c:v>
                </c:pt>
                <c:pt idx="199">
                  <c:v>1.6301611558033651E-12</c:v>
                </c:pt>
                <c:pt idx="200">
                  <c:v>1.6301611558033651E-12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803360"/>
        <c:axId val="420798464"/>
      </c:scatterChart>
      <c:valAx>
        <c:axId val="420803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798464"/>
        <c:crosses val="autoZero"/>
        <c:crossBetween val="midCat"/>
      </c:valAx>
      <c:valAx>
        <c:axId val="42079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80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2.226622737697221</c:v>
                </c:pt>
                <c:pt idx="2">
                  <c:v>2.8625265097424397</c:v>
                </c:pt>
                <c:pt idx="3">
                  <c:v>3.6807673232046039</c:v>
                </c:pt>
                <c:pt idx="4">
                  <c:v>4.7338249191760466</c:v>
                </c:pt>
                <c:pt idx="5">
                  <c:v>6.0893366647592657</c:v>
                </c:pt>
                <c:pt idx="6">
                  <c:v>7.8344897360718626</c:v>
                </c:pt>
                <c:pt idx="7">
                  <c:v>10.081689817520575</c:v>
                </c:pt>
                <c:pt idx="8">
                  <c:v>12.975878330143091</c:v>
                </c:pt>
                <c:pt idx="9">
                  <c:v>16.70397888629628</c:v>
                </c:pt>
                <c:pt idx="10">
                  <c:v>21.507094176298665</c:v>
                </c:pt>
                <c:pt idx="11">
                  <c:v>27.696256162013025</c:v>
                </c:pt>
                <c:pt idx="12">
                  <c:v>35.672767364515572</c:v>
                </c:pt>
                <c:pt idx="13">
                  <c:v>45.954474822239945</c:v>
                </c:pt>
                <c:pt idx="14">
                  <c:v>59.209711195430032</c:v>
                </c:pt>
                <c:pt idx="15">
                  <c:v>76.301145689172856</c:v>
                </c:pt>
                <c:pt idx="16">
                  <c:v>88.457340034120918</c:v>
                </c:pt>
                <c:pt idx="17">
                  <c:v>100.57156022593183</c:v>
                </c:pt>
                <c:pt idx="18">
                  <c:v>112.64958590196655</c:v>
                </c:pt>
                <c:pt idx="19">
                  <c:v>124.69585112217392</c:v>
                </c:pt>
                <c:pt idx="20">
                  <c:v>136.71386058122562</c:v>
                </c:pt>
                <c:pt idx="21">
                  <c:v>113.40336758500625</c:v>
                </c:pt>
                <c:pt idx="22">
                  <c:v>125.82369159890273</c:v>
                </c:pt>
                <c:pt idx="23">
                  <c:v>138.21427227726235</c:v>
                </c:pt>
                <c:pt idx="24">
                  <c:v>150.57815464878283</c:v>
                </c:pt>
                <c:pt idx="25">
                  <c:v>162.91784180635725</c:v>
                </c:pt>
                <c:pt idx="26">
                  <c:v>174.6759892646526</c:v>
                </c:pt>
                <c:pt idx="27">
                  <c:v>186.41554721296791</c:v>
                </c:pt>
                <c:pt idx="28">
                  <c:v>198.13785215720918</c:v>
                </c:pt>
                <c:pt idx="29">
                  <c:v>209.8440693666619</c:v>
                </c:pt>
                <c:pt idx="30">
                  <c:v>221.53522335108485</c:v>
                </c:pt>
                <c:pt idx="31">
                  <c:v>185.2982570323903</c:v>
                </c:pt>
                <c:pt idx="32">
                  <c:v>196.46424765821197</c:v>
                </c:pt>
                <c:pt idx="33">
                  <c:v>207.61550464114839</c:v>
                </c:pt>
                <c:pt idx="34">
                  <c:v>218.7529314533075</c:v>
                </c:pt>
                <c:pt idx="35">
                  <c:v>229.8773319666974</c:v>
                </c:pt>
                <c:pt idx="36">
                  <c:v>240.24898910471029</c:v>
                </c:pt>
                <c:pt idx="37">
                  <c:v>250.61045481310325</c:v>
                </c:pt>
                <c:pt idx="38">
                  <c:v>260.96221015972299</c:v>
                </c:pt>
                <c:pt idx="39">
                  <c:v>271.30469489980919</c:v>
                </c:pt>
                <c:pt idx="40">
                  <c:v>281.63831249761358</c:v>
                </c:pt>
                <c:pt idx="41">
                  <c:v>241.5447193683236</c:v>
                </c:pt>
                <c:pt idx="42">
                  <c:v>251.35018250509077</c:v>
                </c:pt>
                <c:pt idx="43">
                  <c:v>261.14697743122923</c:v>
                </c:pt>
                <c:pt idx="44">
                  <c:v>270.93547543188362</c:v>
                </c:pt>
                <c:pt idx="45">
                  <c:v>280.71601875158382</c:v>
                </c:pt>
                <c:pt idx="46">
                  <c:v>289.75160586553034</c:v>
                </c:pt>
                <c:pt idx="47">
                  <c:v>298.78089686477716</c:v>
                </c:pt>
                <c:pt idx="48">
                  <c:v>307.80410900253173</c:v>
                </c:pt>
                <c:pt idx="49">
                  <c:v>316.82144574470937</c:v>
                </c:pt>
                <c:pt idx="50">
                  <c:v>325.8330980209808</c:v>
                </c:pt>
                <c:pt idx="51">
                  <c:v>287.17066187581446</c:v>
                </c:pt>
                <c:pt idx="52">
                  <c:v>295.46473202474721</c:v>
                </c:pt>
                <c:pt idx="53">
                  <c:v>303.75360952955964</c:v>
                </c:pt>
                <c:pt idx="54">
                  <c:v>312.03745619949137</c:v>
                </c:pt>
                <c:pt idx="55">
                  <c:v>320.31642454362617</c:v>
                </c:pt>
                <c:pt idx="56">
                  <c:v>328.03918745937807</c:v>
                </c:pt>
                <c:pt idx="57">
                  <c:v>335.75793717547276</c:v>
                </c:pt>
                <c:pt idx="58">
                  <c:v>343.47277904595654</c:v>
                </c:pt>
                <c:pt idx="59">
                  <c:v>351.1838133017921</c:v>
                </c:pt>
                <c:pt idx="60">
                  <c:v>358.89113540947909</c:v>
                </c:pt>
                <c:pt idx="61">
                  <c:v>323.07502170283419</c:v>
                </c:pt>
                <c:pt idx="62">
                  <c:v>330.42874810515195</c:v>
                </c:pt>
                <c:pt idx="63">
                  <c:v>337.77886455023247</c:v>
                </c:pt>
                <c:pt idx="64">
                  <c:v>345.12546074519736</c:v>
                </c:pt>
                <c:pt idx="65">
                  <c:v>352.46862226287652</c:v>
                </c:pt>
                <c:pt idx="66">
                  <c:v>359.62497583302707</c:v>
                </c:pt>
                <c:pt idx="67">
                  <c:v>366.77821443674179</c:v>
                </c:pt>
                <c:pt idx="68">
                  <c:v>373.92840744681308</c:v>
                </c:pt>
                <c:pt idx="69">
                  <c:v>381.0756213642569</c:v>
                </c:pt>
                <c:pt idx="70">
                  <c:v>388.21991999001654</c:v>
                </c:pt>
                <c:pt idx="71">
                  <c:v>355.40494358786822</c:v>
                </c:pt>
                <c:pt idx="72">
                  <c:v>362.00973132142713</c:v>
                </c:pt>
                <c:pt idx="73">
                  <c:v>368.61188489876866</c:v>
                </c:pt>
                <c:pt idx="74">
                  <c:v>375.21145820009173</c:v>
                </c:pt>
                <c:pt idx="75">
                  <c:v>381.80850305381119</c:v>
                </c:pt>
                <c:pt idx="76">
                  <c:v>387.85361564101663</c:v>
                </c:pt>
                <c:pt idx="77">
                  <c:v>393.89668264259575</c:v>
                </c:pt>
                <c:pt idx="78">
                  <c:v>399.93773989825166</c:v>
                </c:pt>
                <c:pt idx="79">
                  <c:v>405.97682207564725</c:v>
                </c:pt>
                <c:pt idx="80">
                  <c:v>412.01396272598703</c:v>
                </c:pt>
                <c:pt idx="81">
                  <c:v>380.34270900980056</c:v>
                </c:pt>
                <c:pt idx="82">
                  <c:v>386.2051529766095</c:v>
                </c:pt>
                <c:pt idx="83">
                  <c:v>392.06566407054515</c:v>
                </c:pt>
                <c:pt idx="84">
                  <c:v>397.9242752879988</c:v>
                </c:pt>
                <c:pt idx="85">
                  <c:v>403.78101857356387</c:v>
                </c:pt>
                <c:pt idx="86">
                  <c:v>409.27004647130326</c:v>
                </c:pt>
                <c:pt idx="87">
                  <c:v>414.75748456475031</c:v>
                </c:pt>
                <c:pt idx="88">
                  <c:v>420.24335687514667</c:v>
                </c:pt>
                <c:pt idx="89">
                  <c:v>425.72768674484382</c:v>
                </c:pt>
                <c:pt idx="90">
                  <c:v>431.21049686518558</c:v>
                </c:pt>
                <c:pt idx="91">
                  <c:v>401.76797181151136</c:v>
                </c:pt>
                <c:pt idx="92">
                  <c:v>407.07462745738621</c:v>
                </c:pt>
                <c:pt idx="93">
                  <c:v>412.37978836079861</c:v>
                </c:pt>
                <c:pt idx="94">
                  <c:v>417.6834764831122</c:v>
                </c:pt>
                <c:pt idx="95">
                  <c:v>422.98571318193194</c:v>
                </c:pt>
                <c:pt idx="96">
                  <c:v>428.10375641326408</c:v>
                </c:pt>
                <c:pt idx="97">
                  <c:v>433.22048417506704</c:v>
                </c:pt>
                <c:pt idx="98">
                  <c:v>438.33591421069946</c:v>
                </c:pt>
                <c:pt idx="99">
                  <c:v>443.45006381522575</c:v>
                </c:pt>
                <c:pt idx="100">
                  <c:v>448.56294985189817</c:v>
                </c:pt>
                <c:pt idx="101">
                  <c:v>421.15751834664781</c:v>
                </c:pt>
                <c:pt idx="102">
                  <c:v>425.72768674484382</c:v>
                </c:pt>
                <c:pt idx="103">
                  <c:v>430.29679977258542</c:v>
                </c:pt>
                <c:pt idx="104">
                  <c:v>434.86487022897177</c:v>
                </c:pt>
                <c:pt idx="105">
                  <c:v>439.43191062199884</c:v>
                </c:pt>
                <c:pt idx="106">
                  <c:v>444.18055307943456</c:v>
                </c:pt>
                <c:pt idx="107">
                  <c:v>448.92810808361338</c:v>
                </c:pt>
                <c:pt idx="108">
                  <c:v>453.67458876784752</c:v>
                </c:pt>
                <c:pt idx="109">
                  <c:v>458.42000796797294</c:v>
                </c:pt>
                <c:pt idx="110">
                  <c:v>463.16437823216773</c:v>
                </c:pt>
                <c:pt idx="111">
                  <c:v>3.1457867471021712E-12</c:v>
                </c:pt>
                <c:pt idx="112">
                  <c:v>3.1457867471021712E-12</c:v>
                </c:pt>
                <c:pt idx="113">
                  <c:v>3.1457867471021712E-12</c:v>
                </c:pt>
                <c:pt idx="114">
                  <c:v>3.1457867471021712E-12</c:v>
                </c:pt>
                <c:pt idx="115">
                  <c:v>3.1457867471021712E-12</c:v>
                </c:pt>
                <c:pt idx="116">
                  <c:v>3.1457867471021712E-12</c:v>
                </c:pt>
                <c:pt idx="117">
                  <c:v>3.1457867471021712E-12</c:v>
                </c:pt>
                <c:pt idx="118">
                  <c:v>3.1457867471021712E-12</c:v>
                </c:pt>
                <c:pt idx="119">
                  <c:v>3.1457867471021712E-12</c:v>
                </c:pt>
                <c:pt idx="120">
                  <c:v>3.1457867471021712E-12</c:v>
                </c:pt>
                <c:pt idx="121">
                  <c:v>3.1457867471021712E-12</c:v>
                </c:pt>
                <c:pt idx="122">
                  <c:v>3.1457867471021712E-12</c:v>
                </c:pt>
                <c:pt idx="123">
                  <c:v>3.1457867471021712E-12</c:v>
                </c:pt>
                <c:pt idx="124">
                  <c:v>3.1457867471021712E-12</c:v>
                </c:pt>
                <c:pt idx="125">
                  <c:v>3.1457867471021712E-12</c:v>
                </c:pt>
                <c:pt idx="126">
                  <c:v>3.1457867471021712E-12</c:v>
                </c:pt>
                <c:pt idx="127">
                  <c:v>3.1457867471021712E-12</c:v>
                </c:pt>
                <c:pt idx="128">
                  <c:v>3.1457867471021712E-12</c:v>
                </c:pt>
                <c:pt idx="129">
                  <c:v>3.1457867471021712E-12</c:v>
                </c:pt>
                <c:pt idx="130">
                  <c:v>3.1457867471021712E-12</c:v>
                </c:pt>
                <c:pt idx="131">
                  <c:v>3.1457867471021712E-12</c:v>
                </c:pt>
                <c:pt idx="132">
                  <c:v>3.1457867471021712E-12</c:v>
                </c:pt>
                <c:pt idx="133">
                  <c:v>3.1457867471021712E-12</c:v>
                </c:pt>
                <c:pt idx="134">
                  <c:v>3.1457867471021712E-12</c:v>
                </c:pt>
                <c:pt idx="135">
                  <c:v>3.1457867471021712E-12</c:v>
                </c:pt>
                <c:pt idx="136">
                  <c:v>3.1457867471021712E-12</c:v>
                </c:pt>
                <c:pt idx="137">
                  <c:v>3.1457867471021712E-12</c:v>
                </c:pt>
                <c:pt idx="138">
                  <c:v>3.1457867471021712E-12</c:v>
                </c:pt>
                <c:pt idx="139">
                  <c:v>3.1457867471021712E-12</c:v>
                </c:pt>
                <c:pt idx="140">
                  <c:v>3.1457867471021712E-12</c:v>
                </c:pt>
                <c:pt idx="141">
                  <c:v>3.1457867471021712E-12</c:v>
                </c:pt>
                <c:pt idx="142">
                  <c:v>3.1457867471021712E-12</c:v>
                </c:pt>
                <c:pt idx="143">
                  <c:v>3.1457867471021712E-12</c:v>
                </c:pt>
                <c:pt idx="144">
                  <c:v>3.1457867471021712E-12</c:v>
                </c:pt>
                <c:pt idx="145">
                  <c:v>3.1457867471021712E-12</c:v>
                </c:pt>
                <c:pt idx="146">
                  <c:v>3.1457867471021712E-12</c:v>
                </c:pt>
                <c:pt idx="147">
                  <c:v>3.1457867471021712E-12</c:v>
                </c:pt>
                <c:pt idx="148">
                  <c:v>3.1457867471021712E-12</c:v>
                </c:pt>
                <c:pt idx="149">
                  <c:v>3.1457867471021712E-12</c:v>
                </c:pt>
                <c:pt idx="150">
                  <c:v>3.1457867471021712E-12</c:v>
                </c:pt>
                <c:pt idx="151">
                  <c:v>3.1457867471021712E-12</c:v>
                </c:pt>
                <c:pt idx="152">
                  <c:v>3.1457867471021712E-12</c:v>
                </c:pt>
                <c:pt idx="153">
                  <c:v>3.1457867471021712E-12</c:v>
                </c:pt>
                <c:pt idx="154">
                  <c:v>3.1457867471021712E-12</c:v>
                </c:pt>
                <c:pt idx="155">
                  <c:v>3.1457867471021712E-12</c:v>
                </c:pt>
                <c:pt idx="156">
                  <c:v>3.1457867471021712E-12</c:v>
                </c:pt>
                <c:pt idx="157">
                  <c:v>3.1457867471021712E-12</c:v>
                </c:pt>
                <c:pt idx="158">
                  <c:v>3.1457867471021712E-12</c:v>
                </c:pt>
                <c:pt idx="159">
                  <c:v>3.1457867471021712E-12</c:v>
                </c:pt>
                <c:pt idx="160">
                  <c:v>3.1457867471021712E-12</c:v>
                </c:pt>
                <c:pt idx="161">
                  <c:v>3.1457867471021712E-12</c:v>
                </c:pt>
                <c:pt idx="162">
                  <c:v>3.1457867471021712E-12</c:v>
                </c:pt>
                <c:pt idx="163">
                  <c:v>3.1457867471021712E-12</c:v>
                </c:pt>
                <c:pt idx="164">
                  <c:v>3.1457867471021712E-12</c:v>
                </c:pt>
                <c:pt idx="165">
                  <c:v>3.1457867471021712E-12</c:v>
                </c:pt>
                <c:pt idx="166">
                  <c:v>3.1457867471021712E-12</c:v>
                </c:pt>
                <c:pt idx="167">
                  <c:v>3.1457867471021712E-12</c:v>
                </c:pt>
                <c:pt idx="168">
                  <c:v>3.1457867471021712E-12</c:v>
                </c:pt>
                <c:pt idx="169">
                  <c:v>3.1457867471021712E-12</c:v>
                </c:pt>
                <c:pt idx="170">
                  <c:v>3.1457867471021712E-12</c:v>
                </c:pt>
                <c:pt idx="171">
                  <c:v>3.1457867471021712E-12</c:v>
                </c:pt>
                <c:pt idx="172">
                  <c:v>3.1457867471021712E-12</c:v>
                </c:pt>
                <c:pt idx="173">
                  <c:v>3.1457867471021712E-12</c:v>
                </c:pt>
                <c:pt idx="174">
                  <c:v>3.1457867471021712E-12</c:v>
                </c:pt>
                <c:pt idx="175">
                  <c:v>3.1457867471021712E-12</c:v>
                </c:pt>
                <c:pt idx="176">
                  <c:v>3.1457867471021712E-12</c:v>
                </c:pt>
                <c:pt idx="177">
                  <c:v>3.1457867471021712E-12</c:v>
                </c:pt>
                <c:pt idx="178">
                  <c:v>3.1457867471021712E-12</c:v>
                </c:pt>
                <c:pt idx="179">
                  <c:v>3.1457867471021712E-12</c:v>
                </c:pt>
                <c:pt idx="180">
                  <c:v>3.1457867471021712E-12</c:v>
                </c:pt>
                <c:pt idx="181">
                  <c:v>3.1457867471021712E-12</c:v>
                </c:pt>
                <c:pt idx="182">
                  <c:v>3.1457867471021712E-12</c:v>
                </c:pt>
                <c:pt idx="183">
                  <c:v>3.1457867471021712E-12</c:v>
                </c:pt>
                <c:pt idx="184">
                  <c:v>3.1457867471021712E-12</c:v>
                </c:pt>
                <c:pt idx="185">
                  <c:v>3.1457867471021712E-12</c:v>
                </c:pt>
                <c:pt idx="186">
                  <c:v>3.1457867471021712E-12</c:v>
                </c:pt>
                <c:pt idx="187">
                  <c:v>3.1457867471021712E-12</c:v>
                </c:pt>
                <c:pt idx="188">
                  <c:v>3.1457867471021712E-12</c:v>
                </c:pt>
                <c:pt idx="189">
                  <c:v>3.1457867471021712E-12</c:v>
                </c:pt>
                <c:pt idx="190">
                  <c:v>3.1457867471021712E-12</c:v>
                </c:pt>
                <c:pt idx="191">
                  <c:v>3.1457867471021712E-12</c:v>
                </c:pt>
                <c:pt idx="192">
                  <c:v>3.1457867471021712E-12</c:v>
                </c:pt>
                <c:pt idx="193">
                  <c:v>3.1457867471021712E-12</c:v>
                </c:pt>
                <c:pt idx="194">
                  <c:v>3.1457867471021712E-12</c:v>
                </c:pt>
                <c:pt idx="195">
                  <c:v>3.1457867471021712E-12</c:v>
                </c:pt>
                <c:pt idx="196">
                  <c:v>3.1457867471021712E-12</c:v>
                </c:pt>
                <c:pt idx="197">
                  <c:v>3.1457867471021712E-12</c:v>
                </c:pt>
                <c:pt idx="198">
                  <c:v>3.1457867471021712E-12</c:v>
                </c:pt>
                <c:pt idx="199">
                  <c:v>3.1457867471021712E-12</c:v>
                </c:pt>
                <c:pt idx="200">
                  <c:v>3.1457867471021712E-12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799008"/>
        <c:axId val="420804992"/>
      </c:scatterChart>
      <c:valAx>
        <c:axId val="420799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804992"/>
        <c:crosses val="autoZero"/>
        <c:crossBetween val="midCat"/>
      </c:valAx>
      <c:valAx>
        <c:axId val="420804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799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2.7131331101734797</c:v>
                </c:pt>
                <c:pt idx="2">
                  <c:v>3.5397918318975026</c:v>
                </c:pt>
                <c:pt idx="3">
                  <c:v>4.6193369576306278</c:v>
                </c:pt>
                <c:pt idx="4">
                  <c:v>6.0294218015487644</c:v>
                </c:pt>
                <c:pt idx="5">
                  <c:v>7.8716282230649197</c:v>
                </c:pt>
                <c:pt idx="6">
                  <c:v>10.278864022893691</c:v>
                </c:pt>
                <c:pt idx="7">
                  <c:v>13.425054017871899</c:v>
                </c:pt>
                <c:pt idx="8">
                  <c:v>17.738642493550845</c:v>
                </c:pt>
                <c:pt idx="9">
                  <c:v>22.02137265515012</c:v>
                </c:pt>
                <c:pt idx="10">
                  <c:v>26.464855556009464</c:v>
                </c:pt>
                <c:pt idx="11">
                  <c:v>30.887282903395079</c:v>
                </c:pt>
                <c:pt idx="12">
                  <c:v>40.77718017251771</c:v>
                </c:pt>
                <c:pt idx="13">
                  <c:v>50.601824233440311</c:v>
                </c:pt>
                <c:pt idx="14">
                  <c:v>39.471835977627215</c:v>
                </c:pt>
                <c:pt idx="15">
                  <c:v>48.732130743908279</c:v>
                </c:pt>
                <c:pt idx="16">
                  <c:v>57.945508737324417</c:v>
                </c:pt>
                <c:pt idx="17">
                  <c:v>67.120521573217005</c:v>
                </c:pt>
                <c:pt idx="18">
                  <c:v>76.263172805486604</c:v>
                </c:pt>
                <c:pt idx="19">
                  <c:v>85.377900249057532</c:v>
                </c:pt>
                <c:pt idx="20">
                  <c:v>94.46811231251661</c:v>
                </c:pt>
                <c:pt idx="21">
                  <c:v>103.53650536048214</c:v>
                </c:pt>
                <c:pt idx="22">
                  <c:v>112.58526332413896</c:v>
                </c:pt>
                <c:pt idx="23">
                  <c:v>121.61618942619158</c:v>
                </c:pt>
                <c:pt idx="24">
                  <c:v>130.63079655017262</c:v>
                </c:pt>
                <c:pt idx="25">
                  <c:v>139.63037126018023</c:v>
                </c:pt>
                <c:pt idx="26">
                  <c:v>148.6160203947972</c:v>
                </c:pt>
                <c:pt idx="27">
                  <c:v>157.58870576834033</c:v>
                </c:pt>
                <c:pt idx="28">
                  <c:v>166.54927053395693</c:v>
                </c:pt>
                <c:pt idx="29">
                  <c:v>175.49845956258525</c:v>
                </c:pt>
                <c:pt idx="30">
                  <c:v>184.43693543854411</c:v>
                </c:pt>
                <c:pt idx="31">
                  <c:v>193.36529118586418</c:v>
                </c:pt>
                <c:pt idx="32">
                  <c:v>202.28406051686207</c:v>
                </c:pt>
                <c:pt idx="33">
                  <c:v>211.19372617566214</c:v>
                </c:pt>
                <c:pt idx="34">
                  <c:v>154.05523550543828</c:v>
                </c:pt>
                <c:pt idx="35">
                  <c:v>165.84189407743588</c:v>
                </c:pt>
                <c:pt idx="36">
                  <c:v>177.60877709689456</c:v>
                </c:pt>
                <c:pt idx="37">
                  <c:v>189.357380364362</c:v>
                </c:pt>
                <c:pt idx="38">
                  <c:v>201.08899867827259</c:v>
                </c:pt>
                <c:pt idx="39">
                  <c:v>212.80476325383981</c:v>
                </c:pt>
                <c:pt idx="40">
                  <c:v>224.50567045506557</c:v>
                </c:pt>
                <c:pt idx="41">
                  <c:v>236.19260421370086</c:v>
                </c:pt>
                <c:pt idx="42">
                  <c:v>247.86635377253882</c:v>
                </c:pt>
                <c:pt idx="43">
                  <c:v>259.52762790705634</c:v>
                </c:pt>
                <c:pt idx="44">
                  <c:v>271.17706645448902</c:v>
                </c:pt>
                <c:pt idx="45">
                  <c:v>282.81524975628366</c:v>
                </c:pt>
                <c:pt idx="46">
                  <c:v>294.44270646367966</c:v>
                </c:pt>
                <c:pt idx="47">
                  <c:v>306.05992004494254</c:v>
                </c:pt>
                <c:pt idx="48">
                  <c:v>317.66733425231183</c:v>
                </c:pt>
                <c:pt idx="49">
                  <c:v>248.47228459108985</c:v>
                </c:pt>
                <c:pt idx="50">
                  <c:v>257.06595245170996</c:v>
                </c:pt>
                <c:pt idx="51">
                  <c:v>265.65312441864455</c:v>
                </c:pt>
                <c:pt idx="52">
                  <c:v>274.23404028678686</c:v>
                </c:pt>
                <c:pt idx="53">
                  <c:v>282.80892360449826</c:v>
                </c:pt>
                <c:pt idx="54">
                  <c:v>291.37798324439558</c:v>
                </c:pt>
                <c:pt idx="55">
                  <c:v>299.94141477954321</c:v>
                </c:pt>
                <c:pt idx="56">
                  <c:v>308.49940169414322</c:v>
                </c:pt>
                <c:pt idx="57">
                  <c:v>317.05211645276142</c:v>
                </c:pt>
                <c:pt idx="58">
                  <c:v>325.59972144807085</c:v>
                </c:pt>
                <c:pt idx="59">
                  <c:v>334.14236984380841</c:v>
                </c:pt>
                <c:pt idx="60">
                  <c:v>342.68020632697056</c:v>
                </c:pt>
                <c:pt idx="61">
                  <c:v>351.21336778108542</c:v>
                </c:pt>
                <c:pt idx="62">
                  <c:v>359.74198389059933</c:v>
                </c:pt>
                <c:pt idx="63">
                  <c:v>368.26617768492548</c:v>
                </c:pt>
                <c:pt idx="64">
                  <c:v>376.78606602946701</c:v>
                </c:pt>
                <c:pt idx="65">
                  <c:v>385.30176006988791</c:v>
                </c:pt>
                <c:pt idx="66">
                  <c:v>393.81336563504169</c:v>
                </c:pt>
                <c:pt idx="67">
                  <c:v>402.32098360323243</c:v>
                </c:pt>
                <c:pt idx="68">
                  <c:v>410.82471023586959</c:v>
                </c:pt>
                <c:pt idx="69">
                  <c:v>419.32463748204282</c:v>
                </c:pt>
                <c:pt idx="70">
                  <c:v>427.82085325710824</c:v>
                </c:pt>
                <c:pt idx="71">
                  <c:v>3.1675048597887374E-12</c:v>
                </c:pt>
                <c:pt idx="72">
                  <c:v>3.1675048597887374E-12</c:v>
                </c:pt>
                <c:pt idx="73">
                  <c:v>3.1675048597887374E-12</c:v>
                </c:pt>
                <c:pt idx="74">
                  <c:v>3.1675048597887374E-12</c:v>
                </c:pt>
                <c:pt idx="75">
                  <c:v>3.1675048597887374E-12</c:v>
                </c:pt>
                <c:pt idx="76">
                  <c:v>3.1675048597887374E-12</c:v>
                </c:pt>
                <c:pt idx="77">
                  <c:v>3.1675048597887374E-12</c:v>
                </c:pt>
                <c:pt idx="78">
                  <c:v>3.1675048597887374E-12</c:v>
                </c:pt>
                <c:pt idx="79">
                  <c:v>3.1675048597887374E-12</c:v>
                </c:pt>
                <c:pt idx="80">
                  <c:v>3.1675048597887374E-12</c:v>
                </c:pt>
                <c:pt idx="81">
                  <c:v>3.1675048597887374E-12</c:v>
                </c:pt>
                <c:pt idx="82">
                  <c:v>3.1675048597887374E-12</c:v>
                </c:pt>
                <c:pt idx="83">
                  <c:v>3.1675048597887374E-12</c:v>
                </c:pt>
                <c:pt idx="84">
                  <c:v>3.1675048597887374E-12</c:v>
                </c:pt>
                <c:pt idx="85">
                  <c:v>3.1675048597887374E-12</c:v>
                </c:pt>
                <c:pt idx="86">
                  <c:v>3.1675048597887374E-12</c:v>
                </c:pt>
                <c:pt idx="87">
                  <c:v>3.1675048597887374E-12</c:v>
                </c:pt>
                <c:pt idx="88">
                  <c:v>3.1675048597887374E-12</c:v>
                </c:pt>
                <c:pt idx="89">
                  <c:v>3.1675048597887374E-12</c:v>
                </c:pt>
                <c:pt idx="90">
                  <c:v>3.1675048597887374E-12</c:v>
                </c:pt>
                <c:pt idx="91">
                  <c:v>3.1675048597887374E-12</c:v>
                </c:pt>
                <c:pt idx="92">
                  <c:v>3.1675048597887374E-12</c:v>
                </c:pt>
                <c:pt idx="93">
                  <c:v>3.1675048597887374E-12</c:v>
                </c:pt>
                <c:pt idx="94">
                  <c:v>3.1675048597887374E-12</c:v>
                </c:pt>
                <c:pt idx="95">
                  <c:v>3.1675048597887374E-12</c:v>
                </c:pt>
                <c:pt idx="96">
                  <c:v>3.1675048597887374E-12</c:v>
                </c:pt>
                <c:pt idx="97">
                  <c:v>3.1675048597887374E-12</c:v>
                </c:pt>
                <c:pt idx="98">
                  <c:v>3.1675048597887374E-12</c:v>
                </c:pt>
                <c:pt idx="99">
                  <c:v>3.1675048597887374E-12</c:v>
                </c:pt>
                <c:pt idx="100">
                  <c:v>3.1675048597887374E-12</c:v>
                </c:pt>
                <c:pt idx="101">
                  <c:v>3.1675048597887374E-12</c:v>
                </c:pt>
                <c:pt idx="102">
                  <c:v>3.1675048597887374E-12</c:v>
                </c:pt>
                <c:pt idx="103">
                  <c:v>3.1675048597887374E-12</c:v>
                </c:pt>
                <c:pt idx="104">
                  <c:v>3.1675048597887374E-12</c:v>
                </c:pt>
                <c:pt idx="105">
                  <c:v>3.1675048597887374E-12</c:v>
                </c:pt>
                <c:pt idx="106">
                  <c:v>3.1675048597887374E-12</c:v>
                </c:pt>
                <c:pt idx="107">
                  <c:v>3.1675048597887374E-12</c:v>
                </c:pt>
                <c:pt idx="108">
                  <c:v>3.1675048597887374E-12</c:v>
                </c:pt>
                <c:pt idx="109">
                  <c:v>3.1675048597887374E-12</c:v>
                </c:pt>
                <c:pt idx="110">
                  <c:v>3.1675048597887374E-12</c:v>
                </c:pt>
                <c:pt idx="111">
                  <c:v>3.1675048597887374E-12</c:v>
                </c:pt>
                <c:pt idx="112">
                  <c:v>3.1675048597887374E-12</c:v>
                </c:pt>
                <c:pt idx="113">
                  <c:v>3.1675048597887374E-12</c:v>
                </c:pt>
                <c:pt idx="114">
                  <c:v>3.1675048597887374E-12</c:v>
                </c:pt>
                <c:pt idx="115">
                  <c:v>3.1675048597887374E-12</c:v>
                </c:pt>
                <c:pt idx="116">
                  <c:v>3.1675048597887374E-12</c:v>
                </c:pt>
                <c:pt idx="117">
                  <c:v>3.1675048597887374E-12</c:v>
                </c:pt>
                <c:pt idx="118">
                  <c:v>3.1675048597887374E-12</c:v>
                </c:pt>
                <c:pt idx="119">
                  <c:v>3.1675048597887374E-12</c:v>
                </c:pt>
                <c:pt idx="120">
                  <c:v>3.1675048597887374E-12</c:v>
                </c:pt>
                <c:pt idx="121">
                  <c:v>3.1675048597887374E-12</c:v>
                </c:pt>
                <c:pt idx="122">
                  <c:v>3.1675048597887374E-12</c:v>
                </c:pt>
                <c:pt idx="123">
                  <c:v>3.1675048597887374E-12</c:v>
                </c:pt>
                <c:pt idx="124">
                  <c:v>3.1675048597887374E-12</c:v>
                </c:pt>
                <c:pt idx="125">
                  <c:v>3.1675048597887374E-12</c:v>
                </c:pt>
                <c:pt idx="126">
                  <c:v>3.1675048597887374E-12</c:v>
                </c:pt>
                <c:pt idx="127">
                  <c:v>3.1675048597887374E-12</c:v>
                </c:pt>
                <c:pt idx="128">
                  <c:v>3.1675048597887374E-12</c:v>
                </c:pt>
                <c:pt idx="129">
                  <c:v>3.1675048597887374E-12</c:v>
                </c:pt>
                <c:pt idx="130">
                  <c:v>3.1675048597887374E-12</c:v>
                </c:pt>
                <c:pt idx="131">
                  <c:v>3.1675048597887374E-12</c:v>
                </c:pt>
                <c:pt idx="132">
                  <c:v>3.1675048597887374E-12</c:v>
                </c:pt>
                <c:pt idx="133">
                  <c:v>3.1675048597887374E-12</c:v>
                </c:pt>
                <c:pt idx="134">
                  <c:v>3.1675048597887374E-12</c:v>
                </c:pt>
                <c:pt idx="135">
                  <c:v>3.1675048597887374E-12</c:v>
                </c:pt>
                <c:pt idx="136">
                  <c:v>3.1675048597887374E-12</c:v>
                </c:pt>
                <c:pt idx="137">
                  <c:v>3.1675048597887374E-12</c:v>
                </c:pt>
                <c:pt idx="138">
                  <c:v>3.1675048597887374E-12</c:v>
                </c:pt>
                <c:pt idx="139">
                  <c:v>3.1675048597887374E-12</c:v>
                </c:pt>
                <c:pt idx="140">
                  <c:v>3.1675048597887374E-12</c:v>
                </c:pt>
                <c:pt idx="141">
                  <c:v>3.1675048597887374E-12</c:v>
                </c:pt>
                <c:pt idx="142">
                  <c:v>3.1675048597887374E-12</c:v>
                </c:pt>
                <c:pt idx="143">
                  <c:v>3.1675048597887374E-12</c:v>
                </c:pt>
                <c:pt idx="144">
                  <c:v>3.1675048597887374E-12</c:v>
                </c:pt>
                <c:pt idx="145">
                  <c:v>3.1675048597887374E-12</c:v>
                </c:pt>
                <c:pt idx="146">
                  <c:v>3.1675048597887374E-12</c:v>
                </c:pt>
                <c:pt idx="147">
                  <c:v>3.1675048597887374E-12</c:v>
                </c:pt>
                <c:pt idx="148">
                  <c:v>3.1675048597887374E-12</c:v>
                </c:pt>
                <c:pt idx="149">
                  <c:v>3.1675048597887374E-12</c:v>
                </c:pt>
                <c:pt idx="150">
                  <c:v>3.1675048597887374E-12</c:v>
                </c:pt>
                <c:pt idx="151">
                  <c:v>3.1675048597887374E-12</c:v>
                </c:pt>
                <c:pt idx="152">
                  <c:v>3.1675048597887374E-12</c:v>
                </c:pt>
                <c:pt idx="153">
                  <c:v>3.1675048597887374E-12</c:v>
                </c:pt>
                <c:pt idx="154">
                  <c:v>3.1675048597887374E-12</c:v>
                </c:pt>
                <c:pt idx="155">
                  <c:v>3.1675048597887374E-12</c:v>
                </c:pt>
                <c:pt idx="156">
                  <c:v>3.1675048597887374E-12</c:v>
                </c:pt>
                <c:pt idx="157">
                  <c:v>3.1675048597887374E-12</c:v>
                </c:pt>
                <c:pt idx="158">
                  <c:v>3.1675048597887374E-12</c:v>
                </c:pt>
                <c:pt idx="159">
                  <c:v>3.1675048597887374E-12</c:v>
                </c:pt>
                <c:pt idx="160">
                  <c:v>3.1675048597887374E-12</c:v>
                </c:pt>
                <c:pt idx="161">
                  <c:v>3.1675048597887374E-12</c:v>
                </c:pt>
                <c:pt idx="162">
                  <c:v>3.1675048597887374E-12</c:v>
                </c:pt>
                <c:pt idx="163">
                  <c:v>3.1675048597887374E-12</c:v>
                </c:pt>
                <c:pt idx="164">
                  <c:v>3.1675048597887374E-12</c:v>
                </c:pt>
                <c:pt idx="165">
                  <c:v>3.1675048597887374E-12</c:v>
                </c:pt>
                <c:pt idx="166">
                  <c:v>3.1675048597887374E-12</c:v>
                </c:pt>
                <c:pt idx="167">
                  <c:v>3.1675048597887374E-12</c:v>
                </c:pt>
                <c:pt idx="168">
                  <c:v>3.1675048597887374E-12</c:v>
                </c:pt>
                <c:pt idx="169">
                  <c:v>3.1675048597887374E-12</c:v>
                </c:pt>
                <c:pt idx="170">
                  <c:v>3.1675048597887374E-12</c:v>
                </c:pt>
                <c:pt idx="171">
                  <c:v>3.1675048597887374E-12</c:v>
                </c:pt>
                <c:pt idx="172">
                  <c:v>3.1675048597887374E-12</c:v>
                </c:pt>
                <c:pt idx="173">
                  <c:v>3.1675048597887374E-12</c:v>
                </c:pt>
                <c:pt idx="174">
                  <c:v>3.1675048597887374E-12</c:v>
                </c:pt>
                <c:pt idx="175">
                  <c:v>3.1675048597887374E-12</c:v>
                </c:pt>
                <c:pt idx="176">
                  <c:v>3.1675048597887374E-12</c:v>
                </c:pt>
                <c:pt idx="177">
                  <c:v>3.1675048597887374E-12</c:v>
                </c:pt>
                <c:pt idx="178">
                  <c:v>3.1675048597887374E-12</c:v>
                </c:pt>
                <c:pt idx="179">
                  <c:v>3.1675048597887374E-12</c:v>
                </c:pt>
                <c:pt idx="180">
                  <c:v>3.1675048597887374E-12</c:v>
                </c:pt>
                <c:pt idx="181">
                  <c:v>3.1675048597887374E-12</c:v>
                </c:pt>
                <c:pt idx="182">
                  <c:v>3.1675048597887374E-12</c:v>
                </c:pt>
                <c:pt idx="183">
                  <c:v>3.1675048597887374E-12</c:v>
                </c:pt>
                <c:pt idx="184">
                  <c:v>3.1675048597887374E-12</c:v>
                </c:pt>
                <c:pt idx="185">
                  <c:v>3.1675048597887374E-12</c:v>
                </c:pt>
                <c:pt idx="186">
                  <c:v>3.1675048597887374E-12</c:v>
                </c:pt>
                <c:pt idx="187">
                  <c:v>3.1675048597887374E-12</c:v>
                </c:pt>
                <c:pt idx="188">
                  <c:v>3.1675048597887374E-12</c:v>
                </c:pt>
                <c:pt idx="189">
                  <c:v>3.1675048597887374E-12</c:v>
                </c:pt>
                <c:pt idx="190">
                  <c:v>3.1675048597887374E-12</c:v>
                </c:pt>
                <c:pt idx="191">
                  <c:v>3.1675048597887374E-12</c:v>
                </c:pt>
                <c:pt idx="192">
                  <c:v>3.1675048597887374E-12</c:v>
                </c:pt>
                <c:pt idx="193">
                  <c:v>3.1675048597887374E-12</c:v>
                </c:pt>
                <c:pt idx="194">
                  <c:v>3.1675048597887374E-12</c:v>
                </c:pt>
                <c:pt idx="195">
                  <c:v>3.1675048597887374E-12</c:v>
                </c:pt>
                <c:pt idx="196">
                  <c:v>3.1675048597887374E-12</c:v>
                </c:pt>
                <c:pt idx="197">
                  <c:v>3.1675048597887374E-12</c:v>
                </c:pt>
                <c:pt idx="198">
                  <c:v>3.1675048597887374E-12</c:v>
                </c:pt>
                <c:pt idx="199">
                  <c:v>3.1675048597887374E-12</c:v>
                </c:pt>
                <c:pt idx="200">
                  <c:v>3.1675048597887374E-12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801184"/>
        <c:axId val="420801728"/>
      </c:scatterChart>
      <c:valAx>
        <c:axId val="4208011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801728"/>
        <c:crosses val="autoZero"/>
        <c:crossBetween val="midCat"/>
      </c:valAx>
      <c:valAx>
        <c:axId val="420801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8011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171.18397278750868</c:v>
                </c:pt>
                <c:pt idx="22">
                  <c:v>189.09987078266826</c:v>
                </c:pt>
                <c:pt idx="23">
                  <c:v>206.97620217195148</c:v>
                </c:pt>
                <c:pt idx="24">
                  <c:v>224.81686592693052</c:v>
                </c:pt>
                <c:pt idx="25">
                  <c:v>242.62509103866606</c:v>
                </c:pt>
                <c:pt idx="26">
                  <c:v>169.32232688472158</c:v>
                </c:pt>
                <c:pt idx="27">
                  <c:v>188.76221470729047</c:v>
                </c:pt>
                <c:pt idx="28">
                  <c:v>208.15542061438953</c:v>
                </c:pt>
                <c:pt idx="29">
                  <c:v>227.50690659831912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263.58734797276014</c:v>
                </c:pt>
                <c:pt idx="35">
                  <c:v>282.83933776674911</c:v>
                </c:pt>
                <c:pt idx="36">
                  <c:v>302.06197856553018</c:v>
                </c:pt>
                <c:pt idx="37">
                  <c:v>321.25740024962437</c:v>
                </c:pt>
                <c:pt idx="38">
                  <c:v>279.73236813579507</c:v>
                </c:pt>
                <c:pt idx="39">
                  <c:v>298.36290228402572</c:v>
                </c:pt>
                <c:pt idx="40">
                  <c:v>316.96751977104663</c:v>
                </c:pt>
                <c:pt idx="41">
                  <c:v>335.54795535646372</c:v>
                </c:pt>
                <c:pt idx="42">
                  <c:v>354.10573601815048</c:v>
                </c:pt>
                <c:pt idx="43">
                  <c:v>372.64221565134471</c:v>
                </c:pt>
                <c:pt idx="44">
                  <c:v>391.15860250001066</c:v>
                </c:pt>
                <c:pt idx="45">
                  <c:v>336.88699770815003</c:v>
                </c:pt>
                <c:pt idx="46">
                  <c:v>354.16518115704031</c:v>
                </c:pt>
                <c:pt idx="47">
                  <c:v>371.42490308727605</c:v>
                </c:pt>
                <c:pt idx="48">
                  <c:v>388.66714186934956</c:v>
                </c:pt>
                <c:pt idx="49">
                  <c:v>405.89278200614257</c:v>
                </c:pt>
                <c:pt idx="50">
                  <c:v>423.1026268227929</c:v>
                </c:pt>
                <c:pt idx="51">
                  <c:v>440.29740898417259</c:v>
                </c:pt>
                <c:pt idx="52">
                  <c:v>457.47779928386598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424.55336102424576</c:v>
                </c:pt>
                <c:pt idx="56">
                  <c:v>440.09032987714431</c:v>
                </c:pt>
                <c:pt idx="57">
                  <c:v>455.61554185670815</c:v>
                </c:pt>
                <c:pt idx="58">
                  <c:v>471.12945387268002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438.70974904240546</c:v>
                </c:pt>
                <c:pt idx="62">
                  <c:v>453.06329508642131</c:v>
                </c:pt>
                <c:pt idx="63">
                  <c:v>467.40712233198587</c:v>
                </c:pt>
                <c:pt idx="64">
                  <c:v>481.74157097323291</c:v>
                </c:pt>
                <c:pt idx="65">
                  <c:v>496.06695931286299</c:v>
                </c:pt>
                <c:pt idx="66">
                  <c:v>510.38358577553487</c:v>
                </c:pt>
                <c:pt idx="67">
                  <c:v>524.69173068364421</c:v>
                </c:pt>
                <c:pt idx="68">
                  <c:v>538.99165782937473</c:v>
                </c:pt>
                <c:pt idx="69">
                  <c:v>553.28361587129064</c:v>
                </c:pt>
                <c:pt idx="70">
                  <c:v>2.5073107750038623E-12</c:v>
                </c:pt>
                <c:pt idx="71">
                  <c:v>2.5073107750038623E-12</c:v>
                </c:pt>
                <c:pt idx="72">
                  <c:v>2.5073107750038623E-12</c:v>
                </c:pt>
                <c:pt idx="73">
                  <c:v>2.5073107750038623E-12</c:v>
                </c:pt>
                <c:pt idx="74">
                  <c:v>2.5073107750038623E-12</c:v>
                </c:pt>
                <c:pt idx="75">
                  <c:v>2.5073107750038623E-12</c:v>
                </c:pt>
                <c:pt idx="76">
                  <c:v>2.5073107750038623E-12</c:v>
                </c:pt>
                <c:pt idx="77">
                  <c:v>2.5073107750038623E-12</c:v>
                </c:pt>
                <c:pt idx="78">
                  <c:v>2.5073107750038623E-12</c:v>
                </c:pt>
                <c:pt idx="79">
                  <c:v>2.5073107750038623E-12</c:v>
                </c:pt>
                <c:pt idx="80">
                  <c:v>2.5073107750038623E-12</c:v>
                </c:pt>
                <c:pt idx="81">
                  <c:v>2.5073107750038623E-12</c:v>
                </c:pt>
                <c:pt idx="82">
                  <c:v>2.5073107750038623E-12</c:v>
                </c:pt>
                <c:pt idx="83">
                  <c:v>2.5073107750038623E-12</c:v>
                </c:pt>
                <c:pt idx="84">
                  <c:v>2.5073107750038623E-12</c:v>
                </c:pt>
                <c:pt idx="85">
                  <c:v>2.5073107750038623E-12</c:v>
                </c:pt>
                <c:pt idx="86">
                  <c:v>2.5073107750038623E-12</c:v>
                </c:pt>
                <c:pt idx="87">
                  <c:v>2.5073107750038623E-12</c:v>
                </c:pt>
                <c:pt idx="88">
                  <c:v>2.5073107750038623E-12</c:v>
                </c:pt>
                <c:pt idx="89">
                  <c:v>2.5073107750038623E-12</c:v>
                </c:pt>
                <c:pt idx="90">
                  <c:v>2.5073107750038623E-12</c:v>
                </c:pt>
                <c:pt idx="91">
                  <c:v>2.5073107750038623E-12</c:v>
                </c:pt>
                <c:pt idx="92">
                  <c:v>2.5073107750038623E-12</c:v>
                </c:pt>
                <c:pt idx="93">
                  <c:v>2.5073107750038623E-12</c:v>
                </c:pt>
                <c:pt idx="94">
                  <c:v>2.5073107750038623E-12</c:v>
                </c:pt>
                <c:pt idx="95">
                  <c:v>2.5073107750038623E-12</c:v>
                </c:pt>
                <c:pt idx="96">
                  <c:v>2.5073107750038623E-12</c:v>
                </c:pt>
                <c:pt idx="97">
                  <c:v>2.5073107750038623E-12</c:v>
                </c:pt>
                <c:pt idx="98">
                  <c:v>2.5073107750038623E-12</c:v>
                </c:pt>
                <c:pt idx="99">
                  <c:v>2.5073107750038623E-12</c:v>
                </c:pt>
                <c:pt idx="100">
                  <c:v>2.5073107750038623E-12</c:v>
                </c:pt>
                <c:pt idx="101">
                  <c:v>2.5073107750038623E-12</c:v>
                </c:pt>
                <c:pt idx="102">
                  <c:v>2.5073107750038623E-12</c:v>
                </c:pt>
                <c:pt idx="103">
                  <c:v>2.5073107750038623E-12</c:v>
                </c:pt>
                <c:pt idx="104">
                  <c:v>2.5073107750038623E-12</c:v>
                </c:pt>
                <c:pt idx="105">
                  <c:v>2.5073107750038623E-12</c:v>
                </c:pt>
                <c:pt idx="106">
                  <c:v>2.5073107750038623E-12</c:v>
                </c:pt>
                <c:pt idx="107">
                  <c:v>2.5073107750038623E-12</c:v>
                </c:pt>
                <c:pt idx="108">
                  <c:v>2.5073107750038623E-12</c:v>
                </c:pt>
                <c:pt idx="109">
                  <c:v>2.5073107750038623E-12</c:v>
                </c:pt>
                <c:pt idx="110">
                  <c:v>2.5073107750038623E-12</c:v>
                </c:pt>
                <c:pt idx="111">
                  <c:v>2.5073107750038623E-12</c:v>
                </c:pt>
                <c:pt idx="112">
                  <c:v>2.5073107750038623E-12</c:v>
                </c:pt>
                <c:pt idx="113">
                  <c:v>2.5073107750038623E-12</c:v>
                </c:pt>
                <c:pt idx="114">
                  <c:v>2.5073107750038623E-12</c:v>
                </c:pt>
                <c:pt idx="115">
                  <c:v>2.5073107750038623E-12</c:v>
                </c:pt>
                <c:pt idx="116">
                  <c:v>2.5073107750038623E-12</c:v>
                </c:pt>
                <c:pt idx="117">
                  <c:v>2.5073107750038623E-12</c:v>
                </c:pt>
                <c:pt idx="118">
                  <c:v>2.5073107750038623E-12</c:v>
                </c:pt>
                <c:pt idx="119">
                  <c:v>2.5073107750038623E-12</c:v>
                </c:pt>
                <c:pt idx="120">
                  <c:v>2.5073107750038623E-12</c:v>
                </c:pt>
                <c:pt idx="121">
                  <c:v>2.5073107750038623E-12</c:v>
                </c:pt>
                <c:pt idx="122">
                  <c:v>2.5073107750038623E-12</c:v>
                </c:pt>
                <c:pt idx="123">
                  <c:v>2.5073107750038623E-12</c:v>
                </c:pt>
                <c:pt idx="124">
                  <c:v>2.5073107750038623E-12</c:v>
                </c:pt>
                <c:pt idx="125">
                  <c:v>2.5073107750038623E-12</c:v>
                </c:pt>
                <c:pt idx="126">
                  <c:v>2.5073107750038623E-12</c:v>
                </c:pt>
                <c:pt idx="127">
                  <c:v>2.5073107750038623E-12</c:v>
                </c:pt>
                <c:pt idx="128">
                  <c:v>2.5073107750038623E-12</c:v>
                </c:pt>
                <c:pt idx="129">
                  <c:v>2.5073107750038623E-12</c:v>
                </c:pt>
                <c:pt idx="130">
                  <c:v>2.5073107750038623E-12</c:v>
                </c:pt>
                <c:pt idx="131">
                  <c:v>2.5073107750038623E-12</c:v>
                </c:pt>
                <c:pt idx="132">
                  <c:v>2.5073107750038623E-12</c:v>
                </c:pt>
                <c:pt idx="133">
                  <c:v>2.5073107750038623E-12</c:v>
                </c:pt>
                <c:pt idx="134">
                  <c:v>2.5073107750038623E-12</c:v>
                </c:pt>
                <c:pt idx="135">
                  <c:v>2.5073107750038623E-12</c:v>
                </c:pt>
                <c:pt idx="136">
                  <c:v>2.5073107750038623E-12</c:v>
                </c:pt>
                <c:pt idx="137">
                  <c:v>2.5073107750038623E-12</c:v>
                </c:pt>
                <c:pt idx="138">
                  <c:v>2.5073107750038623E-12</c:v>
                </c:pt>
                <c:pt idx="139">
                  <c:v>2.5073107750038623E-12</c:v>
                </c:pt>
                <c:pt idx="140">
                  <c:v>2.5073107750038623E-12</c:v>
                </c:pt>
                <c:pt idx="141">
                  <c:v>2.5073107750038623E-12</c:v>
                </c:pt>
                <c:pt idx="142">
                  <c:v>2.5073107750038623E-12</c:v>
                </c:pt>
                <c:pt idx="143">
                  <c:v>2.5073107750038623E-12</c:v>
                </c:pt>
                <c:pt idx="144">
                  <c:v>2.5073107750038623E-12</c:v>
                </c:pt>
                <c:pt idx="145">
                  <c:v>2.5073107750038623E-12</c:v>
                </c:pt>
                <c:pt idx="146">
                  <c:v>2.5073107750038623E-12</c:v>
                </c:pt>
                <c:pt idx="147">
                  <c:v>2.5073107750038623E-12</c:v>
                </c:pt>
                <c:pt idx="148">
                  <c:v>2.5073107750038623E-12</c:v>
                </c:pt>
                <c:pt idx="149">
                  <c:v>2.5073107750038623E-12</c:v>
                </c:pt>
                <c:pt idx="150">
                  <c:v>2.5073107750038623E-12</c:v>
                </c:pt>
                <c:pt idx="151">
                  <c:v>2.5073107750038623E-12</c:v>
                </c:pt>
                <c:pt idx="152">
                  <c:v>2.5073107750038623E-12</c:v>
                </c:pt>
                <c:pt idx="153">
                  <c:v>2.5073107750038623E-12</c:v>
                </c:pt>
                <c:pt idx="154">
                  <c:v>2.5073107750038623E-12</c:v>
                </c:pt>
                <c:pt idx="155">
                  <c:v>2.5073107750038623E-12</c:v>
                </c:pt>
                <c:pt idx="156">
                  <c:v>2.5073107750038623E-12</c:v>
                </c:pt>
                <c:pt idx="157">
                  <c:v>2.5073107750038623E-12</c:v>
                </c:pt>
                <c:pt idx="158">
                  <c:v>2.5073107750038623E-12</c:v>
                </c:pt>
                <c:pt idx="159">
                  <c:v>2.5073107750038623E-12</c:v>
                </c:pt>
                <c:pt idx="160">
                  <c:v>2.5073107750038623E-12</c:v>
                </c:pt>
                <c:pt idx="161">
                  <c:v>2.5073107750038623E-12</c:v>
                </c:pt>
                <c:pt idx="162">
                  <c:v>2.5073107750038623E-12</c:v>
                </c:pt>
                <c:pt idx="163">
                  <c:v>2.5073107750038623E-12</c:v>
                </c:pt>
                <c:pt idx="164">
                  <c:v>2.5073107750038623E-12</c:v>
                </c:pt>
                <c:pt idx="165">
                  <c:v>2.5073107750038623E-12</c:v>
                </c:pt>
                <c:pt idx="166">
                  <c:v>2.5073107750038623E-12</c:v>
                </c:pt>
                <c:pt idx="167">
                  <c:v>2.5073107750038623E-12</c:v>
                </c:pt>
                <c:pt idx="168">
                  <c:v>2.5073107750038623E-12</c:v>
                </c:pt>
                <c:pt idx="169">
                  <c:v>2.5073107750038623E-12</c:v>
                </c:pt>
                <c:pt idx="170">
                  <c:v>2.5073107750038623E-12</c:v>
                </c:pt>
                <c:pt idx="171">
                  <c:v>2.5073107750038623E-12</c:v>
                </c:pt>
                <c:pt idx="172">
                  <c:v>2.5073107750038623E-12</c:v>
                </c:pt>
                <c:pt idx="173">
                  <c:v>2.5073107750038623E-12</c:v>
                </c:pt>
                <c:pt idx="174">
                  <c:v>2.5073107750038623E-12</c:v>
                </c:pt>
                <c:pt idx="175">
                  <c:v>2.5073107750038623E-12</c:v>
                </c:pt>
                <c:pt idx="176">
                  <c:v>2.5073107750038623E-12</c:v>
                </c:pt>
                <c:pt idx="177">
                  <c:v>2.5073107750038623E-12</c:v>
                </c:pt>
                <c:pt idx="178">
                  <c:v>2.5073107750038623E-12</c:v>
                </c:pt>
                <c:pt idx="179">
                  <c:v>2.5073107750038623E-12</c:v>
                </c:pt>
                <c:pt idx="180">
                  <c:v>2.5073107750038623E-12</c:v>
                </c:pt>
                <c:pt idx="181">
                  <c:v>2.5073107750038623E-12</c:v>
                </c:pt>
                <c:pt idx="182">
                  <c:v>2.5073107750038623E-12</c:v>
                </c:pt>
                <c:pt idx="183">
                  <c:v>2.5073107750038623E-12</c:v>
                </c:pt>
                <c:pt idx="184">
                  <c:v>2.5073107750038623E-12</c:v>
                </c:pt>
                <c:pt idx="185">
                  <c:v>2.5073107750038623E-12</c:v>
                </c:pt>
                <c:pt idx="186">
                  <c:v>2.5073107750038623E-12</c:v>
                </c:pt>
                <c:pt idx="187">
                  <c:v>2.5073107750038623E-12</c:v>
                </c:pt>
                <c:pt idx="188">
                  <c:v>2.5073107750038623E-12</c:v>
                </c:pt>
                <c:pt idx="189">
                  <c:v>2.5073107750038623E-12</c:v>
                </c:pt>
                <c:pt idx="190">
                  <c:v>2.5073107750038623E-12</c:v>
                </c:pt>
                <c:pt idx="191">
                  <c:v>2.5073107750038623E-12</c:v>
                </c:pt>
                <c:pt idx="192">
                  <c:v>2.5073107750038623E-12</c:v>
                </c:pt>
                <c:pt idx="193">
                  <c:v>2.5073107750038623E-12</c:v>
                </c:pt>
                <c:pt idx="194">
                  <c:v>2.5073107750038623E-12</c:v>
                </c:pt>
                <c:pt idx="195">
                  <c:v>2.5073107750038623E-12</c:v>
                </c:pt>
                <c:pt idx="196">
                  <c:v>2.5073107750038623E-12</c:v>
                </c:pt>
                <c:pt idx="197">
                  <c:v>2.5073107750038623E-12</c:v>
                </c:pt>
                <c:pt idx="198">
                  <c:v>2.5073107750038623E-12</c:v>
                </c:pt>
                <c:pt idx="199">
                  <c:v>2.5073107750038623E-12</c:v>
                </c:pt>
                <c:pt idx="200">
                  <c:v>2.5073107750038623E-12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804448"/>
        <c:axId val="420799552"/>
      </c:scatterChart>
      <c:valAx>
        <c:axId val="420804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799552"/>
        <c:crosses val="autoZero"/>
        <c:crossBetween val="midCat"/>
      </c:valAx>
      <c:valAx>
        <c:axId val="42079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804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0800096"/>
        <c:axId val="429346624"/>
      </c:scatterChart>
      <c:valAx>
        <c:axId val="420800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9346624"/>
        <c:crosses val="autoZero"/>
        <c:crossBetween val="midCat"/>
      </c:valAx>
      <c:valAx>
        <c:axId val="42934662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20800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0" t="s">
        <v>291</v>
      </c>
      <c r="C12" s="290"/>
      <c r="D12" s="290"/>
      <c r="E12" s="290"/>
      <c r="F12" s="290"/>
      <c r="G12" s="290"/>
      <c r="H12" s="290"/>
      <c r="I12" s="290"/>
      <c r="J12" s="290"/>
      <c r="K12" s="290"/>
      <c r="L12" s="290"/>
      <c r="M12" s="290"/>
    </row>
    <row r="13" spans="2:13" ht="15" customHeight="1" x14ac:dyDescent="0.3">
      <c r="B13" s="290"/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</row>
    <row r="14" spans="2:13" ht="15" customHeight="1" x14ac:dyDescent="0.3">
      <c r="B14" s="290"/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</row>
    <row r="15" spans="2:13" ht="18.75" customHeight="1" x14ac:dyDescent="0.3"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</row>
    <row r="16" spans="2:13" ht="18.75" customHeight="1" x14ac:dyDescent="0.3">
      <c r="B16" s="290"/>
      <c r="C16" s="290"/>
      <c r="D16" s="290"/>
      <c r="E16" s="290"/>
      <c r="F16" s="290"/>
      <c r="G16" s="290"/>
      <c r="H16" s="290"/>
      <c r="I16" s="290"/>
      <c r="J16" s="290"/>
      <c r="K16" s="290"/>
      <c r="L16" s="290"/>
      <c r="M16" s="290"/>
    </row>
    <row r="18" spans="2:13" ht="12" customHeight="1" x14ac:dyDescent="0.3">
      <c r="B18" s="290" t="s">
        <v>292</v>
      </c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</row>
    <row r="19" spans="2:13" ht="12" customHeight="1" x14ac:dyDescent="0.3">
      <c r="B19" s="290"/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</row>
    <row r="20" spans="2:13" ht="12" customHeight="1" x14ac:dyDescent="0.3">
      <c r="B20" s="290"/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</row>
    <row r="21" spans="2:13" ht="12" customHeight="1" x14ac:dyDescent="0.3">
      <c r="B21" s="290"/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</row>
    <row r="22" spans="2:13" ht="12" customHeight="1" x14ac:dyDescent="0.3">
      <c r="B22" s="290"/>
      <c r="C22" s="290"/>
      <c r="D22" s="290"/>
      <c r="E22" s="290"/>
      <c r="F22" s="290"/>
      <c r="G22" s="290"/>
      <c r="H22" s="290"/>
      <c r="I22" s="290"/>
      <c r="J22" s="290"/>
      <c r="K22" s="290"/>
      <c r="L22" s="290"/>
      <c r="M22" s="290"/>
    </row>
    <row r="23" spans="2:13" ht="12" customHeight="1" x14ac:dyDescent="0.3">
      <c r="B23" s="290"/>
      <c r="C23" s="290"/>
      <c r="D23" s="290"/>
      <c r="E23" s="290"/>
      <c r="F23" s="290"/>
      <c r="G23" s="290"/>
      <c r="H23" s="290"/>
      <c r="I23" s="290"/>
      <c r="J23" s="290"/>
      <c r="K23" s="290"/>
      <c r="L23" s="290"/>
      <c r="M23" s="290"/>
    </row>
    <row r="24" spans="2:13" ht="12" customHeight="1" x14ac:dyDescent="0.3"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</row>
    <row r="25" spans="2:13" ht="12" customHeight="1" x14ac:dyDescent="0.3">
      <c r="B25" s="290"/>
      <c r="C25" s="290"/>
      <c r="D25" s="290"/>
      <c r="E25" s="290"/>
      <c r="F25" s="290"/>
      <c r="G25" s="290"/>
      <c r="H25" s="290"/>
      <c r="I25" s="290"/>
      <c r="J25" s="290"/>
      <c r="K25" s="290"/>
      <c r="L25" s="290"/>
      <c r="M25" s="290"/>
    </row>
    <row r="26" spans="2:13" ht="12" customHeight="1" x14ac:dyDescent="0.3">
      <c r="B26" s="290"/>
      <c r="C26" s="290"/>
      <c r="D26" s="290"/>
      <c r="E26" s="290"/>
      <c r="F26" s="290"/>
      <c r="G26" s="290"/>
      <c r="H26" s="290"/>
      <c r="I26" s="290"/>
      <c r="J26" s="290"/>
      <c r="K26" s="290"/>
      <c r="L26" s="290"/>
      <c r="M26" s="290"/>
    </row>
    <row r="27" spans="2:13" ht="12" customHeight="1" x14ac:dyDescent="0.3">
      <c r="B27" s="290"/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</row>
    <row r="28" spans="2:13" ht="12" customHeight="1" x14ac:dyDescent="0.3"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</row>
    <row r="29" spans="2:13" ht="12" customHeight="1" x14ac:dyDescent="0.3">
      <c r="B29" s="290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</row>
    <row r="30" spans="2:13" ht="12" customHeight="1" x14ac:dyDescent="0.3">
      <c r="B30" s="290"/>
      <c r="C30" s="290"/>
      <c r="D30" s="290"/>
      <c r="E30" s="290"/>
      <c r="F30" s="290"/>
      <c r="G30" s="290"/>
      <c r="H30" s="290"/>
      <c r="I30" s="290"/>
      <c r="J30" s="290"/>
      <c r="K30" s="290"/>
      <c r="L30" s="290"/>
      <c r="M30" s="290"/>
    </row>
    <row r="31" spans="2:13" ht="12" customHeight="1" x14ac:dyDescent="0.3"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Normal="100" workbookViewId="0">
      <selection activeCell="C16" sqref="C1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1" t="s">
        <v>190</v>
      </c>
      <c r="D1" s="291"/>
      <c r="E1" s="29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6" t="s">
        <v>192</v>
      </c>
      <c r="C3" s="297"/>
      <c r="D3" s="297"/>
      <c r="E3" s="297"/>
      <c r="F3" s="298"/>
      <c r="G3" s="93"/>
      <c r="I3" s="225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5"/>
      <c r="I4" s="225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2" t="s">
        <v>231</v>
      </c>
      <c r="B5" s="302"/>
      <c r="C5" s="26">
        <v>16.920000000000002</v>
      </c>
      <c r="D5" s="303" t="s">
        <v>229</v>
      </c>
      <c r="E5" s="304"/>
      <c r="F5" s="95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7"/>
      <c r="H6" s="238"/>
      <c r="I6" s="238"/>
      <c r="J6" s="245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300" t="s">
        <v>226</v>
      </c>
      <c r="B7" s="300"/>
      <c r="C7" s="95"/>
      <c r="D7" s="95"/>
      <c r="E7" s="5"/>
      <c r="F7" s="95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289">
        <v>0.11360000000000001</v>
      </c>
      <c r="D9" s="35">
        <f t="shared" ref="D9:D18" si="0">C9*$C$5</f>
        <v>1.9221120000000003</v>
      </c>
      <c r="E9" s="36">
        <v>150</v>
      </c>
      <c r="F9" s="37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289">
        <v>0.11360000000000001</v>
      </c>
      <c r="D10" s="35">
        <f t="shared" si="0"/>
        <v>1.9221120000000003</v>
      </c>
      <c r="E10" s="36">
        <v>150</v>
      </c>
      <c r="F10" s="37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18</v>
      </c>
      <c r="C11" s="289">
        <v>0.3765</v>
      </c>
      <c r="D11" s="35">
        <f t="shared" si="0"/>
        <v>6.3703800000000008</v>
      </c>
      <c r="E11" s="36">
        <v>70</v>
      </c>
      <c r="F11" s="37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164</v>
      </c>
      <c r="C12" s="289">
        <v>4.2599999999999999E-2</v>
      </c>
      <c r="D12" s="35">
        <f t="shared" si="0"/>
        <v>0.7207920000000001</v>
      </c>
      <c r="E12" s="36">
        <v>131</v>
      </c>
      <c r="F12" s="37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45</v>
      </c>
      <c r="C13" s="289">
        <v>4.2599999999999999E-2</v>
      </c>
      <c r="D13" s="35">
        <f t="shared" si="0"/>
        <v>0.7207920000000001</v>
      </c>
      <c r="E13" s="36">
        <v>110</v>
      </c>
      <c r="F13" s="37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50</v>
      </c>
      <c r="C14" s="289">
        <v>1.0699999999999999E-2</v>
      </c>
      <c r="D14" s="35">
        <f t="shared" si="0"/>
        <v>0.18104400000000001</v>
      </c>
      <c r="E14" s="36">
        <v>110</v>
      </c>
      <c r="F14" s="37" t="str">
        <f t="array" ref="F14">IF(E14="","",IF(INDEX(A:A,MAX(IF(ISNUMBER($A$166:$A$185),ROW($A$166:$A$185),"")))&lt;&gt;E14,"Corrigez : révolution incorrecte","OK"))</f>
        <v>OK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30</v>
      </c>
      <c r="C15" s="289">
        <v>0.19109999999999999</v>
      </c>
      <c r="D15" s="35">
        <f t="shared" si="0"/>
        <v>3.2334120000000004</v>
      </c>
      <c r="E15" s="36">
        <v>70</v>
      </c>
      <c r="F15" s="37" t="str">
        <f t="array" ref="F15">IF(E15="","",IF(INDEX(A:A,MAX(IF(ISNUMBER($A$192:$A$211),ROW($A$192:$A$211),"")))&lt;&gt;E15,"Corrigez : révolution incorrecte","OK"))</f>
        <v>OK</v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29</v>
      </c>
      <c r="C16" s="289">
        <v>2.7300000000000001E-2</v>
      </c>
      <c r="D16" s="35">
        <f t="shared" si="0"/>
        <v>0.46191600000000005</v>
      </c>
      <c r="E16" s="36">
        <v>69</v>
      </c>
      <c r="F16" s="37" t="str">
        <f t="array" ref="F16">IF(E16="","",IF(INDEX(A:A,MAX(IF(ISNUMBER($A$218:$A$237),ROW($A$218:$A$237),"")))&lt;&gt;E16,"Corrigez : révolution incorrecte","OK"))</f>
        <v>OK</v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 t="s">
        <v>1</v>
      </c>
      <c r="C17" s="289">
        <v>2.7300000000000001E-2</v>
      </c>
      <c r="D17" s="35">
        <f t="shared" si="0"/>
        <v>0.46191600000000005</v>
      </c>
      <c r="E17" s="36">
        <v>150</v>
      </c>
      <c r="F17" s="37" t="str">
        <f t="array" ref="F17">IF(E17="","",IF(INDEX(A:A,MAX(IF(ISNUMBER($A$244:$A$263),ROW($A$244:$A$263),"")))&lt;&gt;E17,"Corrigez : révolution incorrecte","OK"))</f>
        <v>OK</v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 t="s">
        <v>52</v>
      </c>
      <c r="C18" s="289">
        <v>2.7300000000000001E-2</v>
      </c>
      <c r="D18" s="35">
        <f t="shared" si="0"/>
        <v>0.46191600000000005</v>
      </c>
      <c r="E18" s="36">
        <v>150</v>
      </c>
      <c r="F18" s="37" t="str">
        <f t="array" ref="F18">IF(E18="","",IF(INDEX(A:A,MAX(IF(ISNUMBER($A$270:$A$289),ROW($A$270:$A$289),"")))&lt;&gt;E18,"Corrigez : révolution incorrecte","OK"))</f>
        <v>OK</v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8" t="s">
        <v>175</v>
      </c>
      <c r="C19" s="39">
        <f>SUM(C9:C18)</f>
        <v>0.97260000000000002</v>
      </c>
      <c r="D19" s="40">
        <f>SUM(D9:D18)</f>
        <v>16.456392000000001</v>
      </c>
      <c r="E19" s="5"/>
      <c r="F19" s="99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1" t="s">
        <v>230</v>
      </c>
      <c r="C20" s="42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9" t="s">
        <v>232</v>
      </c>
      <c r="B22" s="299"/>
      <c r="C22" s="97"/>
      <c r="H22" s="227"/>
      <c r="I22" s="245"/>
      <c r="J22" s="245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3" t="s">
        <v>218</v>
      </c>
      <c r="B24" s="44" t="s">
        <v>224</v>
      </c>
      <c r="C24" s="45">
        <v>0</v>
      </c>
      <c r="D24" s="46" t="s">
        <v>233</v>
      </c>
      <c r="E24" s="100"/>
      <c r="F24" s="100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3" t="s">
        <v>220</v>
      </c>
      <c r="B25" s="44" t="s">
        <v>219</v>
      </c>
      <c r="C25" s="47">
        <v>0.1</v>
      </c>
      <c r="D25" s="101"/>
      <c r="E25" s="5"/>
      <c r="F25" s="101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3" t="s">
        <v>222</v>
      </c>
      <c r="B26" s="44" t="s">
        <v>221</v>
      </c>
      <c r="C26" s="45">
        <v>0.05</v>
      </c>
      <c r="D26" s="46" t="s">
        <v>234</v>
      </c>
      <c r="E26" s="100"/>
      <c r="F26" s="100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3" t="s">
        <v>223</v>
      </c>
      <c r="B27" s="44" t="s">
        <v>225</v>
      </c>
      <c r="C27" s="45">
        <v>0</v>
      </c>
      <c r="D27" s="46" t="s">
        <v>235</v>
      </c>
      <c r="E27" s="100"/>
      <c r="F27" s="100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1" t="s">
        <v>227</v>
      </c>
      <c r="B30" s="301"/>
      <c r="D30" s="247"/>
      <c r="H30" s="245"/>
      <c r="I30" s="245"/>
      <c r="J30" s="245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8" t="s">
        <v>165</v>
      </c>
      <c r="B32" s="49" t="str">
        <f>IF(B9="","",B9)</f>
        <v>Chêne sessile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8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2" t="s">
        <v>186</v>
      </c>
      <c r="D34" s="292"/>
      <c r="E34" s="293" t="s">
        <v>187</v>
      </c>
      <c r="F34" s="294"/>
      <c r="G34" s="294"/>
      <c r="H34" s="295"/>
      <c r="I34" s="102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8" t="s">
        <v>180</v>
      </c>
      <c r="B35" s="38" t="s">
        <v>189</v>
      </c>
      <c r="C35" s="50" t="s">
        <v>188</v>
      </c>
      <c r="D35" s="50" t="s">
        <v>251</v>
      </c>
      <c r="E35" s="38" t="s">
        <v>183</v>
      </c>
      <c r="F35" s="38" t="s">
        <v>181</v>
      </c>
      <c r="G35" s="38" t="s">
        <v>184</v>
      </c>
      <c r="H35" s="38" t="s">
        <v>182</v>
      </c>
      <c r="I35" s="50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2">
        <v>20</v>
      </c>
      <c r="B36" s="62">
        <v>42</v>
      </c>
      <c r="C36" s="62"/>
      <c r="D36" s="62"/>
      <c r="E36" s="53"/>
      <c r="F36" s="53"/>
      <c r="G36" s="53"/>
      <c r="H36" s="53"/>
      <c r="I36" s="51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2">
        <v>25</v>
      </c>
      <c r="B37" s="62">
        <v>70</v>
      </c>
      <c r="C37" s="62"/>
      <c r="D37" s="62"/>
      <c r="E37" s="53"/>
      <c r="F37" s="53"/>
      <c r="G37" s="53"/>
      <c r="H37" s="53"/>
      <c r="I37" s="55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2">
        <v>30</v>
      </c>
      <c r="B38" s="62">
        <v>105</v>
      </c>
      <c r="C38" s="62">
        <v>1</v>
      </c>
      <c r="D38" s="62">
        <v>29</v>
      </c>
      <c r="E38" s="53"/>
      <c r="F38" s="53"/>
      <c r="G38" s="53"/>
      <c r="H38" s="53">
        <v>1</v>
      </c>
      <c r="I38" s="55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2">
        <v>35</v>
      </c>
      <c r="B39" s="62">
        <v>116</v>
      </c>
      <c r="C39" s="62"/>
      <c r="D39" s="62"/>
      <c r="E39" s="53"/>
      <c r="F39" s="53"/>
      <c r="G39" s="53"/>
      <c r="H39" s="53"/>
      <c r="I39" s="51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2">
        <v>40</v>
      </c>
      <c r="B40" s="62">
        <v>158</v>
      </c>
      <c r="C40" s="62">
        <v>2</v>
      </c>
      <c r="D40" s="62">
        <v>42</v>
      </c>
      <c r="E40" s="53"/>
      <c r="F40" s="53"/>
      <c r="G40" s="53"/>
      <c r="H40" s="53"/>
      <c r="I40" s="51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2">
        <v>45</v>
      </c>
      <c r="B41" s="62">
        <v>158</v>
      </c>
      <c r="C41" s="62"/>
      <c r="D41" s="62"/>
      <c r="E41" s="53"/>
      <c r="F41" s="53"/>
      <c r="G41" s="53"/>
      <c r="H41" s="53"/>
      <c r="I41" s="55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2">
        <v>50</v>
      </c>
      <c r="B42" s="62">
        <v>199</v>
      </c>
      <c r="C42" s="62">
        <v>3</v>
      </c>
      <c r="D42" s="62">
        <v>42</v>
      </c>
      <c r="E42" s="53"/>
      <c r="F42" s="53"/>
      <c r="G42" s="53"/>
      <c r="H42" s="53"/>
      <c r="I42" s="55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2">
        <v>55</v>
      </c>
      <c r="B43" s="52">
        <v>197</v>
      </c>
      <c r="C43" s="52"/>
      <c r="D43" s="52"/>
      <c r="E43" s="53"/>
      <c r="F43" s="53"/>
      <c r="G43" s="53"/>
      <c r="H43" s="53"/>
      <c r="I43" s="51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2">
        <v>60</v>
      </c>
      <c r="B44" s="52">
        <v>235</v>
      </c>
      <c r="C44" s="52">
        <v>4</v>
      </c>
      <c r="D44" s="52">
        <v>42</v>
      </c>
      <c r="E44" s="53"/>
      <c r="F44" s="53"/>
      <c r="G44" s="53"/>
      <c r="H44" s="53"/>
      <c r="I44" s="51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2">
        <v>65</v>
      </c>
      <c r="B45" s="52">
        <v>229</v>
      </c>
      <c r="C45" s="52"/>
      <c r="D45" s="52"/>
      <c r="E45" s="53"/>
      <c r="F45" s="53"/>
      <c r="G45" s="53"/>
      <c r="H45" s="53"/>
      <c r="I45" s="51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2">
        <v>70</v>
      </c>
      <c r="B46" s="52">
        <v>263</v>
      </c>
      <c r="C46" s="52">
        <v>5</v>
      </c>
      <c r="D46" s="52">
        <v>42</v>
      </c>
      <c r="E46" s="53"/>
      <c r="F46" s="53"/>
      <c r="G46" s="53"/>
      <c r="H46" s="53"/>
      <c r="I46" s="51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2">
        <v>75</v>
      </c>
      <c r="B47" s="52">
        <v>252</v>
      </c>
      <c r="C47" s="52"/>
      <c r="D47" s="52"/>
      <c r="E47" s="53"/>
      <c r="F47" s="53"/>
      <c r="G47" s="53"/>
      <c r="H47" s="53"/>
      <c r="I47" s="51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2">
        <v>80</v>
      </c>
      <c r="B48" s="52">
        <v>282</v>
      </c>
      <c r="C48" s="52">
        <v>6</v>
      </c>
      <c r="D48" s="52">
        <v>42</v>
      </c>
      <c r="E48" s="53"/>
      <c r="F48" s="53"/>
      <c r="G48" s="53"/>
      <c r="H48" s="53"/>
      <c r="I48" s="51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2">
        <v>90</v>
      </c>
      <c r="B49" s="52">
        <v>296</v>
      </c>
      <c r="C49" s="52">
        <v>7</v>
      </c>
      <c r="D49" s="52">
        <v>42</v>
      </c>
      <c r="E49" s="53"/>
      <c r="F49" s="53"/>
      <c r="G49" s="53"/>
      <c r="H49" s="53"/>
      <c r="I49" s="51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2">
        <v>100</v>
      </c>
      <c r="B50" s="52">
        <v>303</v>
      </c>
      <c r="C50" s="52">
        <v>8</v>
      </c>
      <c r="D50" s="52">
        <v>42</v>
      </c>
      <c r="E50" s="53"/>
      <c r="F50" s="53"/>
      <c r="G50" s="53"/>
      <c r="H50" s="53"/>
      <c r="I50" s="51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2">
        <v>110</v>
      </c>
      <c r="B51" s="52">
        <v>305</v>
      </c>
      <c r="C51" s="52">
        <v>9</v>
      </c>
      <c r="D51" s="52">
        <v>39</v>
      </c>
      <c r="E51" s="53"/>
      <c r="F51" s="53"/>
      <c r="G51" s="53"/>
      <c r="H51" s="53"/>
      <c r="I51" s="51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2">
        <v>120</v>
      </c>
      <c r="B52" s="52">
        <v>303</v>
      </c>
      <c r="C52" s="52">
        <v>10</v>
      </c>
      <c r="D52" s="52">
        <v>35</v>
      </c>
      <c r="E52" s="53"/>
      <c r="F52" s="53"/>
      <c r="G52" s="53"/>
      <c r="H52" s="53"/>
      <c r="I52" s="51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2">
        <v>130</v>
      </c>
      <c r="B53" s="52">
        <v>300</v>
      </c>
      <c r="C53" s="52">
        <v>11</v>
      </c>
      <c r="D53" s="52">
        <v>31</v>
      </c>
      <c r="E53" s="53"/>
      <c r="F53" s="53"/>
      <c r="G53" s="53"/>
      <c r="H53" s="53"/>
      <c r="I53" s="51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2">
        <v>140</v>
      </c>
      <c r="B54" s="52">
        <v>296</v>
      </c>
      <c r="C54" s="52">
        <v>12</v>
      </c>
      <c r="D54" s="52">
        <v>27</v>
      </c>
      <c r="E54" s="53"/>
      <c r="F54" s="53"/>
      <c r="G54" s="53"/>
      <c r="H54" s="53"/>
      <c r="I54" s="51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2">
        <v>150</v>
      </c>
      <c r="B55" s="52">
        <v>293</v>
      </c>
      <c r="C55" s="52">
        <v>13</v>
      </c>
      <c r="D55" s="52">
        <v>293</v>
      </c>
      <c r="E55" s="53"/>
      <c r="F55" s="53"/>
      <c r="G55" s="53"/>
      <c r="H55" s="53"/>
      <c r="I55" s="51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8" t="s">
        <v>166</v>
      </c>
      <c r="B58" s="54" t="str">
        <f>IF(B10="","",B10)</f>
        <v>Chêne pubescent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8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2" t="s">
        <v>186</v>
      </c>
      <c r="D60" s="292"/>
      <c r="E60" s="293" t="s">
        <v>187</v>
      </c>
      <c r="F60" s="294"/>
      <c r="G60" s="294"/>
      <c r="H60" s="295"/>
      <c r="I60" s="102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8" t="s">
        <v>180</v>
      </c>
      <c r="B61" s="38" t="s">
        <v>189</v>
      </c>
      <c r="C61" s="50" t="s">
        <v>188</v>
      </c>
      <c r="D61" s="50" t="s">
        <v>251</v>
      </c>
      <c r="E61" s="38" t="s">
        <v>183</v>
      </c>
      <c r="F61" s="38" t="s">
        <v>181</v>
      </c>
      <c r="G61" s="38" t="s">
        <v>184</v>
      </c>
      <c r="H61" s="38" t="s">
        <v>182</v>
      </c>
      <c r="I61" s="50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2">
        <v>20</v>
      </c>
      <c r="B62" s="62">
        <v>42</v>
      </c>
      <c r="C62" s="62"/>
      <c r="D62" s="62"/>
      <c r="E62" s="53"/>
      <c r="F62" s="53"/>
      <c r="G62" s="53"/>
      <c r="H62" s="53"/>
      <c r="I62" s="55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2">
        <v>25</v>
      </c>
      <c r="B63" s="62">
        <v>70</v>
      </c>
      <c r="C63" s="62"/>
      <c r="D63" s="62"/>
      <c r="E63" s="53"/>
      <c r="F63" s="53"/>
      <c r="G63" s="53"/>
      <c r="H63" s="53"/>
      <c r="I63" s="51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2">
        <v>30</v>
      </c>
      <c r="B64" s="62">
        <v>105</v>
      </c>
      <c r="C64" s="62">
        <v>1</v>
      </c>
      <c r="D64" s="62">
        <v>29</v>
      </c>
      <c r="E64" s="53"/>
      <c r="F64" s="53"/>
      <c r="G64" s="53"/>
      <c r="H64" s="53">
        <v>1</v>
      </c>
      <c r="I64" s="51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2">
        <v>35</v>
      </c>
      <c r="B65" s="62">
        <v>116</v>
      </c>
      <c r="C65" s="62"/>
      <c r="D65" s="62"/>
      <c r="E65" s="53"/>
      <c r="F65" s="53"/>
      <c r="G65" s="53"/>
      <c r="H65" s="53"/>
      <c r="I65" s="51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2">
        <v>40</v>
      </c>
      <c r="B66" s="62">
        <v>158</v>
      </c>
      <c r="C66" s="62">
        <v>2</v>
      </c>
      <c r="D66" s="62">
        <v>42</v>
      </c>
      <c r="E66" s="53"/>
      <c r="F66" s="53"/>
      <c r="G66" s="53"/>
      <c r="H66" s="53"/>
      <c r="I66" s="51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2">
        <v>45</v>
      </c>
      <c r="B67" s="62">
        <v>158</v>
      </c>
      <c r="C67" s="62"/>
      <c r="D67" s="62"/>
      <c r="E67" s="53"/>
      <c r="F67" s="53"/>
      <c r="G67" s="53"/>
      <c r="H67" s="53"/>
      <c r="I67" s="51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2">
        <v>50</v>
      </c>
      <c r="B68" s="62">
        <v>199</v>
      </c>
      <c r="C68" s="62">
        <v>3</v>
      </c>
      <c r="D68" s="62">
        <v>42</v>
      </c>
      <c r="E68" s="53"/>
      <c r="F68" s="53"/>
      <c r="G68" s="53"/>
      <c r="H68" s="53"/>
      <c r="I68" s="51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2">
        <v>55</v>
      </c>
      <c r="B69" s="52">
        <v>197</v>
      </c>
      <c r="C69" s="52"/>
      <c r="D69" s="52"/>
      <c r="E69" s="53"/>
      <c r="F69" s="53"/>
      <c r="G69" s="53"/>
      <c r="H69" s="53"/>
      <c r="I69" s="51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2">
        <v>60</v>
      </c>
      <c r="B70" s="52">
        <v>235</v>
      </c>
      <c r="C70" s="52">
        <v>4</v>
      </c>
      <c r="D70" s="52">
        <v>42</v>
      </c>
      <c r="E70" s="53"/>
      <c r="F70" s="53"/>
      <c r="G70" s="53"/>
      <c r="H70" s="53"/>
      <c r="I70" s="51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2">
        <v>65</v>
      </c>
      <c r="B71" s="52">
        <v>229</v>
      </c>
      <c r="C71" s="52"/>
      <c r="D71" s="52"/>
      <c r="E71" s="53"/>
      <c r="F71" s="53"/>
      <c r="G71" s="53"/>
      <c r="H71" s="53"/>
      <c r="I71" s="51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2">
        <v>70</v>
      </c>
      <c r="B72" s="52">
        <v>263</v>
      </c>
      <c r="C72" s="52">
        <v>5</v>
      </c>
      <c r="D72" s="52">
        <v>42</v>
      </c>
      <c r="E72" s="53"/>
      <c r="F72" s="53"/>
      <c r="G72" s="53"/>
      <c r="H72" s="53"/>
      <c r="I72" s="51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2">
        <v>75</v>
      </c>
      <c r="B73" s="52">
        <v>252</v>
      </c>
      <c r="C73" s="52"/>
      <c r="D73" s="52"/>
      <c r="E73" s="53"/>
      <c r="F73" s="53"/>
      <c r="G73" s="53"/>
      <c r="H73" s="53"/>
      <c r="I73" s="51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2">
        <v>80</v>
      </c>
      <c r="B74" s="52">
        <v>282</v>
      </c>
      <c r="C74" s="52">
        <v>6</v>
      </c>
      <c r="D74" s="52">
        <v>42</v>
      </c>
      <c r="E74" s="53"/>
      <c r="F74" s="53"/>
      <c r="G74" s="53"/>
      <c r="H74" s="53"/>
      <c r="I74" s="51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2">
        <v>90</v>
      </c>
      <c r="B75" s="52">
        <v>296</v>
      </c>
      <c r="C75" s="52">
        <v>7</v>
      </c>
      <c r="D75" s="52">
        <v>42</v>
      </c>
      <c r="E75" s="53"/>
      <c r="F75" s="53"/>
      <c r="G75" s="53"/>
      <c r="H75" s="53"/>
      <c r="I75" s="51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2">
        <v>100</v>
      </c>
      <c r="B76" s="52">
        <v>303</v>
      </c>
      <c r="C76" s="52">
        <v>8</v>
      </c>
      <c r="D76" s="52">
        <v>42</v>
      </c>
      <c r="E76" s="53"/>
      <c r="F76" s="53"/>
      <c r="G76" s="53"/>
      <c r="H76" s="53"/>
      <c r="I76" s="51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2">
        <v>110</v>
      </c>
      <c r="B77" s="52">
        <v>305</v>
      </c>
      <c r="C77" s="52">
        <v>9</v>
      </c>
      <c r="D77" s="52">
        <v>39</v>
      </c>
      <c r="E77" s="53"/>
      <c r="F77" s="53"/>
      <c r="G77" s="53"/>
      <c r="H77" s="53"/>
      <c r="I77" s="51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2">
        <v>120</v>
      </c>
      <c r="B78" s="52">
        <v>303</v>
      </c>
      <c r="C78" s="52">
        <v>10</v>
      </c>
      <c r="D78" s="52">
        <v>35</v>
      </c>
      <c r="E78" s="53"/>
      <c r="F78" s="53"/>
      <c r="G78" s="53"/>
      <c r="H78" s="53"/>
      <c r="I78" s="51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2">
        <v>130</v>
      </c>
      <c r="B79" s="52">
        <v>300</v>
      </c>
      <c r="C79" s="52">
        <v>11</v>
      </c>
      <c r="D79" s="52">
        <v>31</v>
      </c>
      <c r="E79" s="53"/>
      <c r="F79" s="53"/>
      <c r="G79" s="53"/>
      <c r="H79" s="53"/>
      <c r="I79" s="51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2">
        <v>140</v>
      </c>
      <c r="B80" s="52">
        <v>296</v>
      </c>
      <c r="C80" s="52">
        <v>12</v>
      </c>
      <c r="D80" s="52">
        <v>27</v>
      </c>
      <c r="E80" s="53"/>
      <c r="F80" s="53"/>
      <c r="G80" s="53"/>
      <c r="H80" s="53"/>
      <c r="I80" s="51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2">
        <v>150</v>
      </c>
      <c r="B81" s="52">
        <v>293</v>
      </c>
      <c r="C81" s="52">
        <v>13</v>
      </c>
      <c r="D81" s="52">
        <v>293</v>
      </c>
      <c r="E81" s="53"/>
      <c r="F81" s="53"/>
      <c r="G81" s="53"/>
      <c r="H81" s="53"/>
      <c r="I81" s="51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8" t="s">
        <v>167</v>
      </c>
      <c r="B84" s="54" t="str">
        <f>IF(B11="","",B11)</f>
        <v>Douglas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8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2" t="s">
        <v>186</v>
      </c>
      <c r="D86" s="292"/>
      <c r="E86" s="293" t="s">
        <v>187</v>
      </c>
      <c r="F86" s="294"/>
      <c r="G86" s="294"/>
      <c r="H86" s="295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8" t="s">
        <v>180</v>
      </c>
      <c r="B87" s="38" t="s">
        <v>189</v>
      </c>
      <c r="C87" s="50" t="s">
        <v>188</v>
      </c>
      <c r="D87" s="50" t="s">
        <v>251</v>
      </c>
      <c r="E87" s="38" t="s">
        <v>183</v>
      </c>
      <c r="F87" s="38" t="s">
        <v>181</v>
      </c>
      <c r="G87" s="38" t="s">
        <v>184</v>
      </c>
      <c r="H87" s="38" t="s">
        <v>182</v>
      </c>
      <c r="I87" s="50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2">
        <v>21</v>
      </c>
      <c r="B88" s="62">
        <f>10*21</f>
        <v>210</v>
      </c>
      <c r="C88" s="62">
        <v>1</v>
      </c>
      <c r="D88" s="62">
        <f>B88-147</f>
        <v>63</v>
      </c>
      <c r="E88" s="53"/>
      <c r="F88" s="53">
        <v>0.5</v>
      </c>
      <c r="G88" s="53">
        <v>0.5</v>
      </c>
      <c r="H88" s="91"/>
      <c r="I88" s="55">
        <f>IFERROR(B88/A88,"")</f>
        <v>10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2">
        <v>28</v>
      </c>
      <c r="B89" s="62">
        <v>280</v>
      </c>
      <c r="C89" s="62">
        <v>2</v>
      </c>
      <c r="D89" s="62">
        <v>64</v>
      </c>
      <c r="E89" s="53"/>
      <c r="F89" s="53">
        <v>0.5</v>
      </c>
      <c r="G89" s="53">
        <v>0.5</v>
      </c>
      <c r="H89" s="91"/>
      <c r="I89" s="55">
        <f t="shared" ref="I89:I107" si="3">IF(A89&lt;&gt;0,(B89-(B88-D88))/(A89-A88),"")</f>
        <v>19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2">
        <v>35</v>
      </c>
      <c r="B90" s="62">
        <v>355</v>
      </c>
      <c r="C90" s="62">
        <v>3</v>
      </c>
      <c r="D90" s="62">
        <v>73</v>
      </c>
      <c r="E90" s="91"/>
      <c r="F90" s="91"/>
      <c r="G90" s="91"/>
      <c r="H90" s="91"/>
      <c r="I90" s="55">
        <f t="shared" si="3"/>
        <v>19.857142857142858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2">
        <v>42</v>
      </c>
      <c r="B91" s="62">
        <v>419</v>
      </c>
      <c r="C91" s="62">
        <v>4</v>
      </c>
      <c r="D91" s="62">
        <v>77</v>
      </c>
      <c r="E91" s="91"/>
      <c r="F91" s="91"/>
      <c r="G91" s="91"/>
      <c r="H91" s="91"/>
      <c r="I91" s="55">
        <f t="shared" si="3"/>
        <v>19.571428571428573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2">
        <v>49</v>
      </c>
      <c r="B92" s="62">
        <v>473</v>
      </c>
      <c r="C92" s="62">
        <v>5</v>
      </c>
      <c r="D92" s="62">
        <v>80</v>
      </c>
      <c r="E92" s="91"/>
      <c r="F92" s="91"/>
      <c r="G92" s="91"/>
      <c r="H92" s="91"/>
      <c r="I92" s="55">
        <f t="shared" si="3"/>
        <v>18.714285714285715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2">
        <v>56</v>
      </c>
      <c r="B93" s="62">
        <v>514</v>
      </c>
      <c r="C93" s="62">
        <v>6</v>
      </c>
      <c r="D93" s="62">
        <v>85</v>
      </c>
      <c r="E93" s="91"/>
      <c r="F93" s="91"/>
      <c r="G93" s="91"/>
      <c r="H93" s="91"/>
      <c r="I93" s="55">
        <f t="shared" si="3"/>
        <v>17.285714285714285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2">
        <v>63</v>
      </c>
      <c r="B94" s="62">
        <v>538</v>
      </c>
      <c r="C94" s="62">
        <v>7</v>
      </c>
      <c r="D94" s="62">
        <v>84</v>
      </c>
      <c r="E94" s="91"/>
      <c r="F94" s="91"/>
      <c r="G94" s="91"/>
      <c r="H94" s="91"/>
      <c r="I94" s="55">
        <f t="shared" si="3"/>
        <v>15.571428571428571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2">
        <v>70</v>
      </c>
      <c r="B95" s="62">
        <v>551</v>
      </c>
      <c r="C95" s="62">
        <v>8</v>
      </c>
      <c r="D95" s="62">
        <f>B95</f>
        <v>551</v>
      </c>
      <c r="E95" s="91"/>
      <c r="F95" s="91"/>
      <c r="G95" s="91"/>
      <c r="H95" s="91"/>
      <c r="I95" s="55">
        <f t="shared" si="3"/>
        <v>13.857142857142858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280"/>
      <c r="B96" s="62"/>
      <c r="C96" s="62"/>
      <c r="D96" s="62"/>
      <c r="E96" s="53"/>
      <c r="F96" s="53"/>
      <c r="G96" s="53"/>
      <c r="H96" s="53"/>
      <c r="I96" s="55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280"/>
      <c r="B97" s="62"/>
      <c r="C97" s="62"/>
      <c r="D97" s="62"/>
      <c r="E97" s="53"/>
      <c r="F97" s="53"/>
      <c r="G97" s="53"/>
      <c r="H97" s="53"/>
      <c r="I97" s="55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280"/>
      <c r="B98" s="62"/>
      <c r="C98" s="62"/>
      <c r="D98" s="62"/>
      <c r="E98" s="53"/>
      <c r="F98" s="53"/>
      <c r="G98" s="53"/>
      <c r="H98" s="53"/>
      <c r="I98" s="55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280"/>
      <c r="B99" s="62"/>
      <c r="C99" s="62"/>
      <c r="D99" s="62"/>
      <c r="E99" s="53"/>
      <c r="F99" s="53"/>
      <c r="G99" s="53"/>
      <c r="H99" s="53"/>
      <c r="I99" s="55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280"/>
      <c r="B100" s="62"/>
      <c r="C100" s="62"/>
      <c r="D100" s="62"/>
      <c r="E100" s="53"/>
      <c r="F100" s="53"/>
      <c r="G100" s="53"/>
      <c r="H100" s="53"/>
      <c r="I100" s="55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280"/>
      <c r="B101" s="62"/>
      <c r="C101" s="62"/>
      <c r="D101" s="62"/>
      <c r="E101" s="53"/>
      <c r="F101" s="53"/>
      <c r="G101" s="53"/>
      <c r="H101" s="53"/>
      <c r="I101" s="55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280"/>
      <c r="B102" s="62"/>
      <c r="C102" s="62"/>
      <c r="D102" s="62"/>
      <c r="E102" s="53"/>
      <c r="F102" s="53"/>
      <c r="G102" s="53"/>
      <c r="H102" s="53"/>
      <c r="I102" s="55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280"/>
      <c r="B103" s="52"/>
      <c r="C103" s="52"/>
      <c r="D103" s="52"/>
      <c r="E103" s="53"/>
      <c r="F103" s="53"/>
      <c r="G103" s="53"/>
      <c r="H103" s="53"/>
      <c r="I103" s="55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280"/>
      <c r="B104" s="52"/>
      <c r="C104" s="52"/>
      <c r="D104" s="52"/>
      <c r="E104" s="53"/>
      <c r="F104" s="53"/>
      <c r="G104" s="53"/>
      <c r="H104" s="53"/>
      <c r="I104" s="55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280"/>
      <c r="B105" s="52"/>
      <c r="C105" s="52"/>
      <c r="D105" s="52"/>
      <c r="E105" s="53"/>
      <c r="F105" s="53"/>
      <c r="G105" s="53"/>
      <c r="H105" s="53"/>
      <c r="I105" s="55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280"/>
      <c r="B106" s="52"/>
      <c r="C106" s="52"/>
      <c r="D106" s="52"/>
      <c r="E106" s="53"/>
      <c r="F106" s="53"/>
      <c r="G106" s="53"/>
      <c r="H106" s="53"/>
      <c r="I106" s="55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280"/>
      <c r="B107" s="52"/>
      <c r="C107" s="52"/>
      <c r="D107" s="52"/>
      <c r="E107" s="53"/>
      <c r="F107" s="53"/>
      <c r="G107" s="53"/>
      <c r="H107" s="53"/>
      <c r="I107" s="55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8" t="s">
        <v>168</v>
      </c>
      <c r="B110" s="54" t="str">
        <f>IF(B12="","",B12)</f>
        <v>Cèdre de l'Atlas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8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2" t="s">
        <v>186</v>
      </c>
      <c r="D112" s="292"/>
      <c r="E112" s="293" t="s">
        <v>187</v>
      </c>
      <c r="F112" s="294"/>
      <c r="G112" s="294"/>
      <c r="H112" s="295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8" t="s">
        <v>180</v>
      </c>
      <c r="B113" s="38" t="s">
        <v>189</v>
      </c>
      <c r="C113" s="50" t="s">
        <v>188</v>
      </c>
      <c r="D113" s="50" t="s">
        <v>251</v>
      </c>
      <c r="E113" s="38" t="s">
        <v>183</v>
      </c>
      <c r="F113" s="38" t="s">
        <v>181</v>
      </c>
      <c r="G113" s="38" t="s">
        <v>184</v>
      </c>
      <c r="H113" s="38" t="s">
        <v>182</v>
      </c>
      <c r="I113" s="50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2">
        <v>30</v>
      </c>
      <c r="B114" s="62">
        <f>191.43/1.3</f>
        <v>147.25384615384615</v>
      </c>
      <c r="C114" s="52"/>
      <c r="D114" s="62"/>
      <c r="E114" s="53"/>
      <c r="F114" s="53"/>
      <c r="G114" s="53"/>
      <c r="H114" s="65"/>
      <c r="I114" s="55">
        <f>IFERROR(B114/A114,"")</f>
        <v>4.9084615384615384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2">
        <v>51</v>
      </c>
      <c r="B115" s="62">
        <f>503.84/1.3</f>
        <v>387.56923076923073</v>
      </c>
      <c r="C115" s="52">
        <v>1</v>
      </c>
      <c r="D115" s="62">
        <f>221.21/1.3</f>
        <v>170.16153846153847</v>
      </c>
      <c r="E115" s="65"/>
      <c r="F115" s="65"/>
      <c r="G115" s="65"/>
      <c r="H115" s="65"/>
      <c r="I115" s="55">
        <f t="shared" ref="I115:I133" si="4">IF(A115&lt;&gt;0,(B115-(B114-D114))/(A115-A114),"")</f>
        <v>11.443589743589742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2">
        <v>61</v>
      </c>
      <c r="B116" s="62">
        <f>427.85/1.3</f>
        <v>329.11538461538464</v>
      </c>
      <c r="C116" s="52">
        <v>2</v>
      </c>
      <c r="D116" s="62">
        <f>123.19/1.3</f>
        <v>94.76153846153845</v>
      </c>
      <c r="E116" s="65"/>
      <c r="F116" s="65"/>
      <c r="G116" s="65"/>
      <c r="H116" s="65"/>
      <c r="I116" s="55">
        <f t="shared" si="4"/>
        <v>11.170769230769238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2">
        <v>73</v>
      </c>
      <c r="B117" s="62">
        <f>465.57/1.3</f>
        <v>358.1307692307692</v>
      </c>
      <c r="C117" s="52">
        <v>3</v>
      </c>
      <c r="D117" s="62">
        <f>121.66/1.3</f>
        <v>93.584615384615375</v>
      </c>
      <c r="E117" s="65"/>
      <c r="F117" s="65"/>
      <c r="G117" s="65"/>
      <c r="H117" s="65"/>
      <c r="I117" s="55">
        <f t="shared" si="4"/>
        <v>10.314743589743586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2">
        <v>85</v>
      </c>
      <c r="B118" s="62">
        <f>492.48/1.3</f>
        <v>378.83076923076925</v>
      </c>
      <c r="C118" s="52">
        <v>4</v>
      </c>
      <c r="D118" s="62">
        <f>110.77/1.3</f>
        <v>85.207692307692298</v>
      </c>
      <c r="E118" s="65"/>
      <c r="F118" s="65"/>
      <c r="G118" s="65"/>
      <c r="H118" s="65"/>
      <c r="I118" s="55">
        <f t="shared" si="4"/>
        <v>9.52371794871795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2">
        <v>97</v>
      </c>
      <c r="B119" s="62">
        <f>517.76/1.3</f>
        <v>398.27692307692308</v>
      </c>
      <c r="C119" s="52">
        <v>5</v>
      </c>
      <c r="D119" s="62">
        <f>103.57/1.3</f>
        <v>79.669230769230765</v>
      </c>
      <c r="E119" s="65"/>
      <c r="F119" s="65"/>
      <c r="G119" s="65"/>
      <c r="H119" s="65"/>
      <c r="I119" s="55">
        <f t="shared" si="4"/>
        <v>8.7211538461538449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2">
        <v>109</v>
      </c>
      <c r="B120" s="62">
        <f>537.16/1.3</f>
        <v>413.2</v>
      </c>
      <c r="C120" s="62">
        <v>6</v>
      </c>
      <c r="D120" s="62">
        <f>104.85/1.3</f>
        <v>80.653846153846146</v>
      </c>
      <c r="E120" s="65"/>
      <c r="F120" s="65"/>
      <c r="G120" s="65"/>
      <c r="H120" s="65"/>
      <c r="I120" s="55">
        <f t="shared" si="4"/>
        <v>7.882692307692305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7">
        <v>121</v>
      </c>
      <c r="B121" s="57">
        <f>542.89/1.3</f>
        <v>417.60769230769228</v>
      </c>
      <c r="C121" s="57">
        <v>7</v>
      </c>
      <c r="D121" s="57">
        <f>269.2/1.3</f>
        <v>207.07692307692307</v>
      </c>
      <c r="E121" s="65"/>
      <c r="F121" s="65"/>
      <c r="G121" s="65"/>
      <c r="H121" s="65"/>
      <c r="I121" s="55">
        <f t="shared" si="4"/>
        <v>7.0884615384615346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7">
        <v>131</v>
      </c>
      <c r="B122" s="57">
        <f>337.5/1.3</f>
        <v>259.61538461538458</v>
      </c>
      <c r="C122" s="57">
        <v>8</v>
      </c>
      <c r="D122" s="57">
        <f>B122</f>
        <v>259.61538461538458</v>
      </c>
      <c r="E122" s="65"/>
      <c r="F122" s="65"/>
      <c r="G122" s="65"/>
      <c r="H122" s="65"/>
      <c r="I122" s="55">
        <f t="shared" si="4"/>
        <v>4.9084615384615375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7"/>
      <c r="B123" s="57"/>
      <c r="C123" s="57"/>
      <c r="D123" s="57"/>
      <c r="E123" s="65"/>
      <c r="F123" s="65"/>
      <c r="G123" s="65"/>
      <c r="H123" s="65"/>
      <c r="I123" s="55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7"/>
      <c r="B124" s="57"/>
      <c r="C124" s="57"/>
      <c r="D124" s="57"/>
      <c r="E124" s="65"/>
      <c r="F124" s="65"/>
      <c r="G124" s="65"/>
      <c r="H124" s="65"/>
      <c r="I124" s="55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7"/>
      <c r="B125" s="57"/>
      <c r="C125" s="57"/>
      <c r="D125" s="57"/>
      <c r="E125" s="65"/>
      <c r="F125" s="65"/>
      <c r="G125" s="65"/>
      <c r="H125" s="65"/>
      <c r="I125" s="55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7"/>
      <c r="B126" s="57"/>
      <c r="C126" s="57"/>
      <c r="D126" s="57"/>
      <c r="E126" s="66"/>
      <c r="F126" s="66"/>
      <c r="G126" s="66"/>
      <c r="H126" s="66"/>
      <c r="I126" s="55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92"/>
      <c r="B127" s="62"/>
      <c r="C127" s="92"/>
      <c r="D127" s="62"/>
      <c r="E127" s="56"/>
      <c r="F127" s="56"/>
      <c r="G127" s="56"/>
      <c r="H127" s="56"/>
      <c r="I127" s="55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2"/>
      <c r="B128" s="52"/>
      <c r="C128" s="52"/>
      <c r="D128" s="52"/>
      <c r="E128" s="56"/>
      <c r="F128" s="56"/>
      <c r="G128" s="56"/>
      <c r="H128" s="56"/>
      <c r="I128" s="55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2"/>
      <c r="B129" s="52"/>
      <c r="C129" s="52"/>
      <c r="D129" s="52"/>
      <c r="E129" s="56"/>
      <c r="F129" s="56"/>
      <c r="G129" s="56"/>
      <c r="H129" s="56"/>
      <c r="I129" s="55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2"/>
      <c r="B130" s="52"/>
      <c r="C130" s="52"/>
      <c r="D130" s="52"/>
      <c r="E130" s="56"/>
      <c r="F130" s="56"/>
      <c r="G130" s="56"/>
      <c r="H130" s="56"/>
      <c r="I130" s="55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2"/>
      <c r="B131" s="52"/>
      <c r="C131" s="52"/>
      <c r="D131" s="52"/>
      <c r="E131" s="56"/>
      <c r="F131" s="56"/>
      <c r="G131" s="56"/>
      <c r="H131" s="56"/>
      <c r="I131" s="55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2"/>
      <c r="B132" s="52"/>
      <c r="C132" s="52"/>
      <c r="D132" s="52"/>
      <c r="E132" s="56"/>
      <c r="F132" s="56"/>
      <c r="G132" s="56"/>
      <c r="H132" s="56"/>
      <c r="I132" s="55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2"/>
      <c r="B133" s="52"/>
      <c r="C133" s="52"/>
      <c r="D133" s="52"/>
      <c r="E133" s="56"/>
      <c r="F133" s="56"/>
      <c r="G133" s="56"/>
      <c r="H133" s="56"/>
      <c r="I133" s="55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8" t="s">
        <v>169</v>
      </c>
      <c r="B136" s="54" t="str">
        <f>IF(B13="","",B13)</f>
        <v>Sapin de Nordmann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8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2" t="s">
        <v>186</v>
      </c>
      <c r="D138" s="292"/>
      <c r="E138" s="293" t="s">
        <v>187</v>
      </c>
      <c r="F138" s="294"/>
      <c r="G138" s="294"/>
      <c r="H138" s="295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8" t="s">
        <v>180</v>
      </c>
      <c r="B139" s="38" t="s">
        <v>189</v>
      </c>
      <c r="C139" s="50" t="s">
        <v>188</v>
      </c>
      <c r="D139" s="50" t="s">
        <v>251</v>
      </c>
      <c r="E139" s="38" t="s">
        <v>183</v>
      </c>
      <c r="F139" s="38" t="s">
        <v>181</v>
      </c>
      <c r="G139" s="38" t="s">
        <v>184</v>
      </c>
      <c r="H139" s="38" t="s">
        <v>182</v>
      </c>
      <c r="I139" s="50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2">
        <v>30</v>
      </c>
      <c r="B140" s="62">
        <v>112</v>
      </c>
      <c r="C140" s="52"/>
      <c r="D140" s="62"/>
      <c r="E140" s="53"/>
      <c r="F140" s="53"/>
      <c r="G140" s="53"/>
      <c r="H140" s="53"/>
      <c r="I140" s="59">
        <f>IFERROR(B140/A140,"")</f>
        <v>3.7333333333333334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2">
        <f>A140+10</f>
        <v>40</v>
      </c>
      <c r="B141" s="62">
        <f>136+66</f>
        <v>202</v>
      </c>
      <c r="C141" s="52">
        <v>1</v>
      </c>
      <c r="D141" s="62">
        <v>66</v>
      </c>
      <c r="E141" s="53"/>
      <c r="F141" s="53"/>
      <c r="G141" s="53"/>
      <c r="H141" s="53"/>
      <c r="I141" s="59">
        <f t="shared" ref="I141:I159" si="5">IF(A141&lt;&gt;0,(B141-(B140-D140))/(A141-A140),"")</f>
        <v>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2">
        <v>50</v>
      </c>
      <c r="B142" s="62">
        <f>167+58</f>
        <v>225</v>
      </c>
      <c r="C142" s="52">
        <v>2</v>
      </c>
      <c r="D142" s="62">
        <v>58</v>
      </c>
      <c r="E142" s="53"/>
      <c r="F142" s="53"/>
      <c r="G142" s="53"/>
      <c r="H142" s="53"/>
      <c r="I142" s="59">
        <f t="shared" si="5"/>
        <v>8.9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2">
        <v>60</v>
      </c>
      <c r="B143" s="62">
        <f>203+58</f>
        <v>261</v>
      </c>
      <c r="C143" s="52">
        <v>3</v>
      </c>
      <c r="D143" s="62">
        <v>58</v>
      </c>
      <c r="E143" s="53"/>
      <c r="F143" s="53"/>
      <c r="G143" s="53"/>
      <c r="H143" s="53"/>
      <c r="I143" s="59">
        <f t="shared" si="5"/>
        <v>9.4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2">
        <v>70</v>
      </c>
      <c r="B144" s="62">
        <f>248+62</f>
        <v>310</v>
      </c>
      <c r="C144" s="52">
        <v>4</v>
      </c>
      <c r="D144" s="62">
        <v>62</v>
      </c>
      <c r="E144" s="53"/>
      <c r="F144" s="53"/>
      <c r="G144" s="53"/>
      <c r="H144" s="53"/>
      <c r="I144" s="59">
        <f t="shared" si="5"/>
        <v>10.7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2">
        <v>80</v>
      </c>
      <c r="B145" s="62">
        <f>303+58</f>
        <v>361</v>
      </c>
      <c r="C145" s="52">
        <v>5</v>
      </c>
      <c r="D145" s="62">
        <v>58</v>
      </c>
      <c r="E145" s="53"/>
      <c r="F145" s="53"/>
      <c r="G145" s="53"/>
      <c r="H145" s="53"/>
      <c r="I145" s="59">
        <f t="shared" si="5"/>
        <v>11.3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2">
        <v>90</v>
      </c>
      <c r="B146" s="62">
        <f>371+50</f>
        <v>421</v>
      </c>
      <c r="C146" s="52">
        <v>6</v>
      </c>
      <c r="D146" s="62">
        <v>50</v>
      </c>
      <c r="E146" s="53"/>
      <c r="F146" s="53"/>
      <c r="G146" s="53"/>
      <c r="H146" s="53"/>
      <c r="I146" s="59">
        <f t="shared" si="5"/>
        <v>11.8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2">
        <v>100</v>
      </c>
      <c r="B147" s="62">
        <f>453+45</f>
        <v>498</v>
      </c>
      <c r="C147" s="52">
        <v>7</v>
      </c>
      <c r="D147" s="62">
        <v>45</v>
      </c>
      <c r="E147" s="53"/>
      <c r="F147" s="53"/>
      <c r="G147" s="53"/>
      <c r="H147" s="53"/>
      <c r="I147" s="59">
        <f>IF(A147&lt;&gt;0,(B147-(B146-D146))/(A147-A146),"")</f>
        <v>12.7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2">
        <v>110</v>
      </c>
      <c r="B148" s="62">
        <f>553+40</f>
        <v>593</v>
      </c>
      <c r="C148" s="52">
        <v>8</v>
      </c>
      <c r="D148" s="62">
        <f>B148</f>
        <v>593</v>
      </c>
      <c r="E148" s="53"/>
      <c r="F148" s="53"/>
      <c r="G148" s="53"/>
      <c r="H148" s="53"/>
      <c r="I148" s="59">
        <f t="shared" si="5"/>
        <v>14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2"/>
      <c r="B149" s="62"/>
      <c r="C149" s="52"/>
      <c r="D149" s="62"/>
      <c r="E149" s="53"/>
      <c r="F149" s="53"/>
      <c r="G149" s="53"/>
      <c r="H149" s="53"/>
      <c r="I149" s="59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2"/>
      <c r="B150" s="62"/>
      <c r="C150" s="52"/>
      <c r="D150" s="62"/>
      <c r="E150" s="53"/>
      <c r="F150" s="53"/>
      <c r="G150" s="53"/>
      <c r="H150" s="53"/>
      <c r="I150" s="59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2"/>
      <c r="B151" s="62"/>
      <c r="C151" s="52"/>
      <c r="D151" s="62"/>
      <c r="E151" s="53"/>
      <c r="F151" s="53"/>
      <c r="G151" s="53"/>
      <c r="H151" s="53"/>
      <c r="I151" s="59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2"/>
      <c r="B152" s="62"/>
      <c r="C152" s="52"/>
      <c r="D152" s="62"/>
      <c r="E152" s="56"/>
      <c r="F152" s="56"/>
      <c r="G152" s="56"/>
      <c r="H152" s="56"/>
      <c r="I152" s="59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2"/>
      <c r="B153" s="62"/>
      <c r="C153" s="52"/>
      <c r="D153" s="62"/>
      <c r="E153" s="56"/>
      <c r="F153" s="56"/>
      <c r="G153" s="56"/>
      <c r="H153" s="56"/>
      <c r="I153" s="59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7"/>
      <c r="B154" s="58"/>
      <c r="C154" s="52"/>
      <c r="D154" s="52"/>
      <c r="E154" s="56"/>
      <c r="F154" s="56"/>
      <c r="G154" s="56"/>
      <c r="H154" s="56"/>
      <c r="I154" s="59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7"/>
      <c r="B155" s="58"/>
      <c r="C155" s="52"/>
      <c r="D155" s="52"/>
      <c r="E155" s="56"/>
      <c r="F155" s="56"/>
      <c r="G155" s="56"/>
      <c r="H155" s="56"/>
      <c r="I155" s="59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7"/>
      <c r="B156" s="58"/>
      <c r="C156" s="52"/>
      <c r="D156" s="52"/>
      <c r="E156" s="56"/>
      <c r="F156" s="56"/>
      <c r="G156" s="56"/>
      <c r="H156" s="56"/>
      <c r="I156" s="59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7"/>
      <c r="B157" s="58"/>
      <c r="C157" s="52"/>
      <c r="D157" s="52"/>
      <c r="E157" s="56"/>
      <c r="F157" s="56"/>
      <c r="G157" s="56"/>
      <c r="H157" s="56"/>
      <c r="I157" s="59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7"/>
      <c r="B158" s="58"/>
      <c r="C158" s="52"/>
      <c r="D158" s="52"/>
      <c r="E158" s="56"/>
      <c r="F158" s="56"/>
      <c r="G158" s="56"/>
      <c r="H158" s="56"/>
      <c r="I158" s="59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7"/>
      <c r="B159" s="58"/>
      <c r="C159" s="52"/>
      <c r="D159" s="60"/>
      <c r="E159" s="56"/>
      <c r="F159" s="56"/>
      <c r="G159" s="56"/>
      <c r="H159" s="56"/>
      <c r="I159" s="59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8" t="s">
        <v>170</v>
      </c>
      <c r="B162" s="54" t="str">
        <f>IF(B14="","",B14)</f>
        <v>Tilleul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8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2" t="s">
        <v>186</v>
      </c>
      <c r="D164" s="292"/>
      <c r="E164" s="293" t="s">
        <v>187</v>
      </c>
      <c r="F164" s="294"/>
      <c r="G164" s="294"/>
      <c r="H164" s="295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8" t="s">
        <v>180</v>
      </c>
      <c r="B165" s="38" t="s">
        <v>189</v>
      </c>
      <c r="C165" s="50" t="s">
        <v>188</v>
      </c>
      <c r="D165" s="50" t="s">
        <v>251</v>
      </c>
      <c r="E165" s="38" t="s">
        <v>183</v>
      </c>
      <c r="F165" s="38" t="s">
        <v>181</v>
      </c>
      <c r="G165" s="38" t="s">
        <v>184</v>
      </c>
      <c r="H165" s="38" t="s">
        <v>182</v>
      </c>
      <c r="I165" s="50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2">
        <v>15</v>
      </c>
      <c r="B166" s="62">
        <f>78/1.56</f>
        <v>50</v>
      </c>
      <c r="C166" s="62"/>
      <c r="D166" s="62"/>
      <c r="E166" s="53"/>
      <c r="F166" s="53"/>
      <c r="G166" s="53"/>
      <c r="H166" s="65"/>
      <c r="I166" s="51">
        <f>IFERROR(B166/A166,"")</f>
        <v>3.3333333333333335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2">
        <v>20</v>
      </c>
      <c r="B167" s="62">
        <f>(126+16)/1.56</f>
        <v>91.025641025641022</v>
      </c>
      <c r="C167" s="62">
        <v>1</v>
      </c>
      <c r="D167" s="62">
        <f>(16+22)/1.56</f>
        <v>24.358974358974358</v>
      </c>
      <c r="E167" s="65"/>
      <c r="F167" s="65"/>
      <c r="G167" s="65"/>
      <c r="H167" s="65">
        <v>1</v>
      </c>
      <c r="I167" s="51">
        <f t="shared" ref="I167:I185" si="6">IF(A167&lt;&gt;0,(B167-(B166-D166))/(A167-A166),"")</f>
        <v>8.2051282051282044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2">
        <v>25</v>
      </c>
      <c r="B168" s="62">
        <f>170/1.56</f>
        <v>108.97435897435896</v>
      </c>
      <c r="C168" s="62"/>
      <c r="D168" s="62"/>
      <c r="E168" s="65"/>
      <c r="F168" s="65"/>
      <c r="G168" s="65"/>
      <c r="H168" s="65"/>
      <c r="I168" s="51">
        <f t="shared" si="6"/>
        <v>8.4615384615384617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2">
        <v>30</v>
      </c>
      <c r="B169" s="62">
        <f>(208+25)/1.56</f>
        <v>149.35897435897436</v>
      </c>
      <c r="C169" s="62">
        <v>2</v>
      </c>
      <c r="D169" s="62">
        <f>(25+26)/1.56</f>
        <v>32.692307692307693</v>
      </c>
      <c r="E169" s="65"/>
      <c r="F169" s="65"/>
      <c r="G169" s="65"/>
      <c r="H169" s="65">
        <v>1</v>
      </c>
      <c r="I169" s="51">
        <f t="shared" si="6"/>
        <v>8.0769230769230802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2">
        <v>35</v>
      </c>
      <c r="B170" s="62">
        <f>242/1.56</f>
        <v>155.12820512820511</v>
      </c>
      <c r="C170" s="62"/>
      <c r="D170" s="62"/>
      <c r="E170" s="65"/>
      <c r="F170" s="65"/>
      <c r="G170" s="65"/>
      <c r="H170" s="65"/>
      <c r="I170" s="51">
        <f t="shared" si="6"/>
        <v>7.6923076923076881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2">
        <v>40</v>
      </c>
      <c r="B171" s="62">
        <f>(271+27)/1.56</f>
        <v>191.02564102564102</v>
      </c>
      <c r="C171" s="62">
        <v>3</v>
      </c>
      <c r="D171" s="62">
        <f>(27+27)/1.56</f>
        <v>34.615384615384613</v>
      </c>
      <c r="E171" s="65"/>
      <c r="F171" s="65"/>
      <c r="G171" s="65"/>
      <c r="H171" s="65"/>
      <c r="I171" s="51">
        <f t="shared" si="6"/>
        <v>7.1794871794871824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2">
        <v>45</v>
      </c>
      <c r="B172" s="62">
        <f>297/1.56</f>
        <v>190.38461538461539</v>
      </c>
      <c r="C172" s="62"/>
      <c r="D172" s="62"/>
      <c r="E172" s="65"/>
      <c r="F172" s="65"/>
      <c r="G172" s="65"/>
      <c r="H172" s="65"/>
      <c r="I172" s="51">
        <f t="shared" si="6"/>
        <v>6.7948717948717956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7">
        <v>50</v>
      </c>
      <c r="B173" s="57">
        <v>221.7948717948718</v>
      </c>
      <c r="C173" s="57">
        <v>4</v>
      </c>
      <c r="D173" s="57">
        <v>32.692307692307693</v>
      </c>
      <c r="E173" s="65"/>
      <c r="F173" s="65"/>
      <c r="G173" s="65"/>
      <c r="H173" s="65"/>
      <c r="I173" s="51">
        <f t="shared" si="6"/>
        <v>6.2820512820512819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7">
        <v>55</v>
      </c>
      <c r="B174" s="57">
        <v>217.94871794871793</v>
      </c>
      <c r="C174" s="57"/>
      <c r="D174" s="57"/>
      <c r="E174" s="65"/>
      <c r="F174" s="65"/>
      <c r="G174" s="65"/>
      <c r="H174" s="65"/>
      <c r="I174" s="51">
        <f t="shared" si="6"/>
        <v>5.7692307692307683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7">
        <v>60</v>
      </c>
      <c r="B175" s="57">
        <v>244.87179487179486</v>
      </c>
      <c r="C175" s="57">
        <v>5</v>
      </c>
      <c r="D175" s="57">
        <v>30.128205128205128</v>
      </c>
      <c r="E175" s="65"/>
      <c r="F175" s="65"/>
      <c r="G175" s="65"/>
      <c r="H175" s="65"/>
      <c r="I175" s="51">
        <f t="shared" si="6"/>
        <v>5.3846153846153868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7">
        <v>65</v>
      </c>
      <c r="B176" s="57">
        <v>240.38461538461539</v>
      </c>
      <c r="C176" s="57"/>
      <c r="D176" s="57"/>
      <c r="E176" s="65"/>
      <c r="F176" s="65"/>
      <c r="G176" s="65"/>
      <c r="H176" s="65"/>
      <c r="I176" s="51">
        <f t="shared" si="6"/>
        <v>5.1282051282051331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7">
        <v>70</v>
      </c>
      <c r="B177" s="57">
        <v>265.38461538461536</v>
      </c>
      <c r="C177" s="57">
        <v>6</v>
      </c>
      <c r="D177" s="57">
        <v>27.564102564102562</v>
      </c>
      <c r="E177" s="65"/>
      <c r="F177" s="65"/>
      <c r="G177" s="65"/>
      <c r="H177" s="65"/>
      <c r="I177" s="51">
        <f t="shared" si="6"/>
        <v>4.9999999999999947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7">
        <v>75</v>
      </c>
      <c r="B178" s="57">
        <v>260.89743589743591</v>
      </c>
      <c r="C178" s="57"/>
      <c r="D178" s="57"/>
      <c r="E178" s="66"/>
      <c r="F178" s="66"/>
      <c r="G178" s="66"/>
      <c r="H178" s="66"/>
      <c r="I178" s="51">
        <f t="shared" si="6"/>
        <v>4.6153846153846247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92">
        <v>80</v>
      </c>
      <c r="B179" s="62">
        <f>(419+21)/1.56</f>
        <v>282.05128205128204</v>
      </c>
      <c r="C179" s="92">
        <v>7</v>
      </c>
      <c r="D179" s="62">
        <f>(21+20)/1.56</f>
        <v>26.282051282051281</v>
      </c>
      <c r="E179" s="56"/>
      <c r="F179" s="56"/>
      <c r="G179" s="56"/>
      <c r="H179" s="56"/>
      <c r="I179" s="51">
        <f t="shared" si="6"/>
        <v>4.2307692307692264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2">
        <v>85</v>
      </c>
      <c r="B180" s="52">
        <v>276.28205128205127</v>
      </c>
      <c r="C180" s="52"/>
      <c r="D180" s="52"/>
      <c r="E180" s="56"/>
      <c r="F180" s="56"/>
      <c r="G180" s="56"/>
      <c r="H180" s="56"/>
      <c r="I180" s="51">
        <f t="shared" si="6"/>
        <v>4.1025641025640995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2">
        <v>90</v>
      </c>
      <c r="B181" s="52">
        <v>295.5128205128205</v>
      </c>
      <c r="C181" s="52">
        <v>8</v>
      </c>
      <c r="D181" s="52">
        <v>24.358974358974358</v>
      </c>
      <c r="E181" s="56"/>
      <c r="F181" s="56"/>
      <c r="G181" s="56"/>
      <c r="H181" s="56"/>
      <c r="I181" s="51">
        <f t="shared" si="6"/>
        <v>3.8461538461538454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2">
        <v>95</v>
      </c>
      <c r="B182" s="52">
        <v>289.74358974358972</v>
      </c>
      <c r="C182" s="52"/>
      <c r="D182" s="52"/>
      <c r="E182" s="56"/>
      <c r="F182" s="56"/>
      <c r="G182" s="56"/>
      <c r="H182" s="56"/>
      <c r="I182" s="51">
        <f t="shared" si="6"/>
        <v>3.7179487179487181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2">
        <v>100</v>
      </c>
      <c r="B183" s="52">
        <v>307.69230769230768</v>
      </c>
      <c r="C183" s="52">
        <v>9</v>
      </c>
      <c r="D183" s="52">
        <v>22.435897435897434</v>
      </c>
      <c r="E183" s="56"/>
      <c r="F183" s="56"/>
      <c r="G183" s="56"/>
      <c r="H183" s="56"/>
      <c r="I183" s="51">
        <f t="shared" si="6"/>
        <v>3.5897435897435912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2">
        <v>105</v>
      </c>
      <c r="B184" s="52">
        <v>301.28205128205127</v>
      </c>
      <c r="C184" s="52"/>
      <c r="D184" s="52"/>
      <c r="E184" s="56"/>
      <c r="F184" s="56"/>
      <c r="G184" s="56"/>
      <c r="H184" s="56"/>
      <c r="I184" s="51">
        <f t="shared" si="6"/>
        <v>3.2051282051282102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2">
        <v>110</v>
      </c>
      <c r="B185" s="52">
        <v>317.94871794871796</v>
      </c>
      <c r="C185" s="52">
        <v>10</v>
      </c>
      <c r="D185" s="52">
        <v>317.94871794871796</v>
      </c>
      <c r="E185" s="56"/>
      <c r="F185" s="56"/>
      <c r="G185" s="56"/>
      <c r="H185" s="56"/>
      <c r="I185" s="51">
        <f t="shared" si="6"/>
        <v>3.333333333333337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8" t="s">
        <v>171</v>
      </c>
      <c r="B188" s="54" t="str">
        <f>IF(B15="","",B15)</f>
        <v>Noyer</v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8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2" t="s">
        <v>186</v>
      </c>
      <c r="D190" s="292"/>
      <c r="E190" s="293" t="s">
        <v>187</v>
      </c>
      <c r="F190" s="294"/>
      <c r="G190" s="294"/>
      <c r="H190" s="295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8" t="s">
        <v>180</v>
      </c>
      <c r="B191" s="38" t="s">
        <v>189</v>
      </c>
      <c r="C191" s="50" t="s">
        <v>188</v>
      </c>
      <c r="D191" s="50" t="s">
        <v>251</v>
      </c>
      <c r="E191" s="38" t="s">
        <v>183</v>
      </c>
      <c r="F191" s="38" t="s">
        <v>181</v>
      </c>
      <c r="G191" s="38" t="s">
        <v>184</v>
      </c>
      <c r="H191" s="38" t="s">
        <v>182</v>
      </c>
      <c r="I191" s="50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2">
        <v>7</v>
      </c>
      <c r="B192" s="62">
        <v>6.9</v>
      </c>
      <c r="C192" s="62"/>
      <c r="D192" s="62"/>
      <c r="E192" s="53"/>
      <c r="F192" s="53"/>
      <c r="G192" s="53"/>
      <c r="H192" s="53"/>
      <c r="I192" s="51">
        <f>IFERROR(B192/A192,"")</f>
        <v>0.98571428571428577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2">
        <v>9</v>
      </c>
      <c r="B193" s="62">
        <v>11.5</v>
      </c>
      <c r="C193" s="62"/>
      <c r="D193" s="62"/>
      <c r="E193" s="53"/>
      <c r="F193" s="53"/>
      <c r="G193" s="53"/>
      <c r="H193" s="53"/>
      <c r="I193" s="51">
        <f t="shared" ref="I193:I211" si="7">IF(A193&lt;&gt;0,(B193-(B192-D192))/(A193-A192),"")</f>
        <v>2.2999999999999998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2">
        <v>11</v>
      </c>
      <c r="B194" s="62">
        <v>16.3</v>
      </c>
      <c r="C194" s="62"/>
      <c r="D194" s="62"/>
      <c r="E194" s="53"/>
      <c r="F194" s="53"/>
      <c r="G194" s="53"/>
      <c r="H194" s="53"/>
      <c r="I194" s="51">
        <f t="shared" si="7"/>
        <v>2.4000000000000004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2">
        <v>13</v>
      </c>
      <c r="B195" s="62">
        <v>27.1</v>
      </c>
      <c r="C195" s="62">
        <v>1</v>
      </c>
      <c r="D195" s="62">
        <v>11.2</v>
      </c>
      <c r="E195" s="53"/>
      <c r="F195" s="53"/>
      <c r="G195" s="53"/>
      <c r="H195" s="53">
        <v>1</v>
      </c>
      <c r="I195" s="51">
        <f t="shared" si="7"/>
        <v>5.4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2">
        <v>33</v>
      </c>
      <c r="B196" s="62">
        <v>117.6</v>
      </c>
      <c r="C196" s="62">
        <v>2</v>
      </c>
      <c r="D196" s="62">
        <v>39.200000000000003</v>
      </c>
      <c r="E196" s="53"/>
      <c r="F196" s="53"/>
      <c r="G196" s="53"/>
      <c r="H196" s="53"/>
      <c r="I196" s="51">
        <f t="shared" si="7"/>
        <v>5.0849999999999991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2">
        <v>48</v>
      </c>
      <c r="B197" s="62">
        <v>178.7</v>
      </c>
      <c r="C197" s="62">
        <v>3</v>
      </c>
      <c r="D197" s="62">
        <v>44.7</v>
      </c>
      <c r="E197" s="53"/>
      <c r="F197" s="53"/>
      <c r="G197" s="53"/>
      <c r="H197" s="53"/>
      <c r="I197" s="51">
        <f t="shared" si="7"/>
        <v>6.6866666666666665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2">
        <v>70</v>
      </c>
      <c r="B198" s="62">
        <v>242.4</v>
      </c>
      <c r="C198" s="62">
        <v>4</v>
      </c>
      <c r="D198" s="62">
        <f>B198</f>
        <v>242.4</v>
      </c>
      <c r="E198" s="53"/>
      <c r="F198" s="53"/>
      <c r="G198" s="53"/>
      <c r="H198" s="53"/>
      <c r="I198" s="51">
        <f t="shared" si="7"/>
        <v>4.9272727272727277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2"/>
      <c r="B199" s="52"/>
      <c r="C199" s="52"/>
      <c r="D199" s="52"/>
      <c r="E199" s="53"/>
      <c r="F199" s="53"/>
      <c r="G199" s="53"/>
      <c r="H199" s="53"/>
      <c r="I199" s="51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2"/>
      <c r="B200" s="52"/>
      <c r="C200" s="52"/>
      <c r="D200" s="52"/>
      <c r="E200" s="53"/>
      <c r="F200" s="53"/>
      <c r="G200" s="53"/>
      <c r="H200" s="53"/>
      <c r="I200" s="51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2"/>
      <c r="B201" s="52"/>
      <c r="C201" s="52"/>
      <c r="D201" s="52"/>
      <c r="E201" s="53"/>
      <c r="F201" s="53"/>
      <c r="G201" s="53"/>
      <c r="H201" s="53"/>
      <c r="I201" s="51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2"/>
      <c r="B202" s="52"/>
      <c r="C202" s="52"/>
      <c r="D202" s="52"/>
      <c r="E202" s="53"/>
      <c r="F202" s="53"/>
      <c r="G202" s="53"/>
      <c r="H202" s="53"/>
      <c r="I202" s="51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2"/>
      <c r="B203" s="52"/>
      <c r="C203" s="52"/>
      <c r="D203" s="52"/>
      <c r="E203" s="53"/>
      <c r="F203" s="53"/>
      <c r="G203" s="53"/>
      <c r="H203" s="53"/>
      <c r="I203" s="51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2"/>
      <c r="B204" s="52"/>
      <c r="C204" s="52"/>
      <c r="D204" s="52"/>
      <c r="E204" s="53"/>
      <c r="F204" s="53"/>
      <c r="G204" s="53"/>
      <c r="H204" s="53"/>
      <c r="I204" s="51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2"/>
      <c r="B205" s="52"/>
      <c r="C205" s="52"/>
      <c r="D205" s="52"/>
      <c r="E205" s="53"/>
      <c r="F205" s="53"/>
      <c r="G205" s="53"/>
      <c r="H205" s="53"/>
      <c r="I205" s="51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2"/>
      <c r="B206" s="52"/>
      <c r="C206" s="52"/>
      <c r="D206" s="52"/>
      <c r="E206" s="53"/>
      <c r="F206" s="53"/>
      <c r="G206" s="53"/>
      <c r="H206" s="53"/>
      <c r="I206" s="51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2"/>
      <c r="B207" s="52"/>
      <c r="C207" s="52"/>
      <c r="D207" s="52"/>
      <c r="E207" s="53"/>
      <c r="F207" s="53"/>
      <c r="G207" s="53"/>
      <c r="H207" s="53"/>
      <c r="I207" s="51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2"/>
      <c r="B208" s="52"/>
      <c r="C208" s="52"/>
      <c r="D208" s="52"/>
      <c r="E208" s="53"/>
      <c r="F208" s="53"/>
      <c r="G208" s="53"/>
      <c r="H208" s="53"/>
      <c r="I208" s="51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2"/>
      <c r="B209" s="52"/>
      <c r="C209" s="52"/>
      <c r="D209" s="52"/>
      <c r="E209" s="53"/>
      <c r="F209" s="53"/>
      <c r="G209" s="53"/>
      <c r="H209" s="53"/>
      <c r="I209" s="51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2"/>
      <c r="B210" s="52"/>
      <c r="C210" s="52"/>
      <c r="D210" s="52"/>
      <c r="E210" s="53"/>
      <c r="F210" s="53"/>
      <c r="G210" s="53"/>
      <c r="H210" s="53"/>
      <c r="I210" s="51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2"/>
      <c r="B211" s="52"/>
      <c r="C211" s="52"/>
      <c r="D211" s="52"/>
      <c r="E211" s="53"/>
      <c r="F211" s="53"/>
      <c r="G211" s="53"/>
      <c r="H211" s="53"/>
      <c r="I211" s="51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8" t="s">
        <v>172</v>
      </c>
      <c r="B214" s="54" t="str">
        <f>IF(B16="","",B16)</f>
        <v>Merisier</v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8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2" t="s">
        <v>186</v>
      </c>
      <c r="D216" s="292"/>
      <c r="E216" s="293" t="s">
        <v>187</v>
      </c>
      <c r="F216" s="294"/>
      <c r="G216" s="294"/>
      <c r="H216" s="295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8" t="s">
        <v>180</v>
      </c>
      <c r="B217" s="38" t="s">
        <v>189</v>
      </c>
      <c r="C217" s="50" t="s">
        <v>188</v>
      </c>
      <c r="D217" s="50" t="s">
        <v>251</v>
      </c>
      <c r="E217" s="38" t="s">
        <v>183</v>
      </c>
      <c r="F217" s="38" t="s">
        <v>181</v>
      </c>
      <c r="G217" s="38" t="s">
        <v>184</v>
      </c>
      <c r="H217" s="38" t="s">
        <v>182</v>
      </c>
      <c r="I217" s="50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2">
        <v>15</v>
      </c>
      <c r="B218" s="62">
        <v>40</v>
      </c>
      <c r="C218" s="52"/>
      <c r="D218" s="62"/>
      <c r="E218" s="53"/>
      <c r="F218" s="53"/>
      <c r="G218" s="53"/>
      <c r="H218" s="53"/>
      <c r="I218" s="55">
        <f>IFERROR(B218/A218,"")</f>
        <v>2.6666666666666665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2">
        <v>20</v>
      </c>
      <c r="B219" s="62">
        <f>85+3</f>
        <v>88</v>
      </c>
      <c r="C219" s="52"/>
      <c r="D219" s="62"/>
      <c r="E219" s="53"/>
      <c r="F219" s="53"/>
      <c r="G219" s="53"/>
      <c r="H219" s="53"/>
      <c r="I219" s="55">
        <f t="shared" ref="I219:I237" si="8">IF(A219&lt;&gt;0,(B219-(B218-D218))/(A219-A218),"")</f>
        <v>9.6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2">
        <v>25</v>
      </c>
      <c r="B220" s="62">
        <f>113+3+25</f>
        <v>141</v>
      </c>
      <c r="C220" s="52">
        <v>1</v>
      </c>
      <c r="D220" s="62">
        <f>3+25+27</f>
        <v>55</v>
      </c>
      <c r="E220" s="53"/>
      <c r="F220" s="53"/>
      <c r="G220" s="53"/>
      <c r="H220" s="53">
        <v>1</v>
      </c>
      <c r="I220" s="55">
        <f t="shared" si="8"/>
        <v>10.6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2">
        <v>31</v>
      </c>
      <c r="B221" s="62">
        <v>155</v>
      </c>
      <c r="C221" s="52">
        <v>2</v>
      </c>
      <c r="D221" s="62">
        <v>36</v>
      </c>
      <c r="E221" s="53"/>
      <c r="F221" s="53"/>
      <c r="G221" s="53"/>
      <c r="H221" s="53"/>
      <c r="I221" s="55">
        <f t="shared" si="8"/>
        <v>11.5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2">
        <v>37</v>
      </c>
      <c r="B222" s="62">
        <v>188</v>
      </c>
      <c r="C222" s="52">
        <v>3</v>
      </c>
      <c r="D222" s="62">
        <v>36</v>
      </c>
      <c r="E222" s="53"/>
      <c r="F222" s="53"/>
      <c r="G222" s="53"/>
      <c r="H222" s="53"/>
      <c r="I222" s="55">
        <f t="shared" si="8"/>
        <v>11.5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2">
        <v>44</v>
      </c>
      <c r="B223" s="62">
        <v>230</v>
      </c>
      <c r="C223" s="52">
        <v>4</v>
      </c>
      <c r="D223" s="62">
        <v>43</v>
      </c>
      <c r="E223" s="53"/>
      <c r="F223" s="53"/>
      <c r="G223" s="53"/>
      <c r="H223" s="53"/>
      <c r="I223" s="55">
        <f t="shared" si="8"/>
        <v>11.142857142857142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62">
        <v>52</v>
      </c>
      <c r="B224" s="62">
        <v>270</v>
      </c>
      <c r="C224" s="62">
        <v>5</v>
      </c>
      <c r="D224" s="62">
        <v>48</v>
      </c>
      <c r="E224" s="91"/>
      <c r="F224" s="91"/>
      <c r="G224" s="91"/>
      <c r="H224" s="91"/>
      <c r="I224" s="55">
        <f t="shared" si="8"/>
        <v>10.375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62">
        <v>60</v>
      </c>
      <c r="B225" s="62">
        <v>297</v>
      </c>
      <c r="C225" s="62">
        <v>6</v>
      </c>
      <c r="D225" s="62">
        <v>47</v>
      </c>
      <c r="E225" s="91"/>
      <c r="F225" s="91"/>
      <c r="G225" s="91"/>
      <c r="H225" s="91"/>
      <c r="I225" s="55">
        <f t="shared" si="8"/>
        <v>9.375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62">
        <v>69</v>
      </c>
      <c r="B226" s="62">
        <v>328</v>
      </c>
      <c r="C226" s="62">
        <v>7</v>
      </c>
      <c r="D226" s="62">
        <f>B226</f>
        <v>328</v>
      </c>
      <c r="E226" s="91"/>
      <c r="F226" s="91"/>
      <c r="G226" s="91"/>
      <c r="H226" s="91"/>
      <c r="I226" s="55">
        <f t="shared" si="8"/>
        <v>8.6666666666666661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7"/>
      <c r="B227" s="57"/>
      <c r="C227" s="57"/>
      <c r="D227" s="57"/>
      <c r="E227" s="65"/>
      <c r="F227" s="65"/>
      <c r="G227" s="65"/>
      <c r="H227" s="65"/>
      <c r="I227" s="55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7"/>
      <c r="B228" s="57"/>
      <c r="C228" s="57"/>
      <c r="D228" s="57"/>
      <c r="E228" s="65"/>
      <c r="F228" s="65"/>
      <c r="G228" s="65"/>
      <c r="H228" s="65"/>
      <c r="I228" s="55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7"/>
      <c r="B229" s="57"/>
      <c r="C229" s="57"/>
      <c r="D229" s="57"/>
      <c r="E229" s="65"/>
      <c r="F229" s="65"/>
      <c r="G229" s="65"/>
      <c r="H229" s="65"/>
      <c r="I229" s="55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7"/>
      <c r="B230" s="57"/>
      <c r="C230" s="57"/>
      <c r="D230" s="57"/>
      <c r="E230" s="66"/>
      <c r="F230" s="66"/>
      <c r="G230" s="66"/>
      <c r="H230" s="66"/>
      <c r="I230" s="55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2"/>
      <c r="B231" s="62"/>
      <c r="C231" s="92"/>
      <c r="D231" s="62"/>
      <c r="E231" s="56"/>
      <c r="F231" s="56"/>
      <c r="G231" s="56"/>
      <c r="H231" s="56"/>
      <c r="I231" s="55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2"/>
      <c r="B232" s="52"/>
      <c r="C232" s="52"/>
      <c r="D232" s="52"/>
      <c r="E232" s="56"/>
      <c r="F232" s="56"/>
      <c r="G232" s="56"/>
      <c r="H232" s="56"/>
      <c r="I232" s="55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2"/>
      <c r="B233" s="52"/>
      <c r="C233" s="52"/>
      <c r="D233" s="52"/>
      <c r="E233" s="56"/>
      <c r="F233" s="56"/>
      <c r="G233" s="56"/>
      <c r="H233" s="56"/>
      <c r="I233" s="55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2"/>
      <c r="B234" s="52"/>
      <c r="C234" s="52"/>
      <c r="D234" s="52"/>
      <c r="E234" s="56"/>
      <c r="F234" s="56"/>
      <c r="G234" s="56"/>
      <c r="H234" s="56"/>
      <c r="I234" s="55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2"/>
      <c r="B235" s="52"/>
      <c r="C235" s="52"/>
      <c r="D235" s="52"/>
      <c r="E235" s="56"/>
      <c r="F235" s="56"/>
      <c r="G235" s="56"/>
      <c r="H235" s="56"/>
      <c r="I235" s="55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2"/>
      <c r="B236" s="52"/>
      <c r="C236" s="52"/>
      <c r="D236" s="52"/>
      <c r="E236" s="56"/>
      <c r="F236" s="56"/>
      <c r="G236" s="56"/>
      <c r="H236" s="56"/>
      <c r="I236" s="55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2"/>
      <c r="B237" s="52"/>
      <c r="C237" s="52"/>
      <c r="D237" s="52"/>
      <c r="E237" s="56"/>
      <c r="F237" s="56"/>
      <c r="G237" s="56"/>
      <c r="H237" s="56"/>
      <c r="I237" s="55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8" t="s">
        <v>173</v>
      </c>
      <c r="B240" s="54" t="str">
        <f>IF(B17="","",B17)</f>
        <v>Alisier torminal</v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8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2" t="s">
        <v>186</v>
      </c>
      <c r="D242" s="292"/>
      <c r="E242" s="293" t="s">
        <v>187</v>
      </c>
      <c r="F242" s="294"/>
      <c r="G242" s="294"/>
      <c r="H242" s="295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8" t="s">
        <v>180</v>
      </c>
      <c r="B243" s="38" t="s">
        <v>189</v>
      </c>
      <c r="C243" s="50" t="s">
        <v>188</v>
      </c>
      <c r="D243" s="50" t="s">
        <v>251</v>
      </c>
      <c r="E243" s="38" t="s">
        <v>183</v>
      </c>
      <c r="F243" s="38" t="s">
        <v>181</v>
      </c>
      <c r="G243" s="38" t="s">
        <v>184</v>
      </c>
      <c r="H243" s="38" t="s">
        <v>182</v>
      </c>
      <c r="I243" s="50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2">
        <v>20</v>
      </c>
      <c r="B244" s="62">
        <v>42</v>
      </c>
      <c r="C244" s="62"/>
      <c r="D244" s="62"/>
      <c r="E244" s="53"/>
      <c r="F244" s="53"/>
      <c r="G244" s="53"/>
      <c r="H244" s="53"/>
      <c r="I244" s="55">
        <f>IFERROR(B244/A244,"")</f>
        <v>2.1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2">
        <v>25</v>
      </c>
      <c r="B245" s="62">
        <v>70</v>
      </c>
      <c r="C245" s="62"/>
      <c r="D245" s="62"/>
      <c r="E245" s="53"/>
      <c r="F245" s="53"/>
      <c r="G245" s="53"/>
      <c r="H245" s="53"/>
      <c r="I245" s="55">
        <f>IF(A245&lt;&gt;0,(B245-(B244-D244))/(A245-A244),"")</f>
        <v>5.6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2">
        <v>30</v>
      </c>
      <c r="B246" s="62">
        <v>105</v>
      </c>
      <c r="C246" s="62">
        <v>1</v>
      </c>
      <c r="D246" s="62">
        <v>29</v>
      </c>
      <c r="E246" s="53"/>
      <c r="F246" s="53"/>
      <c r="G246" s="53"/>
      <c r="H246" s="53">
        <v>1</v>
      </c>
      <c r="I246" s="55">
        <f>IF(A246&lt;&gt;0,(B246-(B245-D245))/(A246-A245),"")</f>
        <v>7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2">
        <v>35</v>
      </c>
      <c r="B247" s="62">
        <v>116</v>
      </c>
      <c r="C247" s="62"/>
      <c r="D247" s="62"/>
      <c r="E247" s="53"/>
      <c r="F247" s="53"/>
      <c r="G247" s="53"/>
      <c r="H247" s="53"/>
      <c r="I247" s="55">
        <f t="shared" ref="I247:I263" si="9">IF(A247&lt;&gt;0,(B247-(B246-D246))/(A247-A246),"")</f>
        <v>8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2">
        <v>40</v>
      </c>
      <c r="B248" s="62">
        <v>158</v>
      </c>
      <c r="C248" s="62">
        <v>2</v>
      </c>
      <c r="D248" s="62">
        <v>42</v>
      </c>
      <c r="E248" s="53"/>
      <c r="F248" s="53"/>
      <c r="G248" s="53"/>
      <c r="H248" s="53"/>
      <c r="I248" s="55">
        <f t="shared" si="9"/>
        <v>8.4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2">
        <v>45</v>
      </c>
      <c r="B249" s="62">
        <v>158</v>
      </c>
      <c r="C249" s="62"/>
      <c r="D249" s="62"/>
      <c r="E249" s="53"/>
      <c r="F249" s="53"/>
      <c r="G249" s="53"/>
      <c r="H249" s="53"/>
      <c r="I249" s="55">
        <f t="shared" si="9"/>
        <v>8.4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2">
        <v>50</v>
      </c>
      <c r="B250" s="62">
        <v>199</v>
      </c>
      <c r="C250" s="62">
        <v>3</v>
      </c>
      <c r="D250" s="62">
        <v>42</v>
      </c>
      <c r="E250" s="53"/>
      <c r="F250" s="53"/>
      <c r="G250" s="53"/>
      <c r="H250" s="53"/>
      <c r="I250" s="55">
        <f t="shared" si="9"/>
        <v>8.1999999999999993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2">
        <v>55</v>
      </c>
      <c r="B251" s="52">
        <v>197</v>
      </c>
      <c r="C251" s="52"/>
      <c r="D251" s="52"/>
      <c r="E251" s="53"/>
      <c r="F251" s="53"/>
      <c r="G251" s="53"/>
      <c r="H251" s="53"/>
      <c r="I251" s="55">
        <f t="shared" si="9"/>
        <v>8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2">
        <v>60</v>
      </c>
      <c r="B252" s="52">
        <v>235</v>
      </c>
      <c r="C252" s="52">
        <v>4</v>
      </c>
      <c r="D252" s="52">
        <v>42</v>
      </c>
      <c r="E252" s="53"/>
      <c r="F252" s="53"/>
      <c r="G252" s="53"/>
      <c r="H252" s="53"/>
      <c r="I252" s="55">
        <f t="shared" si="9"/>
        <v>7.6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2">
        <v>65</v>
      </c>
      <c r="B253" s="52">
        <v>229</v>
      </c>
      <c r="C253" s="52"/>
      <c r="D253" s="52"/>
      <c r="E253" s="53"/>
      <c r="F253" s="53"/>
      <c r="G253" s="53"/>
      <c r="H253" s="53"/>
      <c r="I253" s="55">
        <f t="shared" si="9"/>
        <v>7.2</v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2">
        <v>70</v>
      </c>
      <c r="B254" s="52">
        <v>263</v>
      </c>
      <c r="C254" s="52">
        <v>5</v>
      </c>
      <c r="D254" s="52">
        <v>42</v>
      </c>
      <c r="E254" s="53"/>
      <c r="F254" s="53"/>
      <c r="G254" s="53"/>
      <c r="H254" s="53"/>
      <c r="I254" s="55">
        <f t="shared" si="9"/>
        <v>6.8</v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2">
        <v>75</v>
      </c>
      <c r="B255" s="52">
        <v>252</v>
      </c>
      <c r="C255" s="52"/>
      <c r="D255" s="52"/>
      <c r="E255" s="53"/>
      <c r="F255" s="53"/>
      <c r="G255" s="53"/>
      <c r="H255" s="53"/>
      <c r="I255" s="55">
        <f t="shared" si="9"/>
        <v>6.2</v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2">
        <v>80</v>
      </c>
      <c r="B256" s="52">
        <v>282</v>
      </c>
      <c r="C256" s="52">
        <v>6</v>
      </c>
      <c r="D256" s="52">
        <v>42</v>
      </c>
      <c r="E256" s="53"/>
      <c r="F256" s="53"/>
      <c r="G256" s="53"/>
      <c r="H256" s="53"/>
      <c r="I256" s="55">
        <f t="shared" si="9"/>
        <v>6</v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52">
        <v>90</v>
      </c>
      <c r="B257" s="52">
        <v>296</v>
      </c>
      <c r="C257" s="52">
        <v>7</v>
      </c>
      <c r="D257" s="52">
        <v>42</v>
      </c>
      <c r="E257" s="53"/>
      <c r="F257" s="53"/>
      <c r="G257" s="53"/>
      <c r="H257" s="53"/>
      <c r="I257" s="55">
        <f t="shared" si="9"/>
        <v>5.6</v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2">
        <v>100</v>
      </c>
      <c r="B258" s="52">
        <v>303</v>
      </c>
      <c r="C258" s="52">
        <v>8</v>
      </c>
      <c r="D258" s="52">
        <v>42</v>
      </c>
      <c r="E258" s="53"/>
      <c r="F258" s="53"/>
      <c r="G258" s="53"/>
      <c r="H258" s="53"/>
      <c r="I258" s="55">
        <f t="shared" si="9"/>
        <v>4.9000000000000004</v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2">
        <v>110</v>
      </c>
      <c r="B259" s="52">
        <v>305</v>
      </c>
      <c r="C259" s="52">
        <v>9</v>
      </c>
      <c r="D259" s="52">
        <v>39</v>
      </c>
      <c r="E259" s="53"/>
      <c r="F259" s="53"/>
      <c r="G259" s="53"/>
      <c r="H259" s="53"/>
      <c r="I259" s="55">
        <f t="shared" si="9"/>
        <v>4.4000000000000004</v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2">
        <v>120</v>
      </c>
      <c r="B260" s="52">
        <v>303</v>
      </c>
      <c r="C260" s="52">
        <v>10</v>
      </c>
      <c r="D260" s="52">
        <v>35</v>
      </c>
      <c r="E260" s="53"/>
      <c r="F260" s="53"/>
      <c r="G260" s="53"/>
      <c r="H260" s="53"/>
      <c r="I260" s="55">
        <f t="shared" si="9"/>
        <v>3.7</v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2">
        <v>130</v>
      </c>
      <c r="B261" s="52">
        <v>300</v>
      </c>
      <c r="C261" s="52">
        <v>11</v>
      </c>
      <c r="D261" s="52">
        <v>31</v>
      </c>
      <c r="E261" s="53"/>
      <c r="F261" s="53"/>
      <c r="G261" s="53"/>
      <c r="H261" s="53"/>
      <c r="I261" s="55">
        <f t="shared" si="9"/>
        <v>3.2</v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2">
        <v>140</v>
      </c>
      <c r="B262" s="52">
        <v>296</v>
      </c>
      <c r="C262" s="52">
        <v>12</v>
      </c>
      <c r="D262" s="52">
        <v>27</v>
      </c>
      <c r="E262" s="53"/>
      <c r="F262" s="53"/>
      <c r="G262" s="53"/>
      <c r="H262" s="53"/>
      <c r="I262" s="55">
        <f t="shared" si="9"/>
        <v>2.7</v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2">
        <v>150</v>
      </c>
      <c r="B263" s="52">
        <v>293</v>
      </c>
      <c r="C263" s="52">
        <v>13</v>
      </c>
      <c r="D263" s="52">
        <v>293</v>
      </c>
      <c r="E263" s="53"/>
      <c r="F263" s="53"/>
      <c r="G263" s="53"/>
      <c r="H263" s="53"/>
      <c r="I263" s="55">
        <f t="shared" si="9"/>
        <v>2.4</v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8" t="s">
        <v>174</v>
      </c>
      <c r="B266" s="54" t="str">
        <f>IF(B18="","",B18)</f>
        <v>Cormier</v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8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2" t="s">
        <v>186</v>
      </c>
      <c r="D268" s="292"/>
      <c r="E268" s="293" t="s">
        <v>187</v>
      </c>
      <c r="F268" s="294"/>
      <c r="G268" s="294"/>
      <c r="H268" s="295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8" t="s">
        <v>180</v>
      </c>
      <c r="B269" s="38" t="s">
        <v>189</v>
      </c>
      <c r="C269" s="50" t="s">
        <v>188</v>
      </c>
      <c r="D269" s="50" t="s">
        <v>251</v>
      </c>
      <c r="E269" s="38" t="s">
        <v>183</v>
      </c>
      <c r="F269" s="38" t="s">
        <v>181</v>
      </c>
      <c r="G269" s="38" t="s">
        <v>184</v>
      </c>
      <c r="H269" s="38" t="s">
        <v>182</v>
      </c>
      <c r="I269" s="50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2">
        <v>20</v>
      </c>
      <c r="B270" s="62">
        <v>42</v>
      </c>
      <c r="C270" s="62"/>
      <c r="D270" s="62"/>
      <c r="E270" s="53"/>
      <c r="F270" s="53"/>
      <c r="G270" s="53"/>
      <c r="H270" s="53"/>
      <c r="I270" s="55">
        <f>IFERROR(B270/A270,"")</f>
        <v>2.1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2">
        <v>25</v>
      </c>
      <c r="B271" s="62">
        <v>70</v>
      </c>
      <c r="C271" s="62"/>
      <c r="D271" s="62"/>
      <c r="E271" s="53"/>
      <c r="F271" s="53"/>
      <c r="G271" s="53"/>
      <c r="H271" s="53"/>
      <c r="I271" s="55">
        <f>IF(A271&lt;&gt;0,(B271-(B270-D270))/(A271-A270),"")</f>
        <v>5.6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2">
        <v>30</v>
      </c>
      <c r="B272" s="62">
        <v>105</v>
      </c>
      <c r="C272" s="62">
        <v>1</v>
      </c>
      <c r="D272" s="62">
        <v>29</v>
      </c>
      <c r="E272" s="53"/>
      <c r="F272" s="53"/>
      <c r="G272" s="53"/>
      <c r="H272" s="53">
        <v>1</v>
      </c>
      <c r="I272" s="55">
        <f t="shared" ref="I272:I289" si="10">IF(A272&lt;&gt;0,(B272-(B271-D271))/(A272-A271),"")</f>
        <v>7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2">
        <v>35</v>
      </c>
      <c r="B273" s="62">
        <v>116</v>
      </c>
      <c r="C273" s="62"/>
      <c r="D273" s="62"/>
      <c r="E273" s="53"/>
      <c r="F273" s="53"/>
      <c r="G273" s="53"/>
      <c r="H273" s="53"/>
      <c r="I273" s="55">
        <f t="shared" si="10"/>
        <v>8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2">
        <v>40</v>
      </c>
      <c r="B274" s="62">
        <v>158</v>
      </c>
      <c r="C274" s="62">
        <v>2</v>
      </c>
      <c r="D274" s="62">
        <v>42</v>
      </c>
      <c r="E274" s="53"/>
      <c r="F274" s="53"/>
      <c r="G274" s="53"/>
      <c r="H274" s="53"/>
      <c r="I274" s="55">
        <f t="shared" si="10"/>
        <v>8.4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2">
        <v>45</v>
      </c>
      <c r="B275" s="62">
        <v>158</v>
      </c>
      <c r="C275" s="62"/>
      <c r="D275" s="62"/>
      <c r="E275" s="53"/>
      <c r="F275" s="53"/>
      <c r="G275" s="53"/>
      <c r="H275" s="53"/>
      <c r="I275" s="55">
        <f t="shared" si="10"/>
        <v>8.4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2">
        <v>50</v>
      </c>
      <c r="B276" s="62">
        <v>199</v>
      </c>
      <c r="C276" s="62">
        <v>3</v>
      </c>
      <c r="D276" s="62">
        <v>42</v>
      </c>
      <c r="E276" s="53"/>
      <c r="F276" s="53"/>
      <c r="G276" s="53"/>
      <c r="H276" s="53"/>
      <c r="I276" s="55">
        <f t="shared" si="10"/>
        <v>8.1999999999999993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2">
        <v>55</v>
      </c>
      <c r="B277" s="52">
        <v>197</v>
      </c>
      <c r="C277" s="52"/>
      <c r="D277" s="52"/>
      <c r="E277" s="53"/>
      <c r="F277" s="53"/>
      <c r="G277" s="53"/>
      <c r="H277" s="53"/>
      <c r="I277" s="55">
        <f t="shared" si="10"/>
        <v>8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2">
        <v>60</v>
      </c>
      <c r="B278" s="52">
        <v>235</v>
      </c>
      <c r="C278" s="52">
        <v>4</v>
      </c>
      <c r="D278" s="52">
        <v>42</v>
      </c>
      <c r="E278" s="53"/>
      <c r="F278" s="53"/>
      <c r="G278" s="53"/>
      <c r="H278" s="53"/>
      <c r="I278" s="55">
        <f t="shared" si="10"/>
        <v>7.6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2">
        <v>65</v>
      </c>
      <c r="B279" s="52">
        <v>229</v>
      </c>
      <c r="C279" s="52"/>
      <c r="D279" s="52"/>
      <c r="E279" s="53"/>
      <c r="F279" s="53"/>
      <c r="G279" s="53"/>
      <c r="H279" s="53"/>
      <c r="I279" s="55">
        <f t="shared" si="10"/>
        <v>7.2</v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2">
        <v>70</v>
      </c>
      <c r="B280" s="52">
        <v>263</v>
      </c>
      <c r="C280" s="52">
        <v>5</v>
      </c>
      <c r="D280" s="52">
        <v>42</v>
      </c>
      <c r="E280" s="53"/>
      <c r="F280" s="53"/>
      <c r="G280" s="53"/>
      <c r="H280" s="53"/>
      <c r="I280" s="55">
        <f t="shared" si="10"/>
        <v>6.8</v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2">
        <v>75</v>
      </c>
      <c r="B281" s="52">
        <v>252</v>
      </c>
      <c r="C281" s="52"/>
      <c r="D281" s="52"/>
      <c r="E281" s="53"/>
      <c r="F281" s="53"/>
      <c r="G281" s="53"/>
      <c r="H281" s="53"/>
      <c r="I281" s="55">
        <f t="shared" si="10"/>
        <v>6.2</v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2">
        <v>80</v>
      </c>
      <c r="B282" s="52">
        <v>282</v>
      </c>
      <c r="C282" s="52">
        <v>6</v>
      </c>
      <c r="D282" s="52">
        <v>42</v>
      </c>
      <c r="E282" s="53"/>
      <c r="F282" s="53"/>
      <c r="G282" s="53"/>
      <c r="H282" s="53"/>
      <c r="I282" s="55">
        <f t="shared" si="10"/>
        <v>6</v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52">
        <v>90</v>
      </c>
      <c r="B283" s="52">
        <v>296</v>
      </c>
      <c r="C283" s="52">
        <v>7</v>
      </c>
      <c r="D283" s="52">
        <v>42</v>
      </c>
      <c r="E283" s="53"/>
      <c r="F283" s="53"/>
      <c r="G283" s="53"/>
      <c r="H283" s="53"/>
      <c r="I283" s="55">
        <f t="shared" si="10"/>
        <v>5.6</v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2">
        <v>100</v>
      </c>
      <c r="B284" s="52">
        <v>303</v>
      </c>
      <c r="C284" s="52">
        <v>8</v>
      </c>
      <c r="D284" s="52">
        <v>42</v>
      </c>
      <c r="E284" s="53"/>
      <c r="F284" s="53"/>
      <c r="G284" s="53"/>
      <c r="H284" s="53"/>
      <c r="I284" s="55">
        <f t="shared" si="10"/>
        <v>4.9000000000000004</v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2">
        <v>110</v>
      </c>
      <c r="B285" s="52">
        <v>305</v>
      </c>
      <c r="C285" s="52">
        <v>9</v>
      </c>
      <c r="D285" s="52">
        <v>39</v>
      </c>
      <c r="E285" s="53"/>
      <c r="F285" s="53"/>
      <c r="G285" s="53"/>
      <c r="H285" s="53"/>
      <c r="I285" s="55">
        <f t="shared" si="10"/>
        <v>4.4000000000000004</v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2">
        <v>120</v>
      </c>
      <c r="B286" s="52">
        <v>303</v>
      </c>
      <c r="C286" s="52">
        <v>10</v>
      </c>
      <c r="D286" s="52">
        <v>35</v>
      </c>
      <c r="E286" s="53"/>
      <c r="F286" s="53"/>
      <c r="G286" s="53"/>
      <c r="H286" s="53"/>
      <c r="I286" s="55">
        <f t="shared" si="10"/>
        <v>3.7</v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2">
        <v>130</v>
      </c>
      <c r="B287" s="52">
        <v>300</v>
      </c>
      <c r="C287" s="52">
        <v>11</v>
      </c>
      <c r="D287" s="52">
        <v>31</v>
      </c>
      <c r="E287" s="53"/>
      <c r="F287" s="53"/>
      <c r="G287" s="53"/>
      <c r="H287" s="53"/>
      <c r="I287" s="55">
        <f t="shared" si="10"/>
        <v>3.2</v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2">
        <v>140</v>
      </c>
      <c r="B288" s="52">
        <v>296</v>
      </c>
      <c r="C288" s="52">
        <v>12</v>
      </c>
      <c r="D288" s="52">
        <v>27</v>
      </c>
      <c r="E288" s="53"/>
      <c r="F288" s="53"/>
      <c r="G288" s="53"/>
      <c r="H288" s="53"/>
      <c r="I288" s="55">
        <f t="shared" si="10"/>
        <v>2.7</v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2">
        <v>150</v>
      </c>
      <c r="B289" s="52">
        <v>293</v>
      </c>
      <c r="C289" s="52">
        <v>13</v>
      </c>
      <c r="D289" s="52">
        <v>293</v>
      </c>
      <c r="E289" s="53"/>
      <c r="F289" s="53"/>
      <c r="G289" s="53"/>
      <c r="H289" s="53"/>
      <c r="I289" s="55">
        <f t="shared" si="10"/>
        <v>2.4</v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disablePrompts="1"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60" sqref="C6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6" t="s">
        <v>191</v>
      </c>
      <c r="C2" s="307"/>
      <c r="D2" s="307"/>
      <c r="E2" s="307"/>
      <c r="F2" s="307"/>
      <c r="G2" s="308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5"/>
      <c r="C4" s="305"/>
      <c r="D4" s="305"/>
      <c r="E4" s="305"/>
      <c r="F4" s="305"/>
      <c r="G4" s="305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2"/>
      <c r="E7" s="108"/>
      <c r="F7" s="29" t="s">
        <v>295</v>
      </c>
      <c r="G7" s="107" t="s">
        <v>215</v>
      </c>
      <c r="H7" s="233"/>
      <c r="I7" s="233"/>
      <c r="J7" s="233"/>
      <c r="K7" s="2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3">
        <v>1</v>
      </c>
      <c r="C8" s="51" t="s">
        <v>177</v>
      </c>
      <c r="D8" s="25"/>
      <c r="E8" s="112">
        <v>4</v>
      </c>
      <c r="F8" s="63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3">
        <v>0</v>
      </c>
      <c r="C9" s="115" t="s">
        <v>216</v>
      </c>
      <c r="D9" s="25"/>
      <c r="E9" s="112">
        <v>5</v>
      </c>
      <c r="F9" s="63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3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3"/>
      <c r="B13" s="114"/>
      <c r="C13" s="105" t="s">
        <v>273</v>
      </c>
      <c r="D13" s="233"/>
      <c r="E13" s="106"/>
      <c r="F13" s="114"/>
      <c r="G13" s="105" t="s">
        <v>301</v>
      </c>
      <c r="H13" s="233"/>
      <c r="I13" s="233"/>
      <c r="J13" s="233"/>
      <c r="K13" s="233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3"/>
      <c r="B14" s="114"/>
      <c r="C14" s="105" t="s">
        <v>309</v>
      </c>
      <c r="D14" s="233"/>
      <c r="E14" s="106"/>
      <c r="F14" s="114"/>
      <c r="G14" s="105" t="s">
        <v>294</v>
      </c>
      <c r="H14" s="233"/>
      <c r="I14" s="233"/>
      <c r="J14" s="233"/>
      <c r="K14" s="233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3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3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3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2" t="s">
        <v>176</v>
      </c>
      <c r="C1" s="313"/>
      <c r="D1" s="313"/>
      <c r="E1" s="313"/>
      <c r="F1" s="313"/>
      <c r="G1" s="313"/>
      <c r="H1" s="314"/>
      <c r="I1" s="309" t="str">
        <f>IF('Données projet'!$B$9="","",'Données projet'!$B$9)</f>
        <v>Chêne sessile</v>
      </c>
      <c r="J1" s="310"/>
      <c r="K1" s="310"/>
      <c r="L1" s="310"/>
      <c r="M1" s="310"/>
      <c r="N1" s="310"/>
      <c r="O1" s="310"/>
      <c r="P1" s="310"/>
      <c r="Q1" s="310"/>
      <c r="R1" s="310"/>
      <c r="S1" s="310"/>
      <c r="T1" s="310"/>
      <c r="U1" s="310"/>
      <c r="V1" s="310"/>
      <c r="W1" s="310"/>
      <c r="X1" s="310"/>
      <c r="Y1" s="310"/>
      <c r="Z1" s="310"/>
      <c r="AA1" s="310"/>
      <c r="AB1" s="310"/>
      <c r="AC1" s="311"/>
      <c r="AD1" s="310" t="str">
        <f>IF('Données projet'!$B$10="","",'Données projet'!$B$10)</f>
        <v>Chêne pubescent</v>
      </c>
      <c r="AE1" s="310"/>
      <c r="AF1" s="310"/>
      <c r="AG1" s="310"/>
      <c r="AH1" s="310"/>
      <c r="AI1" s="310"/>
      <c r="AJ1" s="310"/>
      <c r="AK1" s="310"/>
      <c r="AL1" s="310"/>
      <c r="AM1" s="310"/>
      <c r="AN1" s="310"/>
      <c r="AO1" s="310"/>
      <c r="AP1" s="310"/>
      <c r="AQ1" s="310"/>
      <c r="AR1" s="310"/>
      <c r="AS1" s="310"/>
      <c r="AT1" s="310"/>
      <c r="AU1" s="310"/>
      <c r="AV1" s="310"/>
      <c r="AW1" s="310"/>
      <c r="AX1" s="311"/>
      <c r="AY1" s="309" t="str">
        <f>IF('Données projet'!$B$11="","",'Données projet'!$B$11)</f>
        <v>Douglas</v>
      </c>
      <c r="AZ1" s="310"/>
      <c r="BA1" s="310"/>
      <c r="BB1" s="310"/>
      <c r="BC1" s="310"/>
      <c r="BD1" s="310"/>
      <c r="BE1" s="310"/>
      <c r="BF1" s="310"/>
      <c r="BG1" s="310"/>
      <c r="BH1" s="310"/>
      <c r="BI1" s="310"/>
      <c r="BJ1" s="310"/>
      <c r="BK1" s="310"/>
      <c r="BL1" s="310"/>
      <c r="BM1" s="310"/>
      <c r="BN1" s="310"/>
      <c r="BO1" s="310"/>
      <c r="BP1" s="310"/>
      <c r="BQ1" s="310"/>
      <c r="BR1" s="310"/>
      <c r="BS1" s="311"/>
      <c r="BT1" s="309" t="str">
        <f>IF('Données projet'!$B$12="","",'Données projet'!$B$12)</f>
        <v>Cèdre de l'Atlas</v>
      </c>
      <c r="BU1" s="310"/>
      <c r="BV1" s="310"/>
      <c r="BW1" s="310"/>
      <c r="BX1" s="310"/>
      <c r="BY1" s="310"/>
      <c r="BZ1" s="310"/>
      <c r="CA1" s="310"/>
      <c r="CB1" s="310"/>
      <c r="CC1" s="310"/>
      <c r="CD1" s="310"/>
      <c r="CE1" s="310"/>
      <c r="CF1" s="310"/>
      <c r="CG1" s="310"/>
      <c r="CH1" s="310"/>
      <c r="CI1" s="310"/>
      <c r="CJ1" s="310"/>
      <c r="CK1" s="310"/>
      <c r="CL1" s="310"/>
      <c r="CM1" s="310"/>
      <c r="CN1" s="311"/>
      <c r="CO1" s="309" t="str">
        <f>IF('Données projet'!$B$13="","",'Données projet'!$B$13)</f>
        <v>Sapin de Nordmann</v>
      </c>
      <c r="CP1" s="310"/>
      <c r="CQ1" s="310"/>
      <c r="CR1" s="310"/>
      <c r="CS1" s="310"/>
      <c r="CT1" s="310"/>
      <c r="CU1" s="310"/>
      <c r="CV1" s="310"/>
      <c r="CW1" s="310"/>
      <c r="CX1" s="310"/>
      <c r="CY1" s="310"/>
      <c r="CZ1" s="310"/>
      <c r="DA1" s="310"/>
      <c r="DB1" s="310"/>
      <c r="DC1" s="310"/>
      <c r="DD1" s="310"/>
      <c r="DE1" s="310"/>
      <c r="DF1" s="310"/>
      <c r="DG1" s="310"/>
      <c r="DH1" s="310"/>
      <c r="DI1" s="311"/>
      <c r="DJ1" s="309" t="str">
        <f>IF('Données projet'!$B$14="","",'Données projet'!$B$14)</f>
        <v>Tilleul</v>
      </c>
      <c r="DK1" s="310"/>
      <c r="DL1" s="310"/>
      <c r="DM1" s="310"/>
      <c r="DN1" s="310"/>
      <c r="DO1" s="310"/>
      <c r="DP1" s="310"/>
      <c r="DQ1" s="310"/>
      <c r="DR1" s="310"/>
      <c r="DS1" s="310"/>
      <c r="DT1" s="310"/>
      <c r="DU1" s="310"/>
      <c r="DV1" s="310"/>
      <c r="DW1" s="310"/>
      <c r="DX1" s="310"/>
      <c r="DY1" s="310"/>
      <c r="DZ1" s="310"/>
      <c r="EA1" s="310"/>
      <c r="EB1" s="310"/>
      <c r="EC1" s="310"/>
      <c r="ED1" s="311"/>
      <c r="EE1" s="309" t="str">
        <f>IF('Données projet'!$B$15="","",'Données projet'!$B$15)</f>
        <v>Noyer</v>
      </c>
      <c r="EF1" s="310"/>
      <c r="EG1" s="310"/>
      <c r="EH1" s="310"/>
      <c r="EI1" s="310"/>
      <c r="EJ1" s="310"/>
      <c r="EK1" s="310"/>
      <c r="EL1" s="310"/>
      <c r="EM1" s="310"/>
      <c r="EN1" s="310"/>
      <c r="EO1" s="310"/>
      <c r="EP1" s="310"/>
      <c r="EQ1" s="310"/>
      <c r="ER1" s="310"/>
      <c r="ES1" s="310"/>
      <c r="ET1" s="310"/>
      <c r="EU1" s="310"/>
      <c r="EV1" s="310"/>
      <c r="EW1" s="310"/>
      <c r="EX1" s="310"/>
      <c r="EY1" s="311"/>
      <c r="EZ1" s="309" t="str">
        <f>IF('Données projet'!$B$16="","",'Données projet'!$B$16)</f>
        <v>Merisier</v>
      </c>
      <c r="FA1" s="310"/>
      <c r="FB1" s="310"/>
      <c r="FC1" s="310"/>
      <c r="FD1" s="310"/>
      <c r="FE1" s="310"/>
      <c r="FF1" s="310"/>
      <c r="FG1" s="310"/>
      <c r="FH1" s="310"/>
      <c r="FI1" s="310"/>
      <c r="FJ1" s="310"/>
      <c r="FK1" s="310"/>
      <c r="FL1" s="310"/>
      <c r="FM1" s="310"/>
      <c r="FN1" s="310"/>
      <c r="FO1" s="310"/>
      <c r="FP1" s="310"/>
      <c r="FQ1" s="310"/>
      <c r="FR1" s="310"/>
      <c r="FS1" s="310"/>
      <c r="FT1" s="311"/>
      <c r="FU1" s="309" t="str">
        <f>IF('Données projet'!$B$17="","",'Données projet'!$B$17)</f>
        <v>Alisier torminal</v>
      </c>
      <c r="FV1" s="310"/>
      <c r="FW1" s="310"/>
      <c r="FX1" s="310"/>
      <c r="FY1" s="310"/>
      <c r="FZ1" s="310"/>
      <c r="GA1" s="310"/>
      <c r="GB1" s="310"/>
      <c r="GC1" s="310"/>
      <c r="GD1" s="310"/>
      <c r="GE1" s="310"/>
      <c r="GF1" s="310"/>
      <c r="GG1" s="310"/>
      <c r="GH1" s="310"/>
      <c r="GI1" s="310"/>
      <c r="GJ1" s="310"/>
      <c r="GK1" s="310"/>
      <c r="GL1" s="310"/>
      <c r="GM1" s="310"/>
      <c r="GN1" s="310"/>
      <c r="GO1" s="311"/>
      <c r="GP1" s="309" t="str">
        <f>IF('Données projet'!$B$18="","",'Données projet'!$B$18)</f>
        <v>Cormier</v>
      </c>
      <c r="GQ1" s="310"/>
      <c r="GR1" s="310"/>
      <c r="GS1" s="310"/>
      <c r="GT1" s="310"/>
      <c r="GU1" s="310"/>
      <c r="GV1" s="310"/>
      <c r="GW1" s="310"/>
      <c r="GX1" s="310"/>
      <c r="GY1" s="310"/>
      <c r="GZ1" s="310"/>
      <c r="HA1" s="310"/>
      <c r="HB1" s="310"/>
      <c r="HC1" s="310"/>
      <c r="HD1" s="310"/>
      <c r="HE1" s="310"/>
      <c r="HF1" s="310"/>
      <c r="HG1" s="310"/>
      <c r="HH1" s="310"/>
      <c r="HI1" s="310"/>
      <c r="HJ1" s="311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1">
        <f t="shared" ref="R3:R66" si="0">Q3+(I3+J3)*44/12</f>
        <v>256.66666666666669</v>
      </c>
      <c r="S3" s="61">
        <f ca="1">AVERAGE(OFFSET($R$3,0,0,'Données projet'!$E$9+1,1))-AVERAGE(OFFSET($H$3,0,0,'Données projet'!$E$9+1,1))</f>
        <v>428.8489304403459</v>
      </c>
      <c r="T3" s="61">
        <f>IF('Données projet'!E9&gt;30,$R$33-$H$33,LOOKUP('Données projet'!$E$9,$A$3:$A$203,R3:R203)-LOOKUP('Données projet'!$E$9,$A$3:$A$203,$H$3:$H$203))</f>
        <v>247.01165577562966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1">
        <f>AL3+(AD3+AE3)*44/12</f>
        <v>256.66666666666669</v>
      </c>
      <c r="AN3" s="61">
        <f ca="1">AVERAGE(OFFSET($AM$3,0,0,'Données projet'!$E$10+1,1))-AVERAGE(OFFSET($H$3,0,0,'Données projet'!$E$10+1,1))</f>
        <v>475.47920969424894</v>
      </c>
      <c r="AO3" s="61">
        <f>IF('Données projet'!E10&gt;30,$AM$33-$H$33,LOOKUP('Données projet'!$E$10,$A$3:$A$203,AM3:AM203)-LOOKUP('Données projet'!$E$10,$A$3:$A$203,$H$3:$H$203))</f>
        <v>271.73544012419364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1">
        <f>BG3+(AY3+AZ3)*44/12</f>
        <v>256.66666666666669</v>
      </c>
      <c r="BI3" s="61">
        <f ca="1">AVERAGE(OFFSET($BH$3,0,0,'Données projet'!$E$11+1,1))-AVERAGE(OFFSET($H$3,0,0,'Données projet'!$E$11+1,1))</f>
        <v>374.79806286316051</v>
      </c>
      <c r="BJ3" s="61">
        <f>IF('Données projet'!E11&gt;30,$BH$33-$H$33,LOOKUP('Données projet'!$E$11,$A$3:$A$203,BH3:BH203)-LOOKUP('Données projet'!$E$11,$A$3:$A$203,$H$3:$H$203))</f>
        <v>350.01856672839466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1">
        <f>CB3+(BT3+BU3)*44/12</f>
        <v>256.66666666666669</v>
      </c>
      <c r="CD3" s="61">
        <f ca="1">AVERAGE(OFFSET($CC$3,0,0,'Données projet'!$E$12+1,1))-AVERAGE(OFFSET($H$3,0,0,'Données projet'!$E$12+1,1))</f>
        <v>285.59863510278109</v>
      </c>
      <c r="CE3" s="61">
        <f>IF('Données projet'!E12&gt;30,$CC$33-$H$33,LOOKUP('Données projet'!$E$12,$A$3:$A$203,CC3:CC203)-LOOKUP('Données projet'!$E$12,$A$3:$A$203,$H$3:$H$203))</f>
        <v>190.4880882944471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1">
        <f>CW3+(CO3+CP3)*44/12</f>
        <v>256.66666666666669</v>
      </c>
      <c r="CY3" s="61">
        <f ca="1">AVERAGE(OFFSET($CX$3,0,0,'Données projet'!$E$13+1,1))-AVERAGE(OFFSET($H$3,0,0,'Données projet'!$E$13+1,1))</f>
        <v>273.72618036666552</v>
      </c>
      <c r="CZ3" s="61">
        <f>IF('Données projet'!E13&gt;30,$CX$33-$H$33,LOOKUP('Données projet'!$E$13,$A$3:$A$203,CX3:CX203)-LOOKUP('Données projet'!$E$13,$A$3:$A$203,$H$3:$H$203))</f>
        <v>157.67999791700714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1">
        <f>DR3+(DJ3+DK3)*44/12</f>
        <v>256.66666666666669</v>
      </c>
      <c r="DT3" s="61">
        <f ca="1">AVERAGE(OFFSET($DS$3,0,0,'Données projet'!$E$14+1,1))-AVERAGE(OFFSET($H$3,0,0,'Données projet'!$E$14+1,1))</f>
        <v>312.06797204903796</v>
      </c>
      <c r="DU3" s="61">
        <f>IF('Données projet'!E14&gt;30,$DS$33-$H$33,LOOKUP('Données projet'!$E$14,$A$3:$A$203,DS3:DS203)-LOOKUP('Données projet'!$E$14,$A$3:$A$203,$H$3:$H$203))</f>
        <v>258.20189001775151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1">
        <f>EM3+(EE3+EF3)*44/12</f>
        <v>256.66666666666669</v>
      </c>
      <c r="EO3" s="61">
        <f ca="1">AVERAGE(OFFSET($EN$3,0,0,'Données projet'!$E$15+1,1))-AVERAGE(OFFSET($H$3,0,0,'Données projet'!$E$15+1,1))</f>
        <v>222.15256609836689</v>
      </c>
      <c r="EP3" s="61">
        <f>IF('Données projet'!E15&gt;30,$EN$33-$H$33,LOOKUP('Données projet'!$E$15,$A$3:$A$203,EN3:EN203)-LOOKUP('Données projet'!$E$15,$A$3:$A$203,$H$3:$H$203))</f>
        <v>221.10360210521077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1">
        <f>FH3+(EZ3+FA3)*44/12</f>
        <v>256.66666666666669</v>
      </c>
      <c r="FJ3" s="61">
        <f ca="1">AVERAGE(OFFSET($FI$3,0,0,'Données projet'!$E$16+1,1))-AVERAGE(OFFSET($H$3,0,0,'Données projet'!$E$16+1,1))</f>
        <v>292.57482726862594</v>
      </c>
      <c r="FK3" s="61">
        <f>IF('Données projet'!E16&gt;30,$FI$33-$H$33,LOOKUP('Données projet'!$E$16,$A$3:$A$203,FI3:FI203)-LOOKUP('Données projet'!$E$16,$A$3:$A$203,$H$3:$H$203))</f>
        <v>283.48738729114024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1">
        <f>GC3+(FU3+FV3)*44/12</f>
        <v>256.66666666666669</v>
      </c>
      <c r="GE3" s="61">
        <f ca="1">AVERAGE(OFFSET($GD$3,0,0,'Données projet'!$E$17+1,1))-AVERAGE(OFFSET($H$3,0,0,'Données projet'!$E$17+1,1))</f>
        <v>455.50822833641354</v>
      </c>
      <c r="GF3" s="61">
        <f>IF('Données projet'!E17&gt;30,$GD$33-$H$33,LOOKUP('Données projet'!$E$17,$A$3:$A$203,GD3:GD203)-LOOKUP('Données projet'!$E$17,$A$3:$A$203,$H$3:$H$203))</f>
        <v>261.14722581688039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1">
        <f>GX3+(GP3+GQ3)*44/12</f>
        <v>256.66666666666669</v>
      </c>
      <c r="GZ3" s="61">
        <f ca="1">AVERAGE(OFFSET($GY$3,0,0,'Données projet'!$E$18+1,1))-AVERAGE(OFFSET($H$3,0,0,'Données projet'!$E$18+1,1))</f>
        <v>502.07782026233912</v>
      </c>
      <c r="HA3" s="61">
        <f>IF('Données projet'!E18&gt;30,$GY$33-$H$33,LOOKUP('Données projet'!$E$18,$A$3:$A$203,GY3:GY203)-LOOKUP('Données projet'!$E$18,$A$3:$A$203,$H$3:$H$203))</f>
        <v>285.83623046025156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1.0907244698905405</v>
      </c>
      <c r="P4" s="14">
        <f>EXP(-1.0587+0.8836*LN(O4)+0.284)</f>
        <v>0.49759623852608204</v>
      </c>
      <c r="Q4" s="22">
        <f t="shared" ref="Q4:Q34" si="2">(O4+P4)*0.475*44/12</f>
        <v>2.7663252338256172</v>
      </c>
      <c r="R4" s="61">
        <f t="shared" si="0"/>
        <v>260.65521412271448</v>
      </c>
      <c r="S4" s="61">
        <f ca="1">AVERAGE(OFFSET($R$3,0,0,'Données projet'!$E$9+1,1))-AVERAGE(OFFSET($H$3,0,0,'Données projet'!$E$9+1,1))</f>
        <v>428.8489304403459</v>
      </c>
      <c r="T4" s="61">
        <f>$T$3</f>
        <v>247.01165577562966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1">
        <f t="shared" ref="AM4:AM67" si="5">AL4+(AD4+AE4)*44/12</f>
        <v>260.97628431819578</v>
      </c>
      <c r="AN4" s="61">
        <f ca="1">AVERAGE(OFFSET($AM$3,0,0,'Données projet'!$E$10+1,1))-AVERAGE(OFFSET($H$3,0,0,'Données projet'!$E$10+1,1))</f>
        <v>475.47920969424894</v>
      </c>
      <c r="AO4" s="61">
        <f>$AO$3</f>
        <v>271.73544012419364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10</v>
      </c>
      <c r="BD4" s="13">
        <f>IF('Données projet'!$A$88&gt;35,BD3+BC4-BL3,IF(A4&lt;'Données projet'!$A$88,$BA$205^A4,IF(A4='Données projet'!$A$88,'Données projet'!$B$88,BD3+BC4-BL3)))</f>
        <v>1.289976715395158</v>
      </c>
      <c r="BE4" s="14">
        <f>BD4*VLOOKUP('Données projet'!$B$11,Paramètres!$A$1:$I$89,3,0)*VLOOKUP('Données projet'!$B$11,Paramètres!$A$1:$I$89,5,0)</f>
        <v>0.72109698390589339</v>
      </c>
      <c r="BF4" s="14">
        <f>EXP(-1.0587+0.8836*LN(BE4)+0.284)</f>
        <v>0.34520357101002697</v>
      </c>
      <c r="BG4" s="22">
        <f t="shared" ref="BG4:BG67" si="7">(BE4+BF4)*0.475*44/12</f>
        <v>1.8571401331452277</v>
      </c>
      <c r="BH4" s="61">
        <f t="shared" ref="BH4:BH67" si="8">BG4+(AY4+AZ4)*44/12</f>
        <v>259.74602902203407</v>
      </c>
      <c r="BI4" s="61">
        <f ca="1">AVERAGE(OFFSET($BH$3,0,0,'Données projet'!$E$11+1,1))-AVERAGE(OFFSET($H$3,0,0,'Données projet'!$E$11+1,1))</f>
        <v>374.79806286316051</v>
      </c>
      <c r="BJ4" s="61">
        <f>$BJ$3</f>
        <v>350.01856672839466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4.9084615384615384</v>
      </c>
      <c r="BY4" s="13">
        <f>IF('Données projet'!$A$114&gt;35,BY3+BX4-CG3,IF(A4&lt;'Données projet'!$A$114,$BV$205^A4,IF(A4='Données projet'!$A$114,'Données projet'!$B$114,BY3+BX4-CG3)))</f>
        <v>1.1810516433311786</v>
      </c>
      <c r="BZ4" s="14">
        <f>BY4*VLOOKUP('Données projet'!$B$12,Paramètres!$A$1:$I$89,3,0)*VLOOKUP('Données projet'!$B$12,Paramètres!$A$1:$I$89,5,0)</f>
        <v>0.55273216907899159</v>
      </c>
      <c r="CA4" s="14">
        <f>EXP(-1.0587+0.8836*LN(BZ4)+0.284)</f>
        <v>0.27292171413945432</v>
      </c>
      <c r="CB4" s="22">
        <f t="shared" ref="CB4:CB67" si="10">(BZ4+CA4)*0.475*44/12</f>
        <v>1.4380138466054599</v>
      </c>
      <c r="CC4" s="61">
        <f t="shared" ref="CC4:CC67" si="11">CB4+(BT4+BU4)*44/12</f>
        <v>259.32690273549434</v>
      </c>
      <c r="CD4" s="61">
        <f ca="1">AVERAGE(OFFSET($CC$3,0,0,'Données projet'!$E$12+1,1))-AVERAGE(OFFSET($H$3,0,0,'Données projet'!$E$12+1,1))</f>
        <v>285.59863510278109</v>
      </c>
      <c r="CE4" s="61">
        <f>$CE$3</f>
        <v>190.4880882944471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3.7333333333333334</v>
      </c>
      <c r="CT4" s="13">
        <f>IF('Données projet'!$A$140&gt;35,CT3+CS4-DB3,IF(A4&lt;'Données projet'!$A$140,$CQ$205^A4,IF(A4='Données projet'!$A$140,'Données projet'!$B$140,CT3+CS4-DB3)))</f>
        <v>1.1703271155931456</v>
      </c>
      <c r="CU4" s="18">
        <f>CT4*VLOOKUP('Données projet'!$B$13,Paramètres!$A$1:$I$89,3,0)*VLOOKUP('Données projet'!$B$13,Paramètres!$A$1:$I$89,5,0)</f>
        <v>0.56292734260030308</v>
      </c>
      <c r="CV4" s="14">
        <f>EXP(-1.0587+0.8836*LN(CU4)+0.284)</f>
        <v>0.2773650627125453</v>
      </c>
      <c r="CW4" s="22">
        <f t="shared" ref="CW4:CW67" si="13">(CU4+CV4)*0.475*44/12</f>
        <v>1.4635092725865444</v>
      </c>
      <c r="CX4" s="61">
        <f t="shared" ref="CX4:CX67" si="14">CW4+(CO4+CP4)*44/12</f>
        <v>259.35239816147538</v>
      </c>
      <c r="CY4" s="61">
        <f ca="1">AVERAGE(OFFSET($CX$3,0,0,'Données projet'!$E$13+1,1))-AVERAGE(OFFSET($H$3,0,0,'Données projet'!$E$13+1,1))</f>
        <v>273.72618036666552</v>
      </c>
      <c r="CZ4" s="61">
        <f>$CZ$3</f>
        <v>157.67999791700714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3.3333333333333335</v>
      </c>
      <c r="DO4" s="13">
        <f>IF('Données projet'!$A$166&gt;35,DO3+DN4-DW3,IF(A4&lt;'Données projet'!$A$166,$DL$205^A4,IF(A4='Données projet'!$A$166,'Données projet'!$B$166,DO3+DN4-DW3)))</f>
        <v>1.2979700365523266</v>
      </c>
      <c r="DP4" s="18">
        <f>DO4*VLOOKUP('Données projet'!$B$14,Paramètres!$A$1:$I$89,3,0)*VLOOKUP('Données projet'!$B$14,Paramètres!$A$1:$I$89,5,0)</f>
        <v>0.87067830051930062</v>
      </c>
      <c r="DQ4" s="14">
        <f>EXP(-1.0587+0.8836*LN(DP4)+0.284)</f>
        <v>0.40776537662742923</v>
      </c>
      <c r="DR4" s="22">
        <f t="shared" ref="DR4:DR67" si="16">(DP4+DQ4)*0.475*44/12</f>
        <v>2.226622737697221</v>
      </c>
      <c r="DS4" s="61">
        <f t="shared" ref="DS4:DS67" si="17">DR4+(DJ4+DK4)*44/12</f>
        <v>260.11551162658606</v>
      </c>
      <c r="DT4" s="61">
        <f ca="1">AVERAGE(OFFSET($DS$3,0,0,'Données projet'!$E$14+1,1))-AVERAGE(OFFSET($H$3,0,0,'Données projet'!$E$14+1,1))</f>
        <v>312.06797204903796</v>
      </c>
      <c r="DU4" s="61">
        <f>$DU$3</f>
        <v>258.20189001775151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0.98571428571428577</v>
      </c>
      <c r="EJ4" s="13">
        <f>IF('Données projet'!$A$192&gt;35,EJ3+EI4-ER3,IF(A4&lt;'Données projet'!$A$192,$EG$205^A4,IF(A4='Données projet'!$A$192,'Données projet'!$B$192,EJ3+EI4-ER3)))</f>
        <v>1.3177577661506878</v>
      </c>
      <c r="EK4" s="18">
        <f>EJ4*VLOOKUP('Données projet'!$B$15,Paramètres!$A$1:$I$89,3,0)*VLOOKUP('Données projet'!$B$15,Paramètres!$A$1:$I$89,5,0)</f>
        <v>1.0689650999014382</v>
      </c>
      <c r="EL4" s="14">
        <f>EXP(-1.0587+0.8836*LN(EK4)+0.284)</f>
        <v>0.48881467627472247</v>
      </c>
      <c r="EM4" s="22">
        <f t="shared" ref="EM4:EM67" si="19">(EK4+EL4)*0.475*44/12</f>
        <v>2.7131331101734797</v>
      </c>
      <c r="EN4" s="61">
        <f t="shared" ref="EN4:EN67" si="20">EM4+(EE4+EF4)*44/12</f>
        <v>260.60202199906234</v>
      </c>
      <c r="EO4" s="61">
        <f ca="1">AVERAGE(OFFSET($EN$3,0,0,'Données projet'!$E$15+1,1))-AVERAGE(OFFSET($H$3,0,0,'Données projet'!$E$15+1,1))</f>
        <v>222.15256609836689</v>
      </c>
      <c r="EP4" s="61">
        <f>$EP$3</f>
        <v>221.10360210521077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2.6666666666666665</v>
      </c>
      <c r="FE4" s="13">
        <f>IF('Données projet'!$A$218&gt;35,FE3+FD4-FM3,IF(A4&lt;'Données projet'!$A$218,$FB$205^A4,IF(A4='Données projet'!$A$218,'Données projet'!$B$218,FE3+FD4-FM3)))</f>
        <v>1.2788040393997409</v>
      </c>
      <c r="FF4" s="18">
        <f>FE4*VLOOKUP('Données projet'!$B$16,Paramètres!$A$1:$I$89,3,0)*VLOOKUP('Données projet'!$B$16,Paramètres!$A$1:$I$89,5,0)</f>
        <v>0.99746715073179792</v>
      </c>
      <c r="FG4" s="14">
        <f>EXP(-1.0587+0.8836*LN(FF4)+0.284)</f>
        <v>0.45981048445793882</v>
      </c>
      <c r="FH4" s="22">
        <f t="shared" ref="FH4:FH67" si="22">(FF4+FG4)*0.475*44/12</f>
        <v>2.5380918812887914</v>
      </c>
      <c r="FI4" s="61">
        <f t="shared" ref="FI4:FI67" si="23">FH4+(EZ4+FA4)*44/12</f>
        <v>260.42698077017764</v>
      </c>
      <c r="FJ4" s="61">
        <f ca="1">AVERAGE(OFFSET($FI$3,0,0,'Données projet'!$E$16+1,1))-AVERAGE(OFFSET($H$3,0,0,'Données projet'!$E$16+1,1))</f>
        <v>292.57482726862594</v>
      </c>
      <c r="FK4" s="61">
        <f>$FK$3</f>
        <v>283.48738729114024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2.1</v>
      </c>
      <c r="FZ4" s="13">
        <f>IF('Données projet'!$A$244&gt;35,FZ3+FY4-GH3,IF(A4&lt;'Données projet'!$A$244,$FW$205^A4,IF(A4='Données projet'!$A$244,'Données projet'!$B$244,FZ3+FY4-GH3)))</f>
        <v>1.2054868146447177</v>
      </c>
      <c r="GA4" s="18">
        <f>FZ4*VLOOKUP('Données projet'!$B$17,Paramètres!$A$1:$I$89,3,0)*VLOOKUP('Données projet'!$B$17,Paramètres!$A$1:$I$89,5,0)</f>
        <v>1.165946847124371</v>
      </c>
      <c r="GB4" s="14">
        <f>EXP(-1.0587+0.8836*LN(GA4)+0.284)</f>
        <v>0.52780002987456354</v>
      </c>
      <c r="GC4" s="22">
        <f t="shared" ref="GC4:GC67" si="25">(GA4+GB4)*0.475*44/12</f>
        <v>2.9499424774398109</v>
      </c>
      <c r="GD4" s="61">
        <f t="shared" ref="GD4:GD67" si="26">GC4+(FU4+FV4)*44/12</f>
        <v>260.83883136632869</v>
      </c>
      <c r="GE4" s="61">
        <f ca="1">AVERAGE(OFFSET($GD$3,0,0,'Données projet'!$E$17+1,1))-AVERAGE(OFFSET($H$3,0,0,'Données projet'!$E$17+1,1))</f>
        <v>455.50822833641354</v>
      </c>
      <c r="GF4" s="61">
        <f>$GF$3</f>
        <v>261.14722581688039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2.1</v>
      </c>
      <c r="GU4" s="13">
        <f>IF('Données projet'!$A$270&gt;35,GU3+GT4-HC3,IF(A4&lt;'Données projet'!$A$270,$GR$205^A4,IF(A4='Données projet'!$A$270,'Données projet'!$B$270,GU3+GT4-HC3)))</f>
        <v>1.2054868146447177</v>
      </c>
      <c r="GV4" s="18">
        <f>GU4*VLOOKUP('Données projet'!$B$18,Paramètres!$A$1:$I$89,3,0)*VLOOKUP('Données projet'!$B$18,Paramètres!$A$1:$I$89,5,0)</f>
        <v>1.2975860072835741</v>
      </c>
      <c r="GW4" s="14">
        <f>EXP(-1.0587+0.8836*LN(GV4)+0.284)</f>
        <v>0.58012177912374829</v>
      </c>
      <c r="GX4" s="22">
        <f t="shared" ref="GX4:GX67" si="28">(GV4+GW4)*0.475*44/12</f>
        <v>3.2703410613260862</v>
      </c>
      <c r="GY4" s="61">
        <f t="shared" ref="GY4:GY67" si="29">GX4+(GP4+GQ4)*44/12</f>
        <v>261.15922995021492</v>
      </c>
      <c r="GZ4" s="61">
        <f ca="1">AVERAGE(OFFSET($GY$3,0,0,'Données projet'!$E$18+1,1))-AVERAGE(OFFSET($H$3,0,0,'Données projet'!$E$18+1,1))</f>
        <v>502.07782026233912</v>
      </c>
      <c r="HA4" s="61">
        <f>$HA$3</f>
        <v>285.83623046025156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1.3148539668633961</v>
      </c>
      <c r="P5" s="14">
        <f t="shared" ref="P5:P68" si="33">EXP(-1.0587+0.8836*LN(O5)+0.284)</f>
        <v>0.58693801963664449</v>
      </c>
      <c r="Q5" s="22">
        <f t="shared" si="2"/>
        <v>3.3122877098209038</v>
      </c>
      <c r="R5" s="61">
        <f t="shared" si="0"/>
        <v>262.42339882093205</v>
      </c>
      <c r="S5" s="61">
        <f ca="1">AVERAGE(OFFSET($R$3,0,0,'Données projet'!$E$9+1,1))-AVERAGE(OFFSET($H$3,0,0,'Données projet'!$E$9+1,1))</f>
        <v>428.8489304403459</v>
      </c>
      <c r="T5" s="61">
        <f t="shared" ref="T5:T68" si="34">$T$3</f>
        <v>247.01165577562966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1">
        <f t="shared" si="5"/>
        <v>262.80806344386446</v>
      </c>
      <c r="AN5" s="61">
        <f ca="1">AVERAGE(OFFSET($AM$3,0,0,'Données projet'!$E$10+1,1))-AVERAGE(OFFSET($H$3,0,0,'Données projet'!$E$10+1,1))</f>
        <v>475.47920969424894</v>
      </c>
      <c r="AO5" s="61">
        <f t="shared" ref="AO5:AO68" si="36">$AO$3</f>
        <v>271.73544012419364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10</v>
      </c>
      <c r="BD5" s="13">
        <f>IF('Données projet'!$A$88&gt;35,BD4+BC5-BL4,IF(A5&lt;'Données projet'!$A$88,$BA$205^A5,IF(A5='Données projet'!$A$88,'Données projet'!$B$88,BD4+BC5-BL4)))</f>
        <v>1.6640399262616805</v>
      </c>
      <c r="BE5" s="14">
        <f>BD5*VLOOKUP('Données projet'!$B$11,Paramètres!$A$1:$I$89,3,0)*VLOOKUP('Données projet'!$B$11,Paramètres!$A$1:$I$89,5,0)</f>
        <v>0.93019831878027937</v>
      </c>
      <c r="BF5" s="14">
        <f t="shared" ref="BF5:BF68" si="37">EXP(-1.0587+0.8836*LN(BE5)+0.284)</f>
        <v>0.43230018467776149</v>
      </c>
      <c r="BG5" s="22">
        <f t="shared" si="7"/>
        <v>2.3730182268560873</v>
      </c>
      <c r="BH5" s="61">
        <f t="shared" si="8"/>
        <v>261.4841293379672</v>
      </c>
      <c r="BI5" s="61">
        <f ca="1">AVERAGE(OFFSET($BH$3,0,0,'Données projet'!$E$11+1,1))-AVERAGE(OFFSET($H$3,0,0,'Données projet'!$E$11+1,1))</f>
        <v>374.79806286316051</v>
      </c>
      <c r="BJ5" s="61">
        <f t="shared" ref="BJ5:BJ68" si="38">$BJ$3</f>
        <v>350.01856672839466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4.9084615384615384</v>
      </c>
      <c r="BY5" s="13">
        <f>IF('Données projet'!$A$114&gt;35,BY4+BX5-CG4,IF(A5&lt;'Données projet'!$A$114,$BV$205^A5,IF(A5='Données projet'!$A$114,'Données projet'!$B$114,BY4+BX5-CG4)))</f>
        <v>1.3948829842152777</v>
      </c>
      <c r="BZ5" s="14">
        <f>BY5*VLOOKUP('Données projet'!$B$12,Paramètres!$A$1:$I$89,3,0)*VLOOKUP('Données projet'!$B$12,Paramètres!$A$1:$I$89,5,0)</f>
        <v>0.65280523661274992</v>
      </c>
      <c r="CA5" s="14">
        <f t="shared" ref="CA5:CA68" si="39">EXP(-1.0587+0.8836*LN(BZ5)+0.284)</f>
        <v>0.31615123301372139</v>
      </c>
      <c r="CB5" s="22">
        <f t="shared" si="10"/>
        <v>1.6875991845994376</v>
      </c>
      <c r="CC5" s="61">
        <f t="shared" si="11"/>
        <v>260.79871029571058</v>
      </c>
      <c r="CD5" s="61">
        <f ca="1">AVERAGE(OFFSET($CC$3,0,0,'Données projet'!$E$12+1,1))-AVERAGE(OFFSET($H$3,0,0,'Données projet'!$E$12+1,1))</f>
        <v>285.59863510278109</v>
      </c>
      <c r="CE5" s="61">
        <f t="shared" ref="CE5:CE68" si="40">$CE$3</f>
        <v>190.4880882944471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3.7333333333333334</v>
      </c>
      <c r="CT5" s="13">
        <f>IF('Données projet'!$A$140&gt;35,CT4+CS5-DB4,IF(A5&lt;'Données projet'!$A$140,$CQ$205^A5,IF(A5='Données projet'!$A$140,'Données projet'!$B$140,CT4+CS5-DB4)))</f>
        <v>1.369665557492572</v>
      </c>
      <c r="CU5" s="18">
        <f>CT5*VLOOKUP('Données projet'!$B$13,Paramètres!$A$1:$I$89,3,0)*VLOOKUP('Données projet'!$B$13,Paramètres!$A$1:$I$89,5,0)</f>
        <v>0.6588091331539272</v>
      </c>
      <c r="CV5" s="14">
        <f t="shared" ref="CV5:CV68" si="41">EXP(-1.0587+0.8836*LN(CU5)+0.284)</f>
        <v>0.31871907575195652</v>
      </c>
      <c r="CW5" s="22">
        <f t="shared" si="13"/>
        <v>1.7025282971777473</v>
      </c>
      <c r="CX5" s="61">
        <f t="shared" si="14"/>
        <v>260.81363940828891</v>
      </c>
      <c r="CY5" s="61">
        <f ca="1">AVERAGE(OFFSET($CX$3,0,0,'Données projet'!$E$13+1,1))-AVERAGE(OFFSET($H$3,0,0,'Données projet'!$E$13+1,1))</f>
        <v>273.72618036666552</v>
      </c>
      <c r="CZ5" s="61">
        <f t="shared" ref="CZ5:CZ68" si="42">$CZ$3</f>
        <v>157.67999791700714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3.3333333333333335</v>
      </c>
      <c r="DO5" s="13">
        <f>IF('Données projet'!$A$166&gt;35,DO4+DN5-DW4,IF(A5&lt;'Données projet'!$A$166,$DL$205^A5,IF(A5='Données projet'!$A$166,'Données projet'!$B$166,DO4+DN5-DW4)))</f>
        <v>1.6847262157876479</v>
      </c>
      <c r="DP5" s="18">
        <f>DO5*VLOOKUP('Données projet'!$B$14,Paramètres!$A$1:$I$89,3,0)*VLOOKUP('Données projet'!$B$14,Paramètres!$A$1:$I$89,5,0)</f>
        <v>1.1301143455503542</v>
      </c>
      <c r="DQ5" s="14">
        <f t="shared" ref="DQ5:DQ68" si="43">EXP(-1.0587+0.8836*LN(DP5)+0.284)</f>
        <v>0.5134415452108555</v>
      </c>
      <c r="DR5" s="22">
        <f t="shared" si="16"/>
        <v>2.8625265097424397</v>
      </c>
      <c r="DS5" s="61">
        <f t="shared" si="17"/>
        <v>261.97363762085359</v>
      </c>
      <c r="DT5" s="61">
        <f ca="1">AVERAGE(OFFSET($DS$3,0,0,'Données projet'!$E$14+1,1))-AVERAGE(OFFSET($H$3,0,0,'Données projet'!$E$14+1,1))</f>
        <v>312.06797204903796</v>
      </c>
      <c r="DU5" s="61">
        <f t="shared" ref="DU5:DU68" si="44">$DU$3</f>
        <v>258.20189001775151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0.98571428571428577</v>
      </c>
      <c r="EJ5" s="13">
        <f>IF('Données projet'!$A$192&gt;35,EJ4+EI5-ER4,IF(A5&lt;'Données projet'!$A$192,$EG$205^A5,IF(A5='Données projet'!$A$192,'Données projet'!$B$192,EJ4+EI5-ER4)))</f>
        <v>1.7364855302504509</v>
      </c>
      <c r="EK5" s="18">
        <f>EJ5*VLOOKUP('Données projet'!$B$15,Paramètres!$A$1:$I$89,3,0)*VLOOKUP('Données projet'!$B$15,Paramètres!$A$1:$I$89,5,0)</f>
        <v>1.408637062139166</v>
      </c>
      <c r="EL5" s="14">
        <f t="shared" ref="EL5:EL68" si="45">EXP(-1.0587+0.8836*LN(EK5)+0.284)</f>
        <v>0.62377930067279719</v>
      </c>
      <c r="EM5" s="22">
        <f t="shared" si="19"/>
        <v>3.5397918318975026</v>
      </c>
      <c r="EN5" s="61">
        <f t="shared" si="20"/>
        <v>262.65090294300865</v>
      </c>
      <c r="EO5" s="61">
        <f ca="1">AVERAGE(OFFSET($EN$3,0,0,'Données projet'!$E$15+1,1))-AVERAGE(OFFSET($H$3,0,0,'Données projet'!$E$15+1,1))</f>
        <v>222.15256609836689</v>
      </c>
      <c r="EP5" s="61">
        <f t="shared" ref="EP5:EP68" si="46">$EP$3</f>
        <v>221.10360210521077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2.6666666666666665</v>
      </c>
      <c r="FE5" s="13">
        <f>IF('Données projet'!$A$218&gt;35,FE4+FD5-FM4,IF(A5&lt;'Données projet'!$A$218,$FB$205^A5,IF(A5='Données projet'!$A$218,'Données projet'!$B$218,FE4+FD5-FM4)))</f>
        <v>1.6353397711850939</v>
      </c>
      <c r="FF5" s="18">
        <f>FE5*VLOOKUP('Données projet'!$B$16,Paramètres!$A$1:$I$89,3,0)*VLOOKUP('Données projet'!$B$16,Paramètres!$A$1:$I$89,5,0)</f>
        <v>1.2755650215243732</v>
      </c>
      <c r="FG5" s="14">
        <f t="shared" ref="FG5:FG68" si="47">EXP(-1.0587+0.8836*LN(FF5)+0.284)</f>
        <v>0.57141400910743001</v>
      </c>
      <c r="FH5" s="22">
        <f t="shared" si="22"/>
        <v>3.2168218116837237</v>
      </c>
      <c r="FI5" s="61">
        <f t="shared" si="23"/>
        <v>262.32793292279484</v>
      </c>
      <c r="FJ5" s="61">
        <f ca="1">AVERAGE(OFFSET($FI$3,0,0,'Données projet'!$E$16+1,1))-AVERAGE(OFFSET($H$3,0,0,'Données projet'!$E$16+1,1))</f>
        <v>292.57482726862594</v>
      </c>
      <c r="FK5" s="61">
        <f t="shared" ref="FK5:FK68" si="48">$FK$3</f>
        <v>283.48738729114024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2.1</v>
      </c>
      <c r="FZ5" s="13">
        <f>IF('Données projet'!$A$244&gt;35,FZ4+FY5-GH4,IF(A5&lt;'Données projet'!$A$244,$FW$205^A5,IF(A5='Données projet'!$A$244,'Données projet'!$B$244,FZ4+FY5-GH4)))</f>
        <v>1.4531984602822681</v>
      </c>
      <c r="GA5" s="18">
        <f>FZ5*VLOOKUP('Données projet'!$B$17,Paramètres!$A$1:$I$89,3,0)*VLOOKUP('Données projet'!$B$17,Paramètres!$A$1:$I$89,5,0)</f>
        <v>1.4055335507850097</v>
      </c>
      <c r="GB5" s="14">
        <f t="shared" ref="GB5:GB68" si="49">EXP(-1.0587+0.8836*LN(GA5)+0.284)</f>
        <v>0.62256480317525631</v>
      </c>
      <c r="GC5" s="22">
        <f t="shared" si="25"/>
        <v>3.5322712998141292</v>
      </c>
      <c r="GD5" s="61">
        <f t="shared" si="26"/>
        <v>262.64338241092526</v>
      </c>
      <c r="GE5" s="61">
        <f ca="1">AVERAGE(OFFSET($GD$3,0,0,'Données projet'!$E$17+1,1))-AVERAGE(OFFSET($H$3,0,0,'Données projet'!$E$17+1,1))</f>
        <v>455.50822833641354</v>
      </c>
      <c r="GF5" s="61">
        <f t="shared" ref="GF5:GF68" si="50">$GF$3</f>
        <v>261.14722581688039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2.1</v>
      </c>
      <c r="GU5" s="13">
        <f>IF('Données projet'!$A$270&gt;35,GU4+GT5-HC4,IF(A5&lt;'Données projet'!$A$270,$GR$205^A5,IF(A5='Données projet'!$A$270,'Données projet'!$B$270,GU4+GT5-HC4)))</f>
        <v>1.4531984602822681</v>
      </c>
      <c r="GV5" s="18">
        <f>GU5*VLOOKUP('Données projet'!$B$18,Paramètres!$A$1:$I$89,3,0)*VLOOKUP('Données projet'!$B$18,Paramètres!$A$1:$I$89,5,0)</f>
        <v>1.5642228226478332</v>
      </c>
      <c r="GW5" s="14">
        <f t="shared" ref="GW5:GW68" si="51">EXP(-1.0587+0.8836*LN(GV5)+0.284)</f>
        <v>0.68428075179095682</v>
      </c>
      <c r="GX5" s="22">
        <f t="shared" si="28"/>
        <v>3.9161437254808931</v>
      </c>
      <c r="GY5" s="61">
        <f t="shared" si="29"/>
        <v>263.02725483659202</v>
      </c>
      <c r="GZ5" s="61">
        <f ca="1">AVERAGE(OFFSET($GY$3,0,0,'Données projet'!$E$18+1,1))-AVERAGE(OFFSET($H$3,0,0,'Données projet'!$E$18+1,1))</f>
        <v>502.07782026233912</v>
      </c>
      <c r="HA5" s="61">
        <f t="shared" ref="HA5:HA68" si="52">$HA$3</f>
        <v>285.83623046025156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1.5850391202371266</v>
      </c>
      <c r="P6" s="14">
        <f t="shared" si="33"/>
        <v>0.69232082604846479</v>
      </c>
      <c r="Q6" s="22">
        <f t="shared" si="2"/>
        <v>3.966401906447405</v>
      </c>
      <c r="R6" s="61">
        <f t="shared" si="0"/>
        <v>264.29973523978072</v>
      </c>
      <c r="S6" s="61">
        <f ca="1">AVERAGE(OFFSET($R$3,0,0,'Données projet'!$E$9+1,1))-AVERAGE(OFFSET($H$3,0,0,'Données projet'!$E$9+1,1))</f>
        <v>428.8489304403459</v>
      </c>
      <c r="T6" s="61">
        <f t="shared" si="34"/>
        <v>247.01165577562966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1">
        <f t="shared" si="5"/>
        <v>264.76063455825545</v>
      </c>
      <c r="AN6" s="61">
        <f ca="1">AVERAGE(OFFSET($AM$3,0,0,'Données projet'!$E$10+1,1))-AVERAGE(OFFSET($H$3,0,0,'Données projet'!$E$10+1,1))</f>
        <v>475.47920969424894</v>
      </c>
      <c r="AO6" s="61">
        <f t="shared" si="36"/>
        <v>271.73544012419364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10</v>
      </c>
      <c r="BD6" s="13">
        <f>IF('Données projet'!$A$88&gt;35,BD5+BC6-BL5,IF(A6&lt;'Données projet'!$A$88,$BA$205^A6,IF(A6='Données projet'!$A$88,'Données projet'!$B$88,BD5+BC6-BL5)))</f>
        <v>2.1465727583654437</v>
      </c>
      <c r="BE6" s="14">
        <f>BD6*VLOOKUP('Données projet'!$B$11,Paramètres!$A$1:$I$89,3,0)*VLOOKUP('Données projet'!$B$11,Paramètres!$A$1:$I$89,5,0)</f>
        <v>1.199934171926283</v>
      </c>
      <c r="BF6" s="14">
        <f t="shared" si="37"/>
        <v>0.54137171618945512</v>
      </c>
      <c r="BG6" s="22">
        <f t="shared" si="7"/>
        <v>3.0327744218015771</v>
      </c>
      <c r="BH6" s="61">
        <f t="shared" si="8"/>
        <v>263.36610775513492</v>
      </c>
      <c r="BI6" s="61">
        <f ca="1">AVERAGE(OFFSET($BH$3,0,0,'Données projet'!$E$11+1,1))-AVERAGE(OFFSET($H$3,0,0,'Données projet'!$E$11+1,1))</f>
        <v>374.79806286316051</v>
      </c>
      <c r="BJ6" s="61">
        <f t="shared" si="38"/>
        <v>350.01856672839466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4.9084615384615384</v>
      </c>
      <c r="BY6" s="13">
        <f>IF('Données projet'!$A$114&gt;35,BY5+BX6-CG5,IF(A6&lt;'Données projet'!$A$114,$BV$205^A6,IF(A6='Données projet'!$A$114,'Données projet'!$B$114,BY5+BX6-CG5)))</f>
        <v>1.6474288407621522</v>
      </c>
      <c r="BZ6" s="14">
        <f>BY6*VLOOKUP('Données projet'!$B$12,Paramètres!$A$1:$I$89,3,0)*VLOOKUP('Données projet'!$B$12,Paramètres!$A$1:$I$89,5,0)</f>
        <v>0.7709966974766872</v>
      </c>
      <c r="CA6" s="14">
        <f t="shared" si="39"/>
        <v>0.36622810482944673</v>
      </c>
      <c r="CB6" s="22">
        <f t="shared" si="10"/>
        <v>1.9806665306831832</v>
      </c>
      <c r="CC6" s="61">
        <f t="shared" si="11"/>
        <v>262.31399986401652</v>
      </c>
      <c r="CD6" s="61">
        <f ca="1">AVERAGE(OFFSET($CC$3,0,0,'Données projet'!$E$12+1,1))-AVERAGE(OFFSET($H$3,0,0,'Données projet'!$E$12+1,1))</f>
        <v>285.59863510278109</v>
      </c>
      <c r="CE6" s="61">
        <f t="shared" si="40"/>
        <v>190.4880882944471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3.7333333333333334</v>
      </c>
      <c r="CT6" s="13">
        <f>IF('Données projet'!$A$140&gt;35,CT5+CS6-DB5,IF(A6&lt;'Données projet'!$A$140,$CQ$205^A6,IF(A6='Données projet'!$A$140,'Données projet'!$B$140,CT5+CS6-DB5)))</f>
        <v>1.6029567412275596</v>
      </c>
      <c r="CU6" s="18">
        <f>CT6*VLOOKUP('Données projet'!$B$13,Paramètres!$A$1:$I$89,3,0)*VLOOKUP('Données projet'!$B$13,Paramètres!$A$1:$I$89,5,0)</f>
        <v>0.77102219253045623</v>
      </c>
      <c r="CV6" s="14">
        <f t="shared" si="41"/>
        <v>0.36623880547442444</v>
      </c>
      <c r="CW6" s="22">
        <f t="shared" si="13"/>
        <v>1.9807295715251672</v>
      </c>
      <c r="CX6" s="61">
        <f t="shared" si="14"/>
        <v>262.31406290485847</v>
      </c>
      <c r="CY6" s="61">
        <f ca="1">AVERAGE(OFFSET($CX$3,0,0,'Données projet'!$E$13+1,1))-AVERAGE(OFFSET($H$3,0,0,'Données projet'!$E$13+1,1))</f>
        <v>273.72618036666552</v>
      </c>
      <c r="CZ6" s="61">
        <f t="shared" si="42"/>
        <v>157.67999791700714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3.3333333333333335</v>
      </c>
      <c r="DO6" s="13">
        <f>IF('Données projet'!$A$166&gt;35,DO5+DN6-DW5,IF(A6&lt;'Données projet'!$A$166,$DL$205^A6,IF(A6='Données projet'!$A$166,'Données projet'!$B$166,DO5+DN6-DW5)))</f>
        <v>2.1867241478865562</v>
      </c>
      <c r="DP6" s="18">
        <f>DO6*VLOOKUP('Données projet'!$B$14,Paramètres!$A$1:$I$89,3,0)*VLOOKUP('Données projet'!$B$14,Paramètres!$A$1:$I$89,5,0)</f>
        <v>1.4668545584023018</v>
      </c>
      <c r="DQ6" s="14">
        <f t="shared" si="43"/>
        <v>0.64650467023192038</v>
      </c>
      <c r="DR6" s="22">
        <f t="shared" si="16"/>
        <v>3.6807673232046039</v>
      </c>
      <c r="DS6" s="61">
        <f t="shared" si="17"/>
        <v>264.01410065653789</v>
      </c>
      <c r="DT6" s="61">
        <f ca="1">AVERAGE(OFFSET($DS$3,0,0,'Données projet'!$E$14+1,1))-AVERAGE(OFFSET($H$3,0,0,'Données projet'!$E$14+1,1))</f>
        <v>312.06797204903796</v>
      </c>
      <c r="DU6" s="61">
        <f t="shared" si="44"/>
        <v>258.20189001775151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0.98571428571428577</v>
      </c>
      <c r="EJ6" s="13">
        <f>IF('Données projet'!$A$192&gt;35,EJ5+EI6-ER5,IF(A6&lt;'Données projet'!$A$192,$EG$205^A6,IF(A6='Données projet'!$A$192,'Données projet'!$B$192,EJ5+EI6-ER5)))</f>
        <v>2.288267293295827</v>
      </c>
      <c r="EK6" s="18">
        <f>EJ6*VLOOKUP('Données projet'!$B$15,Paramètres!$A$1:$I$89,3,0)*VLOOKUP('Données projet'!$B$15,Paramètres!$A$1:$I$89,5,0)</f>
        <v>1.856242428321575</v>
      </c>
      <c r="EL6" s="14">
        <f t="shared" si="45"/>
        <v>0.7960084564424218</v>
      </c>
      <c r="EM6" s="22">
        <f t="shared" si="19"/>
        <v>4.6193369576306278</v>
      </c>
      <c r="EN6" s="61">
        <f t="shared" si="20"/>
        <v>264.95267029096397</v>
      </c>
      <c r="EO6" s="61">
        <f ca="1">AVERAGE(OFFSET($EN$3,0,0,'Données projet'!$E$15+1,1))-AVERAGE(OFFSET($H$3,0,0,'Données projet'!$E$15+1,1))</f>
        <v>222.15256609836689</v>
      </c>
      <c r="EP6" s="61">
        <f t="shared" si="46"/>
        <v>221.10360210521077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2.6666666666666665</v>
      </c>
      <c r="FE6" s="13">
        <f>IF('Données projet'!$A$218&gt;35,FE5+FD6-FM5,IF(A6&lt;'Données projet'!$A$218,$FB$205^A6,IF(A6='Données projet'!$A$218,'Données projet'!$B$218,FE5+FD6-FM5)))</f>
        <v>2.0912791051825459</v>
      </c>
      <c r="FF6" s="18">
        <f>FE6*VLOOKUP('Données projet'!$B$16,Paramètres!$A$1:$I$89,3,0)*VLOOKUP('Données projet'!$B$16,Paramètres!$A$1:$I$89,5,0)</f>
        <v>1.6311977020423858</v>
      </c>
      <c r="FG6" s="14">
        <f t="shared" si="47"/>
        <v>0.71010553443370616</v>
      </c>
      <c r="FH6" s="22">
        <f t="shared" si="22"/>
        <v>4.0777698035291934</v>
      </c>
      <c r="FI6" s="61">
        <f t="shared" si="23"/>
        <v>264.41110313686249</v>
      </c>
      <c r="FJ6" s="61">
        <f ca="1">AVERAGE(OFFSET($FI$3,0,0,'Données projet'!$E$16+1,1))-AVERAGE(OFFSET($H$3,0,0,'Données projet'!$E$16+1,1))</f>
        <v>292.57482726862594</v>
      </c>
      <c r="FK6" s="61">
        <f t="shared" si="48"/>
        <v>283.48738729114024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2.1</v>
      </c>
      <c r="FZ6" s="13">
        <f>IF('Données projet'!$A$244&gt;35,FZ5+FY6-GH5,IF(A6&lt;'Données projet'!$A$244,$FW$205^A6,IF(A6='Données projet'!$A$244,'Données projet'!$B$244,FZ5+FY6-GH5)))</f>
        <v>1.7518115829322798</v>
      </c>
      <c r="GA6" s="18">
        <f>FZ6*VLOOKUP('Données projet'!$B$17,Paramètres!$A$1:$I$89,3,0)*VLOOKUP('Données projet'!$B$17,Paramètres!$A$1:$I$89,5,0)</f>
        <v>1.694352163012101</v>
      </c>
      <c r="GB6" s="14">
        <f t="shared" si="49"/>
        <v>0.73434428233124405</v>
      </c>
      <c r="GC6" s="22">
        <f t="shared" si="25"/>
        <v>4.2299796423063247</v>
      </c>
      <c r="GD6" s="61">
        <f t="shared" si="26"/>
        <v>264.56331297563963</v>
      </c>
      <c r="GE6" s="61">
        <f ca="1">AVERAGE(OFFSET($GD$3,0,0,'Données projet'!$E$17+1,1))-AVERAGE(OFFSET($H$3,0,0,'Données projet'!$E$17+1,1))</f>
        <v>455.50822833641354</v>
      </c>
      <c r="GF6" s="61">
        <f t="shared" si="50"/>
        <v>261.14722581688039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2.1</v>
      </c>
      <c r="GU6" s="13">
        <f>IF('Données projet'!$A$270&gt;35,GU5+GT6-HC5,IF(A6&lt;'Données projet'!$A$270,$GR$205^A6,IF(A6='Données projet'!$A$270,'Données projet'!$B$270,GU5+GT6-HC5)))</f>
        <v>1.7518115829322798</v>
      </c>
      <c r="GV6" s="18">
        <f>GU6*VLOOKUP('Données projet'!$B$18,Paramètres!$A$1:$I$89,3,0)*VLOOKUP('Données projet'!$B$18,Paramètres!$A$1:$I$89,5,0)</f>
        <v>1.885649987868306</v>
      </c>
      <c r="GW6" s="14">
        <f t="shared" si="51"/>
        <v>0.8071411281590839</v>
      </c>
      <c r="GX6" s="22">
        <f t="shared" si="28"/>
        <v>4.6899445270810372</v>
      </c>
      <c r="GY6" s="61">
        <f t="shared" si="29"/>
        <v>265.02327786041434</v>
      </c>
      <c r="GZ6" s="61">
        <f ca="1">AVERAGE(OFFSET($GY$3,0,0,'Données projet'!$E$18+1,1))-AVERAGE(OFFSET($H$3,0,0,'Données projet'!$E$18+1,1))</f>
        <v>502.07782026233912</v>
      </c>
      <c r="HA6" s="61">
        <f t="shared" si="52"/>
        <v>285.83623046025156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1.9107437601419195</v>
      </c>
      <c r="P7" s="14">
        <f t="shared" si="33"/>
        <v>0.81662477151702284</v>
      </c>
      <c r="Q7" s="22">
        <f t="shared" si="2"/>
        <v>4.7501668593059909</v>
      </c>
      <c r="R7" s="61">
        <f t="shared" si="0"/>
        <v>266.30572241486152</v>
      </c>
      <c r="S7" s="61">
        <f ca="1">AVERAGE(OFFSET($R$3,0,0,'Données projet'!$E$9+1,1))-AVERAGE(OFFSET($H$3,0,0,'Données projet'!$E$9+1,1))</f>
        <v>428.8489304403459</v>
      </c>
      <c r="T7" s="61">
        <f t="shared" si="34"/>
        <v>247.01165577562966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1">
        <f t="shared" si="5"/>
        <v>266.8580173405054</v>
      </c>
      <c r="AN7" s="61">
        <f ca="1">AVERAGE(OFFSET($AM$3,0,0,'Données projet'!$E$10+1,1))-AVERAGE(OFFSET($H$3,0,0,'Données projet'!$E$10+1,1))</f>
        <v>475.47920969424894</v>
      </c>
      <c r="AO7" s="61">
        <f t="shared" si="36"/>
        <v>271.73544012419364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10</v>
      </c>
      <c r="BD7" s="13">
        <f>IF('Données projet'!$A$88&gt;35,BD6+BC7-BL6,IF(A7&lt;'Données projet'!$A$88,$BA$205^A7,IF(A7='Données projet'!$A$88,'Données projet'!$B$88,BD6+BC7-BL6)))</f>
        <v>2.7690288761929791</v>
      </c>
      <c r="BE7" s="14">
        <f>BD7*VLOOKUP('Données projet'!$B$11,Paramètres!$A$1:$I$89,3,0)*VLOOKUP('Données projet'!$B$11,Paramètres!$A$1:$I$89,5,0)</f>
        <v>1.5478871417918754</v>
      </c>
      <c r="BF7" s="14">
        <f t="shared" si="37"/>
        <v>0.67796254889037699</v>
      </c>
      <c r="BG7" s="22">
        <f t="shared" si="7"/>
        <v>3.8766882112715897</v>
      </c>
      <c r="BH7" s="61">
        <f t="shared" si="8"/>
        <v>265.43224376682713</v>
      </c>
      <c r="BI7" s="61">
        <f ca="1">AVERAGE(OFFSET($BH$3,0,0,'Données projet'!$E$11+1,1))-AVERAGE(OFFSET($H$3,0,0,'Données projet'!$E$11+1,1))</f>
        <v>374.79806286316051</v>
      </c>
      <c r="BJ7" s="61">
        <f t="shared" si="38"/>
        <v>350.01856672839466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4.9084615384615384</v>
      </c>
      <c r="BY7" s="13">
        <f>IF('Données projet'!$A$114&gt;35,BY6+BX7-CG6,IF(A7&lt;'Données projet'!$A$114,$BV$205^A7,IF(A7='Données projet'!$A$114,'Données projet'!$B$114,BY6+BX7-CG6)))</f>
        <v>1.9456985396533186</v>
      </c>
      <c r="BZ7" s="14">
        <f>BY7*VLOOKUP('Données projet'!$B$12,Paramètres!$A$1:$I$89,3,0)*VLOOKUP('Données projet'!$B$12,Paramètres!$A$1:$I$89,5,0)</f>
        <v>0.91058691655775315</v>
      </c>
      <c r="CA7" s="14">
        <f t="shared" si="39"/>
        <v>0.42423691816235021</v>
      </c>
      <c r="CB7" s="22">
        <f t="shared" si="10"/>
        <v>2.32481817880418</v>
      </c>
      <c r="CC7" s="61">
        <f t="shared" si="11"/>
        <v>263.88037373435975</v>
      </c>
      <c r="CD7" s="61">
        <f ca="1">AVERAGE(OFFSET($CC$3,0,0,'Données projet'!$E$12+1,1))-AVERAGE(OFFSET($H$3,0,0,'Données projet'!$E$12+1,1))</f>
        <v>285.59863510278109</v>
      </c>
      <c r="CE7" s="61">
        <f t="shared" si="40"/>
        <v>190.4880882944471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3.7333333333333334</v>
      </c>
      <c r="CT7" s="13">
        <f>IF('Données projet'!$A$140&gt;35,CT6+CS7-DB6,IF(A7&lt;'Données projet'!$A$140,$CQ$205^A7,IF(A7='Données projet'!$A$140,'Données projet'!$B$140,CT6+CS7-DB6)))</f>
        <v>1.875983739381438</v>
      </c>
      <c r="CU7" s="18">
        <f>CT7*VLOOKUP('Données projet'!$B$13,Paramètres!$A$1:$I$89,3,0)*VLOOKUP('Données projet'!$B$13,Paramètres!$A$1:$I$89,5,0)</f>
        <v>0.90234817864247174</v>
      </c>
      <c r="CV7" s="14">
        <f t="shared" si="41"/>
        <v>0.42084353538889141</v>
      </c>
      <c r="CW7" s="22">
        <f t="shared" si="13"/>
        <v>2.3045589019379573</v>
      </c>
      <c r="CX7" s="61">
        <f t="shared" si="14"/>
        <v>263.86011445749352</v>
      </c>
      <c r="CY7" s="61">
        <f ca="1">AVERAGE(OFFSET($CX$3,0,0,'Données projet'!$E$13+1,1))-AVERAGE(OFFSET($H$3,0,0,'Données projet'!$E$13+1,1))</f>
        <v>273.72618036666552</v>
      </c>
      <c r="CZ7" s="61">
        <f t="shared" si="42"/>
        <v>157.67999791700714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3.3333333333333335</v>
      </c>
      <c r="DO7" s="13">
        <f>IF('Données projet'!$A$166&gt;35,DO6+DN7-DW6,IF(A7&lt;'Données projet'!$A$166,$DL$205^A7,IF(A7='Données projet'!$A$166,'Données projet'!$B$166,DO6+DN7-DW6)))</f>
        <v>2.8383024221621684</v>
      </c>
      <c r="DP7" s="18">
        <f>DO7*VLOOKUP('Données projet'!$B$14,Paramètres!$A$1:$I$89,3,0)*VLOOKUP('Données projet'!$B$14,Paramètres!$A$1:$I$89,5,0)</f>
        <v>1.9039332647863827</v>
      </c>
      <c r="DQ7" s="14">
        <f t="shared" si="43"/>
        <v>0.81405233474053373</v>
      </c>
      <c r="DR7" s="22">
        <f t="shared" si="16"/>
        <v>4.7338249191760466</v>
      </c>
      <c r="DS7" s="61">
        <f t="shared" si="17"/>
        <v>266.28938047473162</v>
      </c>
      <c r="DT7" s="61">
        <f ca="1">AVERAGE(OFFSET($DS$3,0,0,'Données projet'!$E$14+1,1))-AVERAGE(OFFSET($H$3,0,0,'Données projet'!$E$14+1,1))</f>
        <v>312.06797204903796</v>
      </c>
      <c r="DU7" s="61">
        <f t="shared" si="44"/>
        <v>258.20189001775151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0.98571428571428577</v>
      </c>
      <c r="EJ7" s="13">
        <f>IF('Données projet'!$A$192&gt;35,EJ6+EI7-ER6,IF(A7&lt;'Données projet'!$A$192,$EG$205^A7,IF(A7='Données projet'!$A$192,'Données projet'!$B$192,EJ6+EI7-ER6)))</f>
        <v>3.0153819967691899</v>
      </c>
      <c r="EK7" s="18">
        <f>EJ7*VLOOKUP('Données projet'!$B$15,Paramètres!$A$1:$I$89,3,0)*VLOOKUP('Données projet'!$B$15,Paramètres!$A$1:$I$89,5,0)</f>
        <v>2.4460778757791672</v>
      </c>
      <c r="EL7" s="14">
        <f t="shared" si="45"/>
        <v>1.0157911011866305</v>
      </c>
      <c r="EM7" s="22">
        <f t="shared" si="19"/>
        <v>6.0294218015487644</v>
      </c>
      <c r="EN7" s="61">
        <f t="shared" si="20"/>
        <v>267.58497735710432</v>
      </c>
      <c r="EO7" s="61">
        <f ca="1">AVERAGE(OFFSET($EN$3,0,0,'Données projet'!$E$15+1,1))-AVERAGE(OFFSET($H$3,0,0,'Données projet'!$E$15+1,1))</f>
        <v>222.15256609836689</v>
      </c>
      <c r="EP7" s="61">
        <f t="shared" si="46"/>
        <v>221.10360210521077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2.6666666666666665</v>
      </c>
      <c r="FE7" s="13">
        <f>IF('Données projet'!$A$218&gt;35,FE6+FD7-FM6,IF(A7&lt;'Données projet'!$A$218,$FB$205^A7,IF(A7='Données projet'!$A$218,'Données projet'!$B$218,FE6+FD7-FM6)))</f>
        <v>2.6743361672197152</v>
      </c>
      <c r="FF7" s="18">
        <f>FE7*VLOOKUP('Données projet'!$B$16,Paramètres!$A$1:$I$89,3,0)*VLOOKUP('Données projet'!$B$16,Paramètres!$A$1:$I$89,5,0)</f>
        <v>2.0859822104313781</v>
      </c>
      <c r="FG7" s="14">
        <f t="shared" si="47"/>
        <v>0.88245976121767966</v>
      </c>
      <c r="FH7" s="22">
        <f t="shared" si="22"/>
        <v>5.1700364339554419</v>
      </c>
      <c r="FI7" s="61">
        <f t="shared" si="23"/>
        <v>266.72559198951097</v>
      </c>
      <c r="FJ7" s="61">
        <f ca="1">AVERAGE(OFFSET($FI$3,0,0,'Données projet'!$E$16+1,1))-AVERAGE(OFFSET($H$3,0,0,'Données projet'!$E$16+1,1))</f>
        <v>292.57482726862594</v>
      </c>
      <c r="FK7" s="61">
        <f t="shared" si="48"/>
        <v>283.48738729114024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2.1</v>
      </c>
      <c r="FZ7" s="13">
        <f>IF('Données projet'!$A$244&gt;35,FZ6+FY7-GH6,IF(A7&lt;'Données projet'!$A$244,$FW$205^A7,IF(A7='Données projet'!$A$244,'Données projet'!$B$244,FZ6+FY7-GH6)))</f>
        <v>2.1117857649667546</v>
      </c>
      <c r="GA7" s="18">
        <f>FZ7*VLOOKUP('Données projet'!$B$17,Paramètres!$A$1:$I$89,3,0)*VLOOKUP('Données projet'!$B$17,Paramètres!$A$1:$I$89,5,0)</f>
        <v>2.042519191875845</v>
      </c>
      <c r="GB7" s="14">
        <f t="shared" si="49"/>
        <v>0.86619340226463792</v>
      </c>
      <c r="GC7" s="22">
        <f t="shared" si="25"/>
        <v>5.0660077681280073</v>
      </c>
      <c r="GD7" s="61">
        <f t="shared" si="26"/>
        <v>266.62156332368357</v>
      </c>
      <c r="GE7" s="61">
        <f ca="1">AVERAGE(OFFSET($GD$3,0,0,'Données projet'!$E$17+1,1))-AVERAGE(OFFSET($H$3,0,0,'Données projet'!$E$17+1,1))</f>
        <v>455.50822833641354</v>
      </c>
      <c r="GF7" s="61">
        <f t="shared" si="50"/>
        <v>261.14722581688039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2.1</v>
      </c>
      <c r="GU7" s="13">
        <f>IF('Données projet'!$A$270&gt;35,GU6+GT7-HC6,IF(A7&lt;'Données projet'!$A$270,$GR$205^A7,IF(A7='Données projet'!$A$270,'Données projet'!$B$270,GU6+GT7-HC6)))</f>
        <v>2.1117857649667546</v>
      </c>
      <c r="GV7" s="18">
        <f>GU7*VLOOKUP('Données projet'!$B$18,Paramètres!$A$1:$I$89,3,0)*VLOOKUP('Données projet'!$B$18,Paramètres!$A$1:$I$89,5,0)</f>
        <v>2.2731261974102144</v>
      </c>
      <c r="GW7" s="14">
        <f t="shared" si="51"/>
        <v>0.95206068424520052</v>
      </c>
      <c r="GX7" s="22">
        <f t="shared" si="28"/>
        <v>5.617200485549847</v>
      </c>
      <c r="GY7" s="61">
        <f t="shared" si="29"/>
        <v>267.1727560411054</v>
      </c>
      <c r="GZ7" s="61">
        <f ca="1">AVERAGE(OFFSET($GY$3,0,0,'Données projet'!$E$18+1,1))-AVERAGE(OFFSET($H$3,0,0,'Données projet'!$E$18+1,1))</f>
        <v>502.07782026233912</v>
      </c>
      <c r="HA7" s="61">
        <f t="shared" si="52"/>
        <v>285.83623046025156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2.3033764090157529</v>
      </c>
      <c r="P8" s="14">
        <f t="shared" si="33"/>
        <v>0.96324708482559218</v>
      </c>
      <c r="Q8" s="22">
        <f t="shared" si="2"/>
        <v>5.6893692517736758</v>
      </c>
      <c r="R8" s="61">
        <f t="shared" si="0"/>
        <v>268.46714702955143</v>
      </c>
      <c r="S8" s="61">
        <f ca="1">AVERAGE(OFFSET($R$3,0,0,'Données projet'!$E$9+1,1))-AVERAGE(OFFSET($H$3,0,0,'Données projet'!$E$9+1,1))</f>
        <v>428.8489304403459</v>
      </c>
      <c r="T8" s="61">
        <f t="shared" si="34"/>
        <v>247.01165577562966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1">
        <f t="shared" si="5"/>
        <v>269.12902329365244</v>
      </c>
      <c r="AN8" s="61">
        <f ca="1">AVERAGE(OFFSET($AM$3,0,0,'Données projet'!$E$10+1,1))-AVERAGE(OFFSET($H$3,0,0,'Données projet'!$E$10+1,1))</f>
        <v>475.47920969424894</v>
      </c>
      <c r="AO8" s="61">
        <f t="shared" si="36"/>
        <v>271.73544012419364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10</v>
      </c>
      <c r="BD8" s="13">
        <f>IF('Données projet'!$A$88&gt;35,BD7+BC8-BL7,IF(A8&lt;'Données projet'!$A$88,$BA$205^A8,IF(A8='Données projet'!$A$88,'Données projet'!$B$88,BD7+BC8-BL7)))</f>
        <v>3.5719827745457646</v>
      </c>
      <c r="BE8" s="14">
        <f>BD8*VLOOKUP('Données projet'!$B$11,Paramètres!$A$1:$I$89,3,0)*VLOOKUP('Données projet'!$B$11,Paramètres!$A$1:$I$89,5,0)</f>
        <v>1.9967383709710824</v>
      </c>
      <c r="BF8" s="14">
        <f t="shared" si="37"/>
        <v>0.84901594219430265</v>
      </c>
      <c r="BG8" s="22">
        <f t="shared" si="7"/>
        <v>4.9563554287630449</v>
      </c>
      <c r="BH8" s="61">
        <f t="shared" si="8"/>
        <v>267.73413320654083</v>
      </c>
      <c r="BI8" s="61">
        <f ca="1">AVERAGE(OFFSET($BH$3,0,0,'Données projet'!$E$11+1,1))-AVERAGE(OFFSET($H$3,0,0,'Données projet'!$E$11+1,1))</f>
        <v>374.79806286316051</v>
      </c>
      <c r="BJ8" s="61">
        <f t="shared" si="38"/>
        <v>350.01856672839466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4.9084615384615384</v>
      </c>
      <c r="BY8" s="13">
        <f>IF('Données projet'!$A$114&gt;35,BY7+BX8-CG7,IF(A8&lt;'Données projet'!$A$114,$BV$205^A8,IF(A8='Données projet'!$A$114,'Données projet'!$B$114,BY7+BX8-CG7)))</f>
        <v>2.2979704576846265</v>
      </c>
      <c r="BZ8" s="14">
        <f>BY8*VLOOKUP('Données projet'!$B$12,Paramètres!$A$1:$I$89,3,0)*VLOOKUP('Données projet'!$B$12,Paramètres!$A$1:$I$89,5,0)</f>
        <v>1.0754501741964051</v>
      </c>
      <c r="CA8" s="14">
        <f t="shared" si="39"/>
        <v>0.49143405532927165</v>
      </c>
      <c r="CB8" s="22">
        <f t="shared" si="10"/>
        <v>2.7289900330905534</v>
      </c>
      <c r="CC8" s="61">
        <f t="shared" si="11"/>
        <v>265.50676781086833</v>
      </c>
      <c r="CD8" s="61">
        <f ca="1">AVERAGE(OFFSET($CC$3,0,0,'Données projet'!$E$12+1,1))-AVERAGE(OFFSET($H$3,0,0,'Données projet'!$E$12+1,1))</f>
        <v>285.59863510278109</v>
      </c>
      <c r="CE8" s="61">
        <f t="shared" si="40"/>
        <v>190.4880882944471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3.7333333333333334</v>
      </c>
      <c r="CT8" s="13">
        <f>IF('Données projet'!$A$140&gt;35,CT7+CS8-DB7,IF(A8&lt;'Données projet'!$A$140,$CQ$205^A8,IF(A8='Données projet'!$A$140,'Données projet'!$B$140,CT7+CS8-DB7)))</f>
        <v>2.1955146386099216</v>
      </c>
      <c r="CU8" s="18">
        <f>CT8*VLOOKUP('Données projet'!$B$13,Paramètres!$A$1:$I$89,3,0)*VLOOKUP('Données projet'!$B$13,Paramètres!$A$1:$I$89,5,0)</f>
        <v>1.0560425411713723</v>
      </c>
      <c r="CV8" s="14">
        <f t="shared" si="41"/>
        <v>0.48358961047067195</v>
      </c>
      <c r="CW8" s="22">
        <f t="shared" si="13"/>
        <v>2.6815259974432273</v>
      </c>
      <c r="CX8" s="61">
        <f t="shared" si="14"/>
        <v>265.45930377522097</v>
      </c>
      <c r="CY8" s="61">
        <f ca="1">AVERAGE(OFFSET($CX$3,0,0,'Données projet'!$E$13+1,1))-AVERAGE(OFFSET($H$3,0,0,'Données projet'!$E$13+1,1))</f>
        <v>273.72618036666552</v>
      </c>
      <c r="CZ8" s="61">
        <f t="shared" si="42"/>
        <v>157.67999791700714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3.3333333333333335</v>
      </c>
      <c r="DO8" s="13">
        <f>IF('Données projet'!$A$166&gt;35,DO7+DN8-DW7,IF(A8&lt;'Données projet'!$A$166,$DL$205^A8,IF(A8='Données projet'!$A$166,'Données projet'!$B$166,DO7+DN8-DW7)))</f>
        <v>3.6840314986403868</v>
      </c>
      <c r="DP8" s="18">
        <f>DO8*VLOOKUP('Données projet'!$B$14,Paramètres!$A$1:$I$89,3,0)*VLOOKUP('Données projet'!$B$14,Paramètres!$A$1:$I$89,5,0)</f>
        <v>2.4712483292879717</v>
      </c>
      <c r="DQ8" s="14">
        <f t="shared" si="43"/>
        <v>1.0250215260762008</v>
      </c>
      <c r="DR8" s="22">
        <f t="shared" si="16"/>
        <v>6.0893366647592657</v>
      </c>
      <c r="DS8" s="61">
        <f t="shared" si="17"/>
        <v>268.86711444253706</v>
      </c>
      <c r="DT8" s="61">
        <f ca="1">AVERAGE(OFFSET($DS$3,0,0,'Données projet'!$E$14+1,1))-AVERAGE(OFFSET($H$3,0,0,'Données projet'!$E$14+1,1))</f>
        <v>312.06797204903796</v>
      </c>
      <c r="DU8" s="61">
        <f t="shared" si="44"/>
        <v>258.20189001775151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0.98571428571428577</v>
      </c>
      <c r="EJ8" s="13">
        <f>IF('Données projet'!$A$192&gt;35,EJ7+EI8-ER7,IF(A8&lt;'Données projet'!$A$192,$EG$205^A8,IF(A8='Données projet'!$A$192,'Données projet'!$B$192,EJ7+EI8-ER7)))</f>
        <v>3.9735430441535682</v>
      </c>
      <c r="EK8" s="18">
        <f>EJ8*VLOOKUP('Données projet'!$B$15,Paramètres!$A$1:$I$89,3,0)*VLOOKUP('Données projet'!$B$15,Paramètres!$A$1:$I$89,5,0)</f>
        <v>3.223338117417375</v>
      </c>
      <c r="EL8" s="14">
        <f t="shared" si="45"/>
        <v>1.2962570345816211</v>
      </c>
      <c r="EM8" s="22">
        <f t="shared" si="19"/>
        <v>7.8716282230649197</v>
      </c>
      <c r="EN8" s="61">
        <f t="shared" si="20"/>
        <v>270.6494060008427</v>
      </c>
      <c r="EO8" s="61">
        <f ca="1">AVERAGE(OFFSET($EN$3,0,0,'Données projet'!$E$15+1,1))-AVERAGE(OFFSET($H$3,0,0,'Données projet'!$E$15+1,1))</f>
        <v>222.15256609836689</v>
      </c>
      <c r="EP8" s="61">
        <f t="shared" si="46"/>
        <v>221.10360210521077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2.6666666666666665</v>
      </c>
      <c r="FE8" s="13">
        <f>IF('Données projet'!$A$218&gt;35,FE7+FD8-FM7,IF(A8&lt;'Données projet'!$A$218,$FB$205^A8,IF(A8='Données projet'!$A$218,'Données projet'!$B$218,FE7+FD8-FM7)))</f>
        <v>3.4199518933533928</v>
      </c>
      <c r="FF8" s="18">
        <f>FE8*VLOOKUP('Données projet'!$B$16,Paramètres!$A$1:$I$89,3,0)*VLOOKUP('Données projet'!$B$16,Paramètres!$A$1:$I$89,5,0)</f>
        <v>2.6675624768156463</v>
      </c>
      <c r="FG8" s="14">
        <f t="shared" si="47"/>
        <v>1.0966471776471767</v>
      </c>
      <c r="FH8" s="22">
        <f t="shared" si="22"/>
        <v>6.5559984815227494</v>
      </c>
      <c r="FI8" s="61">
        <f t="shared" si="23"/>
        <v>269.33377625930052</v>
      </c>
      <c r="FJ8" s="61">
        <f ca="1">AVERAGE(OFFSET($FI$3,0,0,'Données projet'!$E$16+1,1))-AVERAGE(OFFSET($H$3,0,0,'Données projet'!$E$16+1,1))</f>
        <v>292.57482726862594</v>
      </c>
      <c r="FK8" s="61">
        <f t="shared" si="48"/>
        <v>283.48738729114024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2.1</v>
      </c>
      <c r="FZ8" s="13">
        <f>IF('Données projet'!$A$244&gt;35,FZ7+FY8-GH7,IF(A8&lt;'Données projet'!$A$244,$FW$205^A8,IF(A8='Données projet'!$A$244,'Données projet'!$B$244,FZ7+FY8-GH7)))</f>
        <v>2.5457298950218314</v>
      </c>
      <c r="GA8" s="18">
        <f>FZ8*VLOOKUP('Données projet'!$B$17,Paramètres!$A$1:$I$89,3,0)*VLOOKUP('Données projet'!$B$17,Paramètres!$A$1:$I$89,5,0)</f>
        <v>2.4622299544651152</v>
      </c>
      <c r="GB8" s="14">
        <f t="shared" si="49"/>
        <v>1.021715601495419</v>
      </c>
      <c r="GC8" s="22">
        <f t="shared" si="25"/>
        <v>6.0678718432979295</v>
      </c>
      <c r="GD8" s="61">
        <f t="shared" si="26"/>
        <v>268.84564962107572</v>
      </c>
      <c r="GE8" s="61">
        <f ca="1">AVERAGE(OFFSET($GD$3,0,0,'Données projet'!$E$17+1,1))-AVERAGE(OFFSET($H$3,0,0,'Données projet'!$E$17+1,1))</f>
        <v>455.50822833641354</v>
      </c>
      <c r="GF8" s="61">
        <f t="shared" si="50"/>
        <v>261.14722581688039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2.1</v>
      </c>
      <c r="GU8" s="13">
        <f>IF('Données projet'!$A$270&gt;35,GU7+GT8-HC7,IF(A8&lt;'Données projet'!$A$270,$GR$205^A8,IF(A8='Données projet'!$A$270,'Données projet'!$B$270,GU7+GT8-HC7)))</f>
        <v>2.5457298950218314</v>
      </c>
      <c r="GV8" s="18">
        <f>GU8*VLOOKUP('Données projet'!$B$18,Paramètres!$A$1:$I$89,3,0)*VLOOKUP('Données projet'!$B$18,Paramètres!$A$1:$I$89,5,0)</f>
        <v>2.740223659001499</v>
      </c>
      <c r="GW8" s="14">
        <f t="shared" si="51"/>
        <v>1.1230000737947632</v>
      </c>
      <c r="GX8" s="22">
        <f t="shared" si="28"/>
        <v>6.7284480012868242</v>
      </c>
      <c r="GY8" s="61">
        <f t="shared" si="29"/>
        <v>269.50622577906461</v>
      </c>
      <c r="GZ8" s="61">
        <f ca="1">AVERAGE(OFFSET($GY$3,0,0,'Données projet'!$E$18+1,1))-AVERAGE(OFFSET($H$3,0,0,'Données projet'!$E$18+1,1))</f>
        <v>502.07782026233912</v>
      </c>
      <c r="HA8" s="61">
        <f t="shared" si="52"/>
        <v>285.83623046025156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2.7766898902321886</v>
      </c>
      <c r="P9" s="14">
        <f t="shared" si="33"/>
        <v>1.1361949561012803</v>
      </c>
      <c r="Q9" s="22">
        <f t="shared" si="2"/>
        <v>6.8149411073641248</v>
      </c>
      <c r="R9" s="61">
        <f t="shared" si="0"/>
        <v>270.81494110736412</v>
      </c>
      <c r="S9" s="61">
        <f ca="1">AVERAGE(OFFSET($R$3,0,0,'Données projet'!$E$9+1,1))-AVERAGE(OFFSET($H$3,0,0,'Données projet'!$E$9+1,1))</f>
        <v>428.8489304403459</v>
      </c>
      <c r="T9" s="61">
        <f t="shared" si="34"/>
        <v>247.01165577562966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1">
        <f t="shared" si="5"/>
        <v>271.60821456387049</v>
      </c>
      <c r="AN9" s="61">
        <f ca="1">AVERAGE(OFFSET($AM$3,0,0,'Données projet'!$E$10+1,1))-AVERAGE(OFFSET($H$3,0,0,'Données projet'!$E$10+1,1))</f>
        <v>475.47920969424894</v>
      </c>
      <c r="AO9" s="61">
        <f t="shared" si="36"/>
        <v>271.73544012419364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10</v>
      </c>
      <c r="BD9" s="13">
        <f>IF('Données projet'!$A$88&gt;35,BD8+BC9-BL8,IF(A9&lt;'Données projet'!$A$88,$BA$205^A9,IF(A9='Données projet'!$A$88,'Données projet'!$B$88,BD8+BC9-BL8)))</f>
        <v>4.607774606956629</v>
      </c>
      <c r="BE9" s="14">
        <f>BD9*VLOOKUP('Données projet'!$B$11,Paramètres!$A$1:$I$89,3,0)*VLOOKUP('Données projet'!$B$11,Paramètres!$A$1:$I$89,5,0)</f>
        <v>2.5757460052887557</v>
      </c>
      <c r="BF9" s="14">
        <f t="shared" si="37"/>
        <v>1.0632269751181105</v>
      </c>
      <c r="BG9" s="22">
        <f t="shared" si="7"/>
        <v>6.3378779408752912</v>
      </c>
      <c r="BH9" s="61">
        <f t="shared" si="8"/>
        <v>270.33787794087527</v>
      </c>
      <c r="BI9" s="61">
        <f ca="1">AVERAGE(OFFSET($BH$3,0,0,'Données projet'!$E$11+1,1))-AVERAGE(OFFSET($H$3,0,0,'Données projet'!$E$11+1,1))</f>
        <v>374.79806286316051</v>
      </c>
      <c r="BJ9" s="61">
        <f t="shared" si="38"/>
        <v>350.01856672839466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4.9084615384615384</v>
      </c>
      <c r="BY9" s="13">
        <f>IF('Données projet'!$A$114&gt;35,BY8+BX9-CG8,IF(A9&lt;'Données projet'!$A$114,$BV$205^A9,IF(A9='Données projet'!$A$114,'Données projet'!$B$114,BY8+BX9-CG8)))</f>
        <v>2.7140217853749289</v>
      </c>
      <c r="BZ9" s="14">
        <f>BY9*VLOOKUP('Données projet'!$B$12,Paramètres!$A$1:$I$89,3,0)*VLOOKUP('Données projet'!$B$12,Paramètres!$A$1:$I$89,5,0)</f>
        <v>1.2701621955554667</v>
      </c>
      <c r="CA9" s="14">
        <f t="shared" si="39"/>
        <v>0.56927490371064715</v>
      </c>
      <c r="CB9" s="22">
        <f t="shared" si="10"/>
        <v>3.203686281221815</v>
      </c>
      <c r="CC9" s="61">
        <f t="shared" si="11"/>
        <v>267.20368628122179</v>
      </c>
      <c r="CD9" s="61">
        <f ca="1">AVERAGE(OFFSET($CC$3,0,0,'Données projet'!$E$12+1,1))-AVERAGE(OFFSET($H$3,0,0,'Données projet'!$E$12+1,1))</f>
        <v>285.59863510278109</v>
      </c>
      <c r="CE9" s="61">
        <f t="shared" si="40"/>
        <v>190.4880882944471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3.7333333333333334</v>
      </c>
      <c r="CT9" s="13">
        <f>IF('Données projet'!$A$140&gt;35,CT8+CS9-DB8,IF(A9&lt;'Données projet'!$A$140,$CQ$205^A9,IF(A9='Données projet'!$A$140,'Données projet'!$B$140,CT8+CS9-DB8)))</f>
        <v>2.5694703142468773</v>
      </c>
      <c r="CU9" s="18">
        <f>CT9*VLOOKUP('Données projet'!$B$13,Paramètres!$A$1:$I$89,3,0)*VLOOKUP('Données projet'!$B$13,Paramètres!$A$1:$I$89,5,0)</f>
        <v>1.235915221152748</v>
      </c>
      <c r="CV9" s="14">
        <f t="shared" si="41"/>
        <v>0.55569087247371607</v>
      </c>
      <c r="CW9" s="22">
        <f t="shared" si="13"/>
        <v>3.1203806130660916</v>
      </c>
      <c r="CX9" s="61">
        <f t="shared" si="14"/>
        <v>267.12038061306612</v>
      </c>
      <c r="CY9" s="61">
        <f ca="1">AVERAGE(OFFSET($CX$3,0,0,'Données projet'!$E$13+1,1))-AVERAGE(OFFSET($H$3,0,0,'Données projet'!$E$13+1,1))</f>
        <v>273.72618036666552</v>
      </c>
      <c r="CZ9" s="61">
        <f t="shared" si="42"/>
        <v>157.67999791700714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3.3333333333333335</v>
      </c>
      <c r="DO9" s="13">
        <f>IF('Données projet'!$A$166&gt;35,DO8+DN9-DW8,IF(A9&lt;'Données projet'!$A$166,$DL$205^A9,IF(A9='Données projet'!$A$166,'Données projet'!$B$166,DO8+DN9-DW8)))</f>
        <v>4.7817624989501848</v>
      </c>
      <c r="DP9" s="18">
        <f>DO9*VLOOKUP('Données projet'!$B$14,Paramètres!$A$1:$I$89,3,0)*VLOOKUP('Données projet'!$B$14,Paramètres!$A$1:$I$89,5,0)</f>
        <v>3.2076062842957844</v>
      </c>
      <c r="DQ9" s="14">
        <f t="shared" si="43"/>
        <v>1.2906653345014574</v>
      </c>
      <c r="DR9" s="22">
        <f t="shared" si="16"/>
        <v>7.8344897360718626</v>
      </c>
      <c r="DS9" s="61">
        <f t="shared" si="17"/>
        <v>271.83448973607187</v>
      </c>
      <c r="DT9" s="61">
        <f ca="1">AVERAGE(OFFSET($DS$3,0,0,'Données projet'!$E$14+1,1))-AVERAGE(OFFSET($H$3,0,0,'Données projet'!$E$14+1,1))</f>
        <v>312.06797204903796</v>
      </c>
      <c r="DU9" s="61">
        <f t="shared" si="44"/>
        <v>258.20189001775151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0.98571428571428577</v>
      </c>
      <c r="EJ9" s="13">
        <f>IF('Données projet'!$A$192&gt;35,EJ8+EI9-ER8,IF(A9&lt;'Données projet'!$A$192,$EG$205^A9,IF(A9='Données projet'!$A$192,'Données projet'!$B$192,EJ8+EI9-ER8)))</f>
        <v>5.2361672055674102</v>
      </c>
      <c r="EK9" s="18">
        <f>EJ9*VLOOKUP('Données projet'!$B$15,Paramètres!$A$1:$I$89,3,0)*VLOOKUP('Données projet'!$B$15,Paramètres!$A$1:$I$89,5,0)</f>
        <v>4.2475788371562837</v>
      </c>
      <c r="EL9" s="14">
        <f t="shared" si="45"/>
        <v>1.6541612716821996</v>
      </c>
      <c r="EM9" s="22">
        <f t="shared" si="19"/>
        <v>10.278864022893691</v>
      </c>
      <c r="EN9" s="61">
        <f t="shared" si="20"/>
        <v>274.27886402289369</v>
      </c>
      <c r="EO9" s="61">
        <f ca="1">AVERAGE(OFFSET($EN$3,0,0,'Données projet'!$E$15+1,1))-AVERAGE(OFFSET($H$3,0,0,'Données projet'!$E$15+1,1))</f>
        <v>222.15256609836689</v>
      </c>
      <c r="EP9" s="61">
        <f t="shared" si="46"/>
        <v>221.10360210521077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2.6666666666666665</v>
      </c>
      <c r="FE9" s="13">
        <f>IF('Données projet'!$A$218&gt;35,FE8+FD9-FM8,IF(A9&lt;'Données projet'!$A$218,$FB$205^A9,IF(A9='Données projet'!$A$218,'Données projet'!$B$218,FE8+FD9-FM8)))</f>
        <v>4.3734482957731098</v>
      </c>
      <c r="FF9" s="18">
        <f>FE9*VLOOKUP('Données projet'!$B$16,Paramètres!$A$1:$I$89,3,0)*VLOOKUP('Données projet'!$B$16,Paramètres!$A$1:$I$89,5,0)</f>
        <v>3.4112896707030256</v>
      </c>
      <c r="FG9" s="14">
        <f t="shared" si="47"/>
        <v>1.3628213830192535</v>
      </c>
      <c r="FH9" s="22">
        <f t="shared" si="22"/>
        <v>8.3149100852329703</v>
      </c>
      <c r="FI9" s="61">
        <f t="shared" si="23"/>
        <v>272.31491008523295</v>
      </c>
      <c r="FJ9" s="61">
        <f ca="1">AVERAGE(OFFSET($FI$3,0,0,'Données projet'!$E$16+1,1))-AVERAGE(OFFSET($H$3,0,0,'Données projet'!$E$16+1,1))</f>
        <v>292.57482726862594</v>
      </c>
      <c r="FK9" s="61">
        <f t="shared" si="48"/>
        <v>283.48738729114024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2.1</v>
      </c>
      <c r="FZ9" s="13">
        <f>IF('Données projet'!$A$244&gt;35,FZ8+FY9-GH8,IF(A9&lt;'Données projet'!$A$244,$FW$205^A9,IF(A9='Données projet'!$A$244,'Données projet'!$B$244,FZ8+FY9-GH8)))</f>
        <v>3.0688438220956993</v>
      </c>
      <c r="GA9" s="18">
        <f>FZ9*VLOOKUP('Données projet'!$B$17,Paramètres!$A$1:$I$89,3,0)*VLOOKUP('Données projet'!$B$17,Paramètres!$A$1:$I$89,5,0)</f>
        <v>2.9681857447309605</v>
      </c>
      <c r="GB9" s="14">
        <f t="shared" si="49"/>
        <v>1.2051613041728233</v>
      </c>
      <c r="GC9" s="22">
        <f t="shared" si="25"/>
        <v>7.2685794435074236</v>
      </c>
      <c r="GD9" s="61">
        <f t="shared" si="26"/>
        <v>271.26857944350741</v>
      </c>
      <c r="GE9" s="61">
        <f ca="1">AVERAGE(OFFSET($GD$3,0,0,'Données projet'!$E$17+1,1))-AVERAGE(OFFSET($H$3,0,0,'Données projet'!$E$17+1,1))</f>
        <v>455.50822833641354</v>
      </c>
      <c r="GF9" s="61">
        <f t="shared" si="50"/>
        <v>261.14722581688039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2.1</v>
      </c>
      <c r="GU9" s="13">
        <f>IF('Données projet'!$A$270&gt;35,GU8+GT9-HC8,IF(A9&lt;'Données projet'!$A$270,$GR$205^A9,IF(A9='Données projet'!$A$270,'Données projet'!$B$270,GU8+GT9-HC8)))</f>
        <v>3.0688438220956993</v>
      </c>
      <c r="GV9" s="18">
        <f>GU9*VLOOKUP('Données projet'!$B$18,Paramètres!$A$1:$I$89,3,0)*VLOOKUP('Données projet'!$B$18,Paramètres!$A$1:$I$89,5,0)</f>
        <v>3.3033034901038101</v>
      </c>
      <c r="GW9" s="14">
        <f t="shared" si="51"/>
        <v>1.3246310730107231</v>
      </c>
      <c r="GX9" s="22">
        <f t="shared" si="28"/>
        <v>8.0603193640911446</v>
      </c>
      <c r="GY9" s="61">
        <f t="shared" si="29"/>
        <v>272.06031936409113</v>
      </c>
      <c r="GZ9" s="61">
        <f ca="1">AVERAGE(OFFSET($GY$3,0,0,'Données projet'!$E$18+1,1))-AVERAGE(OFFSET($H$3,0,0,'Données projet'!$E$18+1,1))</f>
        <v>502.07782026233912</v>
      </c>
      <c r="HA9" s="61">
        <f t="shared" si="52"/>
        <v>285.83623046025156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3.3472630510321921</v>
      </c>
      <c r="P10" s="14">
        <f t="shared" si="33"/>
        <v>1.34019505338418</v>
      </c>
      <c r="Q10" s="22">
        <f t="shared" si="2"/>
        <v>8.1639895318585136</v>
      </c>
      <c r="R10" s="61">
        <f t="shared" si="0"/>
        <v>273.38621175408076</v>
      </c>
      <c r="S10" s="61">
        <f ca="1">AVERAGE(OFFSET($R$3,0,0,'Données projet'!$E$9+1,1))-AVERAGE(OFFSET($H$3,0,0,'Données projet'!$E$9+1,1))</f>
        <v>428.8489304403459</v>
      </c>
      <c r="T10" s="61">
        <f t="shared" si="34"/>
        <v>247.01165577562966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1">
        <f t="shared" si="5"/>
        <v>274.33705514539406</v>
      </c>
      <c r="AN10" s="61">
        <f ca="1">AVERAGE(OFFSET($AM$3,0,0,'Données projet'!$E$10+1,1))-AVERAGE(OFFSET($H$3,0,0,'Données projet'!$E$10+1,1))</f>
        <v>475.47920969424894</v>
      </c>
      <c r="AO10" s="61">
        <f t="shared" si="36"/>
        <v>271.73544012419364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10</v>
      </c>
      <c r="BD10" s="13">
        <f>IF('Données projet'!$A$88&gt;35,BD9+BC10-BL9,IF(A10&lt;'Données projet'!$A$88,$BA$205^A10,IF(A10='Données projet'!$A$88,'Données projet'!$B$88,BD9+BC10-BL9)))</f>
        <v>5.9439219527631275</v>
      </c>
      <c r="BE10" s="14">
        <f>BD10*VLOOKUP('Données projet'!$B$11,Paramètres!$A$1:$I$89,3,0)*VLOOKUP('Données projet'!$B$11,Paramètres!$A$1:$I$89,5,0)</f>
        <v>3.3226523715945881</v>
      </c>
      <c r="BF10" s="14">
        <f t="shared" si="37"/>
        <v>1.3314845392621566</v>
      </c>
      <c r="BG10" s="22">
        <f t="shared" si="7"/>
        <v>8.1059551197421627</v>
      </c>
      <c r="BH10" s="61">
        <f t="shared" si="8"/>
        <v>273.32817734196442</v>
      </c>
      <c r="BI10" s="61">
        <f ca="1">AVERAGE(OFFSET($BH$3,0,0,'Données projet'!$E$11+1,1))-AVERAGE(OFFSET($H$3,0,0,'Données projet'!$E$11+1,1))</f>
        <v>374.79806286316051</v>
      </c>
      <c r="BJ10" s="61">
        <f t="shared" si="38"/>
        <v>350.01856672839466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4.9084615384615384</v>
      </c>
      <c r="BY10" s="13">
        <f>IF('Données projet'!$A$114&gt;35,BY9+BX10-CG9,IF(A10&lt;'Données projet'!$A$114,$BV$205^A10,IF(A10='Données projet'!$A$114,'Données projet'!$B$114,BY9+BX10-CG9)))</f>
        <v>3.2053998896536791</v>
      </c>
      <c r="BZ10" s="14">
        <f>BY10*VLOOKUP('Données projet'!$B$12,Paramètres!$A$1:$I$89,3,0)*VLOOKUP('Données projet'!$B$12,Paramètres!$A$1:$I$89,5,0)</f>
        <v>1.5001271483579217</v>
      </c>
      <c r="CA10" s="14">
        <f t="shared" si="39"/>
        <v>0.65944537721878049</v>
      </c>
      <c r="CB10" s="22">
        <f t="shared" si="10"/>
        <v>3.7612554820460891</v>
      </c>
      <c r="CC10" s="61">
        <f t="shared" si="11"/>
        <v>268.9834777042683</v>
      </c>
      <c r="CD10" s="61">
        <f ca="1">AVERAGE(OFFSET($CC$3,0,0,'Données projet'!$E$12+1,1))-AVERAGE(OFFSET($H$3,0,0,'Données projet'!$E$12+1,1))</f>
        <v>285.59863510278109</v>
      </c>
      <c r="CE10" s="61">
        <f t="shared" si="40"/>
        <v>190.4880882944471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3.7333333333333334</v>
      </c>
      <c r="CT10" s="13">
        <f>IF('Données projet'!$A$140&gt;35,CT9+CS10-DB9,IF(A10&lt;'Données projet'!$A$140,$CQ$205^A10,IF(A10='Données projet'!$A$140,'Données projet'!$B$140,CT9+CS10-DB9)))</f>
        <v>3.0071207814747614</v>
      </c>
      <c r="CU10" s="18">
        <f>CT10*VLOOKUP('Données projet'!$B$13,Paramètres!$A$1:$I$89,3,0)*VLOOKUP('Données projet'!$B$13,Paramètres!$A$1:$I$89,5,0)</f>
        <v>1.4464250958893603</v>
      </c>
      <c r="CV10" s="14">
        <f t="shared" si="41"/>
        <v>0.63854214206557469</v>
      </c>
      <c r="CW10" s="22">
        <f t="shared" si="13"/>
        <v>3.6313179394381785</v>
      </c>
      <c r="CX10" s="61">
        <f t="shared" si="14"/>
        <v>268.85354016166042</v>
      </c>
      <c r="CY10" s="61">
        <f ca="1">AVERAGE(OFFSET($CX$3,0,0,'Données projet'!$E$13+1,1))-AVERAGE(OFFSET($H$3,0,0,'Données projet'!$E$13+1,1))</f>
        <v>273.72618036666552</v>
      </c>
      <c r="CZ10" s="61">
        <f t="shared" si="42"/>
        <v>157.67999791700714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3.3333333333333335</v>
      </c>
      <c r="DO10" s="13">
        <f>IF('Données projet'!$A$166&gt;35,DO9+DN10-DW9,IF(A10&lt;'Données projet'!$A$166,$DL$205^A10,IF(A10='Données projet'!$A$166,'Données projet'!$B$166,DO9+DN10-DW9)))</f>
        <v>6.2065844455469161</v>
      </c>
      <c r="DP10" s="18">
        <f>DO10*VLOOKUP('Données projet'!$B$14,Paramètres!$A$1:$I$89,3,0)*VLOOKUP('Données projet'!$B$14,Paramètres!$A$1:$I$89,5,0)</f>
        <v>4.1633768460728717</v>
      </c>
      <c r="DQ10" s="14">
        <f t="shared" si="43"/>
        <v>1.6251531926949223</v>
      </c>
      <c r="DR10" s="22">
        <f t="shared" si="16"/>
        <v>10.081689817520575</v>
      </c>
      <c r="DS10" s="61">
        <f t="shared" si="17"/>
        <v>275.30391203974278</v>
      </c>
      <c r="DT10" s="61">
        <f ca="1">AVERAGE(OFFSET($DS$3,0,0,'Données projet'!$E$14+1,1))-AVERAGE(OFFSET($H$3,0,0,'Données projet'!$E$14+1,1))</f>
        <v>312.06797204903796</v>
      </c>
      <c r="DU10" s="61">
        <f t="shared" si="44"/>
        <v>258.20189001775151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>
        <f>VLOOKUP(A10,'Données projet'!$A$191:$I$211,2,0)</f>
        <v>6.9</v>
      </c>
      <c r="EH10" s="13">
        <f>VLOOKUP(A10,'Données projet'!$A$191:$I$211,9,0)</f>
        <v>0.98571428571428577</v>
      </c>
      <c r="EI10" s="13">
        <f t="array" ref="EI10">INDEX(EH:EH,MIN(IF(ISNUMBER(EH10:EH206),ROW(EH10:EH206),"")))</f>
        <v>0.98571428571428577</v>
      </c>
      <c r="EJ10" s="13">
        <f>IF('Données projet'!$A$192&gt;35,EJ9+EI10-ER9,IF(A10&lt;'Données projet'!$A$192,$EG$205^A10,IF(A10='Données projet'!$A$192,'Données projet'!$B$192,EJ9+EI10-ER9)))</f>
        <v>6.9</v>
      </c>
      <c r="EK10" s="18">
        <f>EJ10*VLOOKUP('Données projet'!$B$15,Paramètres!$A$1:$I$89,3,0)*VLOOKUP('Données projet'!$B$15,Paramètres!$A$1:$I$89,5,0)</f>
        <v>5.5972800000000014</v>
      </c>
      <c r="EL10" s="14">
        <f t="shared" si="45"/>
        <v>2.1108849863379309</v>
      </c>
      <c r="EM10" s="22">
        <f t="shared" si="19"/>
        <v>13.425054017871899</v>
      </c>
      <c r="EN10" s="61">
        <f t="shared" si="20"/>
        <v>278.64727624009413</v>
      </c>
      <c r="EO10" s="61">
        <f ca="1">AVERAGE(OFFSET($EN$3,0,0,'Données projet'!$E$15+1,1))-AVERAGE(OFFSET($H$3,0,0,'Données projet'!$E$15+1,1))</f>
        <v>222.15256609836689</v>
      </c>
      <c r="EP10" s="61">
        <f t="shared" si="46"/>
        <v>221.10360210521077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2.6666666666666665</v>
      </c>
      <c r="FE10" s="13">
        <f>IF('Données projet'!$A$218&gt;35,FE9+FD10-FM9,IF(A10&lt;'Données projet'!$A$218,$FB$205^A10,IF(A10='Données projet'!$A$218,'Données projet'!$B$218,FE9+FD10-FM9)))</f>
        <v>5.5927833467405659</v>
      </c>
      <c r="FF10" s="18">
        <f>FE10*VLOOKUP('Données projet'!$B$16,Paramètres!$A$1:$I$89,3,0)*VLOOKUP('Données projet'!$B$16,Paramètres!$A$1:$I$89,5,0)</f>
        <v>4.3623710104576414</v>
      </c>
      <c r="FG10" s="14">
        <f t="shared" si="47"/>
        <v>1.6936004212396314</v>
      </c>
      <c r="FH10" s="22">
        <f t="shared" si="22"/>
        <v>10.54748357687275</v>
      </c>
      <c r="FI10" s="61">
        <f t="shared" si="23"/>
        <v>275.76970579909499</v>
      </c>
      <c r="FJ10" s="61">
        <f ca="1">AVERAGE(OFFSET($FI$3,0,0,'Données projet'!$E$16+1,1))-AVERAGE(OFFSET($H$3,0,0,'Données projet'!$E$16+1,1))</f>
        <v>292.57482726862594</v>
      </c>
      <c r="FK10" s="61">
        <f t="shared" si="48"/>
        <v>283.48738729114024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2.1</v>
      </c>
      <c r="FZ10" s="13">
        <f>IF('Données projet'!$A$244&gt;35,FZ9+FY10-GH9,IF(A10&lt;'Données projet'!$A$244,$FW$205^A10,IF(A10='Données projet'!$A$244,'Données projet'!$B$244,FZ9+FY10-GH9)))</f>
        <v>3.6994507637402658</v>
      </c>
      <c r="GA10" s="18">
        <f>FZ10*VLOOKUP('Données projet'!$B$17,Paramètres!$A$1:$I$89,3,0)*VLOOKUP('Données projet'!$B$17,Paramètres!$A$1:$I$89,5,0)</f>
        <v>3.5781087786895851</v>
      </c>
      <c r="GB10" s="14">
        <f t="shared" si="49"/>
        <v>1.4215440842341414</v>
      </c>
      <c r="GC10" s="22">
        <f t="shared" si="25"/>
        <v>8.707728736258824</v>
      </c>
      <c r="GD10" s="61">
        <f t="shared" si="26"/>
        <v>273.92995095848107</v>
      </c>
      <c r="GE10" s="61">
        <f ca="1">AVERAGE(OFFSET($GD$3,0,0,'Données projet'!$E$17+1,1))-AVERAGE(OFFSET($H$3,0,0,'Données projet'!$E$17+1,1))</f>
        <v>455.50822833641354</v>
      </c>
      <c r="GF10" s="61">
        <f t="shared" si="50"/>
        <v>261.14722581688039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2.1</v>
      </c>
      <c r="GU10" s="13">
        <f>IF('Données projet'!$A$270&gt;35,GU9+GT10-HC9,IF(A10&lt;'Données projet'!$A$270,$GR$205^A10,IF(A10='Données projet'!$A$270,'Données projet'!$B$270,GU9+GT10-HC9)))</f>
        <v>3.6994507637402658</v>
      </c>
      <c r="GV10" s="18">
        <f>GU10*VLOOKUP('Données projet'!$B$18,Paramètres!$A$1:$I$89,3,0)*VLOOKUP('Données projet'!$B$18,Paramètres!$A$1:$I$89,5,0)</f>
        <v>3.982088802090022</v>
      </c>
      <c r="GW10" s="14">
        <f t="shared" si="51"/>
        <v>1.5624642602705792</v>
      </c>
      <c r="GX10" s="22">
        <f t="shared" si="28"/>
        <v>9.6567632502780452</v>
      </c>
      <c r="GY10" s="61">
        <f t="shared" si="29"/>
        <v>274.87898547250029</v>
      </c>
      <c r="GZ10" s="61">
        <f ca="1">AVERAGE(OFFSET($GY$3,0,0,'Données projet'!$E$18+1,1))-AVERAGE(OFFSET($H$3,0,0,'Données projet'!$E$18+1,1))</f>
        <v>502.07782026233912</v>
      </c>
      <c r="HA10" s="61">
        <f t="shared" si="52"/>
        <v>285.83623046025156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4.0350814731667564</v>
      </c>
      <c r="P11" s="14">
        <f t="shared" si="33"/>
        <v>1.5808227025391921</v>
      </c>
      <c r="Q11" s="22">
        <f t="shared" si="2"/>
        <v>9.7810331060211926</v>
      </c>
      <c r="R11" s="61">
        <f t="shared" si="0"/>
        <v>276.22547755046565</v>
      </c>
      <c r="S11" s="61">
        <f ca="1">AVERAGE(OFFSET($R$3,0,0,'Données projet'!$E$9+1,1))-AVERAGE(OFFSET($H$3,0,0,'Données projet'!$E$9+1,1))</f>
        <v>428.8489304403459</v>
      </c>
      <c r="T11" s="61">
        <f t="shared" si="34"/>
        <v>247.01165577562966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1">
        <f t="shared" si="5"/>
        <v>277.36529317093459</v>
      </c>
      <c r="AN11" s="61">
        <f ca="1">AVERAGE(OFFSET($AM$3,0,0,'Données projet'!$E$10+1,1))-AVERAGE(OFFSET($H$3,0,0,'Données projet'!$E$10+1,1))</f>
        <v>475.47920969424894</v>
      </c>
      <c r="AO11" s="61">
        <f t="shared" si="36"/>
        <v>271.73544012419364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10</v>
      </c>
      <c r="BD11" s="13">
        <f>IF('Données projet'!$A$88&gt;35,BD10+BC11-BL10,IF(A11&lt;'Données projet'!$A$88,$BA$205^A11,IF(A11='Données projet'!$A$88,'Données projet'!$B$88,BD10+BC11-BL10)))</f>
        <v>7.6675209171905525</v>
      </c>
      <c r="BE11" s="14">
        <f>BD11*VLOOKUP('Données projet'!$B$11,Paramètres!$A$1:$I$89,3,0)*VLOOKUP('Données projet'!$B$11,Paramètres!$A$1:$I$89,5,0)</f>
        <v>4.2861441927095187</v>
      </c>
      <c r="BF11" s="14">
        <f t="shared" si="37"/>
        <v>1.6674248488637313</v>
      </c>
      <c r="BG11" s="22">
        <f t="shared" si="7"/>
        <v>10.369132747406743</v>
      </c>
      <c r="BH11" s="61">
        <f t="shared" si="8"/>
        <v>276.81357719185121</v>
      </c>
      <c r="BI11" s="61">
        <f ca="1">AVERAGE(OFFSET($BH$3,0,0,'Données projet'!$E$11+1,1))-AVERAGE(OFFSET($H$3,0,0,'Données projet'!$E$11+1,1))</f>
        <v>374.79806286316051</v>
      </c>
      <c r="BJ11" s="61">
        <f t="shared" si="38"/>
        <v>350.01856672839466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4.9084615384615384</v>
      </c>
      <c r="BY11" s="13">
        <f>IF('Données projet'!$A$114&gt;35,BY10+BX11-CG10,IF(A11&lt;'Données projet'!$A$114,$BV$205^A11,IF(A11='Données projet'!$A$114,'Données projet'!$B$114,BY10+BX11-CG10)))</f>
        <v>3.7857428072090569</v>
      </c>
      <c r="BZ11" s="14">
        <f>BY11*VLOOKUP('Données projet'!$B$12,Paramètres!$A$1:$I$89,3,0)*VLOOKUP('Données projet'!$B$12,Paramètres!$A$1:$I$89,5,0)</f>
        <v>1.7717276337738388</v>
      </c>
      <c r="CA11" s="14">
        <f t="shared" si="39"/>
        <v>0.76389843061877893</v>
      </c>
      <c r="CB11" s="22">
        <f t="shared" si="10"/>
        <v>4.4162153954838086</v>
      </c>
      <c r="CC11" s="61">
        <f t="shared" si="11"/>
        <v>270.86065983992825</v>
      </c>
      <c r="CD11" s="61">
        <f ca="1">AVERAGE(OFFSET($CC$3,0,0,'Données projet'!$E$12+1,1))-AVERAGE(OFFSET($H$3,0,0,'Données projet'!$E$12+1,1))</f>
        <v>285.59863510278109</v>
      </c>
      <c r="CE11" s="61">
        <f t="shared" si="40"/>
        <v>190.4880882944471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3.7333333333333334</v>
      </c>
      <c r="CT11" s="13">
        <f>IF('Données projet'!$A$140&gt;35,CT10+CS11-DB10,IF(A11&lt;'Données projet'!$A$140,$CQ$205^A11,IF(A11='Données projet'!$A$140,'Données projet'!$B$140,CT10+CS11-DB10)))</f>
        <v>3.5193149904235632</v>
      </c>
      <c r="CU11" s="18">
        <f>CT11*VLOOKUP('Données projet'!$B$13,Paramètres!$A$1:$I$89,3,0)*VLOOKUP('Données projet'!$B$13,Paramètres!$A$1:$I$89,5,0)</f>
        <v>1.692790510393734</v>
      </c>
      <c r="CV11" s="14">
        <f t="shared" si="41"/>
        <v>0.7337462020540535</v>
      </c>
      <c r="CW11" s="22">
        <f t="shared" si="13"/>
        <v>4.2262181075132297</v>
      </c>
      <c r="CX11" s="61">
        <f t="shared" si="14"/>
        <v>270.67066255195766</v>
      </c>
      <c r="CY11" s="61">
        <f ca="1">AVERAGE(OFFSET($CX$3,0,0,'Données projet'!$E$13+1,1))-AVERAGE(OFFSET($H$3,0,0,'Données projet'!$E$13+1,1))</f>
        <v>273.72618036666552</v>
      </c>
      <c r="CZ11" s="61">
        <f t="shared" si="42"/>
        <v>157.67999791700714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3.3333333333333335</v>
      </c>
      <c r="DO11" s="13">
        <f>IF('Données projet'!$A$166&gt;35,DO10+DN11-DW10,IF(A11&lt;'Données projet'!$A$166,$DL$205^A11,IF(A11='Données projet'!$A$166,'Données projet'!$B$166,DO10+DN11-DW10)))</f>
        <v>8.0559606396516319</v>
      </c>
      <c r="DP11" s="18">
        <f>DO11*VLOOKUP('Données projet'!$B$14,Paramètres!$A$1:$I$89,3,0)*VLOOKUP('Données projet'!$B$14,Paramètres!$A$1:$I$89,5,0)</f>
        <v>5.4039383970783144</v>
      </c>
      <c r="DQ11" s="14">
        <f t="shared" si="43"/>
        <v>2.0463266728603036</v>
      </c>
      <c r="DR11" s="22">
        <f t="shared" si="16"/>
        <v>12.975878330143091</v>
      </c>
      <c r="DS11" s="61">
        <f t="shared" si="17"/>
        <v>279.42032277458753</v>
      </c>
      <c r="DT11" s="61">
        <f ca="1">AVERAGE(OFFSET($DS$3,0,0,'Données projet'!$E$14+1,1))-AVERAGE(OFFSET($H$3,0,0,'Données projet'!$E$14+1,1))</f>
        <v>312.06797204903796</v>
      </c>
      <c r="DU11" s="61">
        <f t="shared" si="44"/>
        <v>258.20189001775151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2.2999999999999998</v>
      </c>
      <c r="EJ11" s="13">
        <f>IF('Données projet'!$A$192&gt;35,EJ10+EI11-ER10,IF(A11&lt;'Données projet'!$A$192,$EG$205^A11,IF(A11='Données projet'!$A$192,'Données projet'!$B$192,EJ10+EI11-ER10)))</f>
        <v>9.1999999999999993</v>
      </c>
      <c r="EK11" s="18">
        <f>EJ11*VLOOKUP('Données projet'!$B$15,Paramètres!$A$1:$I$89,3,0)*VLOOKUP('Données projet'!$B$15,Paramètres!$A$1:$I$89,5,0)</f>
        <v>7.4630400000000003</v>
      </c>
      <c r="EL11" s="14">
        <f t="shared" si="45"/>
        <v>2.7218265034741727</v>
      </c>
      <c r="EM11" s="22">
        <f t="shared" si="19"/>
        <v>17.738642493550845</v>
      </c>
      <c r="EN11" s="61">
        <f t="shared" si="20"/>
        <v>284.18308693799531</v>
      </c>
      <c r="EO11" s="61">
        <f ca="1">AVERAGE(OFFSET($EN$3,0,0,'Données projet'!$E$15+1,1))-AVERAGE(OFFSET($H$3,0,0,'Données projet'!$E$15+1,1))</f>
        <v>222.15256609836689</v>
      </c>
      <c r="EP11" s="61">
        <f t="shared" si="46"/>
        <v>221.10360210521077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2.6666666666666665</v>
      </c>
      <c r="FE11" s="13">
        <f>IF('Données projet'!$A$218&gt;35,FE10+FD11-FM10,IF(A11&lt;'Données projet'!$A$218,$FB$205^A11,IF(A11='Données projet'!$A$218,'Données projet'!$B$218,FE10+FD11-FM10)))</f>
        <v>7.1520739352994367</v>
      </c>
      <c r="FF11" s="18">
        <f>FE11*VLOOKUP('Données projet'!$B$16,Paramètres!$A$1:$I$89,3,0)*VLOOKUP('Données projet'!$B$16,Paramètres!$A$1:$I$89,5,0)</f>
        <v>5.5786176695335605</v>
      </c>
      <c r="FG11" s="14">
        <f t="shared" si="47"/>
        <v>2.1046649418345189</v>
      </c>
      <c r="FH11" s="22">
        <f t="shared" si="22"/>
        <v>13.381717214799407</v>
      </c>
      <c r="FI11" s="61">
        <f t="shared" si="23"/>
        <v>279.82616165924384</v>
      </c>
      <c r="FJ11" s="61">
        <f ca="1">AVERAGE(OFFSET($FI$3,0,0,'Données projet'!$E$16+1,1))-AVERAGE(OFFSET($H$3,0,0,'Données projet'!$E$16+1,1))</f>
        <v>292.57482726862594</v>
      </c>
      <c r="FK11" s="61">
        <f t="shared" si="48"/>
        <v>283.48738729114024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2.1</v>
      </c>
      <c r="FZ11" s="13">
        <f>IF('Données projet'!$A$244&gt;35,FZ10+FY11-GH10,IF(A11&lt;'Données projet'!$A$244,$FW$205^A11,IF(A11='Données projet'!$A$244,'Données projet'!$B$244,FZ10+FY11-GH10)))</f>
        <v>4.4596391171162209</v>
      </c>
      <c r="GA11" s="18">
        <f>FZ11*VLOOKUP('Données projet'!$B$17,Paramètres!$A$1:$I$89,3,0)*VLOOKUP('Données projet'!$B$17,Paramètres!$A$1:$I$89,5,0)</f>
        <v>4.3133629540748091</v>
      </c>
      <c r="GB11" s="14">
        <f t="shared" si="49"/>
        <v>1.6767776864592203</v>
      </c>
      <c r="GC11" s="22">
        <f t="shared" si="25"/>
        <v>10.432828282263435</v>
      </c>
      <c r="GD11" s="61">
        <f t="shared" si="26"/>
        <v>276.87727272670787</v>
      </c>
      <c r="GE11" s="61">
        <f ca="1">AVERAGE(OFFSET($GD$3,0,0,'Données projet'!$E$17+1,1))-AVERAGE(OFFSET($H$3,0,0,'Données projet'!$E$17+1,1))</f>
        <v>455.50822833641354</v>
      </c>
      <c r="GF11" s="61">
        <f t="shared" si="50"/>
        <v>261.14722581688039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2.1</v>
      </c>
      <c r="GU11" s="13">
        <f>IF('Données projet'!$A$270&gt;35,GU10+GT11-HC10,IF(A11&lt;'Données projet'!$A$270,$GR$205^A11,IF(A11='Données projet'!$A$270,'Données projet'!$B$270,GU10+GT11-HC10)))</f>
        <v>4.4596391171162209</v>
      </c>
      <c r="GV11" s="18">
        <f>GU11*VLOOKUP('Données projet'!$B$18,Paramètres!$A$1:$I$89,3,0)*VLOOKUP('Données projet'!$B$18,Paramètres!$A$1:$I$89,5,0)</f>
        <v>4.8003555456638995</v>
      </c>
      <c r="GW11" s="14">
        <f t="shared" si="51"/>
        <v>1.8429996203200378</v>
      </c>
      <c r="GX11" s="22">
        <f t="shared" si="28"/>
        <v>11.570510247422023</v>
      </c>
      <c r="GY11" s="61">
        <f t="shared" si="29"/>
        <v>278.01495469186648</v>
      </c>
      <c r="GZ11" s="61">
        <f ca="1">AVERAGE(OFFSET($GY$3,0,0,'Données projet'!$E$18+1,1))-AVERAGE(OFFSET($H$3,0,0,'Données projet'!$E$18+1,1))</f>
        <v>502.07782026233912</v>
      </c>
      <c r="HA11" s="61">
        <f t="shared" si="52"/>
        <v>285.83623046025156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4.8642375119197085</v>
      </c>
      <c r="P12" s="14">
        <f t="shared" si="33"/>
        <v>1.8646542609995393</v>
      </c>
      <c r="Q12" s="22">
        <f t="shared" si="2"/>
        <v>11.719486504501022</v>
      </c>
      <c r="R12" s="61">
        <f t="shared" si="0"/>
        <v>279.38615317116773</v>
      </c>
      <c r="S12" s="61">
        <f ca="1">AVERAGE(OFFSET($R$3,0,0,'Données projet'!$E$9+1,1))-AVERAGE(OFFSET($H$3,0,0,'Données projet'!$E$9+1,1))</f>
        <v>428.8489304403459</v>
      </c>
      <c r="T12" s="61">
        <f t="shared" si="34"/>
        <v>247.01165577562966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1">
        <f t="shared" si="5"/>
        <v>280.75262079014198</v>
      </c>
      <c r="AN12" s="61">
        <f ca="1">AVERAGE(OFFSET($AM$3,0,0,'Données projet'!$E$10+1,1))-AVERAGE(OFFSET($H$3,0,0,'Données projet'!$E$10+1,1))</f>
        <v>475.47920969424894</v>
      </c>
      <c r="AO12" s="61">
        <f t="shared" si="36"/>
        <v>271.73544012419364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10</v>
      </c>
      <c r="BD12" s="13">
        <f>IF('Données projet'!$A$88&gt;35,BD11+BC12-BL11,IF(A12&lt;'Données projet'!$A$88,$BA$205^A12,IF(A12='Données projet'!$A$88,'Données projet'!$B$88,BD11+BC12-BL11)))</f>
        <v>9.8909234479811374</v>
      </c>
      <c r="BE12" s="14">
        <f>BD12*VLOOKUP('Données projet'!$B$11,Paramètres!$A$1:$I$89,3,0)*VLOOKUP('Données projet'!$B$11,Paramètres!$A$1:$I$89,5,0)</f>
        <v>5.529026207421456</v>
      </c>
      <c r="BF12" s="14">
        <f t="shared" si="37"/>
        <v>2.0881246042473354</v>
      </c>
      <c r="BG12" s="22">
        <f t="shared" si="7"/>
        <v>13.266537663656479</v>
      </c>
      <c r="BH12" s="61">
        <f t="shared" si="8"/>
        <v>280.93320433032318</v>
      </c>
      <c r="BI12" s="61">
        <f ca="1">AVERAGE(OFFSET($BH$3,0,0,'Données projet'!$E$11+1,1))-AVERAGE(OFFSET($H$3,0,0,'Données projet'!$E$11+1,1))</f>
        <v>374.79806286316051</v>
      </c>
      <c r="BJ12" s="61">
        <f t="shared" si="38"/>
        <v>350.01856672839466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4.9084615384615384</v>
      </c>
      <c r="BY12" s="13">
        <f>IF('Données projet'!$A$114&gt;35,BY11+BX12-CG11,IF(A12&lt;'Données projet'!$A$114,$BV$205^A12,IF(A12='Données projet'!$A$114,'Données projet'!$B$114,BY11+BX12-CG11)))</f>
        <v>4.4711577636834461</v>
      </c>
      <c r="BZ12" s="14">
        <f>BY12*VLOOKUP('Données projet'!$B$12,Paramètres!$A$1:$I$89,3,0)*VLOOKUP('Données projet'!$B$12,Paramètres!$A$1:$I$89,5,0)</f>
        <v>2.0925018334038525</v>
      </c>
      <c r="CA12" s="14">
        <f t="shared" si="39"/>
        <v>0.8848963575465858</v>
      </c>
      <c r="CB12" s="22">
        <f t="shared" si="10"/>
        <v>5.1856351825720131</v>
      </c>
      <c r="CC12" s="61">
        <f t="shared" si="11"/>
        <v>272.8523018492387</v>
      </c>
      <c r="CD12" s="61">
        <f ca="1">AVERAGE(OFFSET($CC$3,0,0,'Données projet'!$E$12+1,1))-AVERAGE(OFFSET($H$3,0,0,'Données projet'!$E$12+1,1))</f>
        <v>285.59863510278109</v>
      </c>
      <c r="CE12" s="61">
        <f t="shared" si="40"/>
        <v>190.4880882944471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3.7333333333333334</v>
      </c>
      <c r="CT12" s="13">
        <f>IF('Données projet'!$A$140&gt;35,CT11+CS12-DB11,IF(A12&lt;'Données projet'!$A$140,$CQ$205^A12,IF(A12='Données projet'!$A$140,'Données projet'!$B$140,CT11+CS12-DB11)))</f>
        <v>4.1187497616061277</v>
      </c>
      <c r="CU12" s="18">
        <f>CT12*VLOOKUP('Données projet'!$B$13,Paramètres!$A$1:$I$89,3,0)*VLOOKUP('Données projet'!$B$13,Paramètres!$A$1:$I$89,5,0)</f>
        <v>1.9811186353325474</v>
      </c>
      <c r="CV12" s="14">
        <f t="shared" si="41"/>
        <v>0.84314480370421485</v>
      </c>
      <c r="CW12" s="22">
        <f t="shared" si="13"/>
        <v>4.9189254896556944</v>
      </c>
      <c r="CX12" s="61">
        <f t="shared" si="14"/>
        <v>272.58559215632238</v>
      </c>
      <c r="CY12" s="61">
        <f ca="1">AVERAGE(OFFSET($CX$3,0,0,'Données projet'!$E$13+1,1))-AVERAGE(OFFSET($H$3,0,0,'Données projet'!$E$13+1,1))</f>
        <v>273.72618036666552</v>
      </c>
      <c r="CZ12" s="61">
        <f t="shared" si="42"/>
        <v>157.67999791700714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3.3333333333333335</v>
      </c>
      <c r="DO12" s="13">
        <f>IF('Données projet'!$A$166&gt;35,DO11+DN12-DW11,IF(A12&lt;'Données projet'!$A$166,$DL$205^A12,IF(A12='Données projet'!$A$166,'Données projet'!$B$166,DO11+DN12-DW11)))</f>
        <v>10.456395525912733</v>
      </c>
      <c r="DP12" s="18">
        <f>DO12*VLOOKUP('Données projet'!$B$14,Paramètres!$A$1:$I$89,3,0)*VLOOKUP('Données projet'!$B$14,Paramètres!$A$1:$I$89,5,0)</f>
        <v>7.0141501187822621</v>
      </c>
      <c r="DQ12" s="14">
        <f t="shared" si="43"/>
        <v>2.5766511556462244</v>
      </c>
      <c r="DR12" s="22">
        <f t="shared" si="16"/>
        <v>16.70397888629628</v>
      </c>
      <c r="DS12" s="61">
        <f t="shared" si="17"/>
        <v>284.37064555296297</v>
      </c>
      <c r="DT12" s="61">
        <f ca="1">AVERAGE(OFFSET($DS$3,0,0,'Données projet'!$E$14+1,1))-AVERAGE(OFFSET($H$3,0,0,'Données projet'!$E$14+1,1))</f>
        <v>312.06797204903796</v>
      </c>
      <c r="DU12" s="61">
        <f t="shared" si="44"/>
        <v>258.20189001775151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>
        <f>VLOOKUP(A12,'Données projet'!$A$191:$I$211,2,0)</f>
        <v>11.5</v>
      </c>
      <c r="EH12" s="13">
        <f>VLOOKUP(A12,'Données projet'!$A$191:$I$211,9,0)</f>
        <v>2.2999999999999998</v>
      </c>
      <c r="EI12" s="13">
        <f t="array" ref="EI12">INDEX(EH:EH,MIN(IF(ISNUMBER(EH12:EH208),ROW(EH12:EH208),"")))</f>
        <v>2.2999999999999998</v>
      </c>
      <c r="EJ12" s="13">
        <f>IF('Données projet'!$A$192&gt;35,EJ11+EI12-ER11,IF(A12&lt;'Données projet'!$A$192,$EG$205^A12,IF(A12='Données projet'!$A$192,'Données projet'!$B$192,EJ11+EI12-ER11)))</f>
        <v>11.5</v>
      </c>
      <c r="EK12" s="18">
        <f>EJ12*VLOOKUP('Données projet'!$B$15,Paramètres!$A$1:$I$89,3,0)*VLOOKUP('Données projet'!$B$15,Paramètres!$A$1:$I$89,5,0)</f>
        <v>9.3288000000000011</v>
      </c>
      <c r="EL12" s="14">
        <f t="shared" si="45"/>
        <v>3.3150503283158583</v>
      </c>
      <c r="EM12" s="22">
        <f t="shared" si="19"/>
        <v>22.02137265515012</v>
      </c>
      <c r="EN12" s="61">
        <f t="shared" si="20"/>
        <v>289.6880393218168</v>
      </c>
      <c r="EO12" s="61">
        <f ca="1">AVERAGE(OFFSET($EN$3,0,0,'Données projet'!$E$15+1,1))-AVERAGE(OFFSET($H$3,0,0,'Données projet'!$E$15+1,1))</f>
        <v>222.15256609836689</v>
      </c>
      <c r="EP12" s="61">
        <f t="shared" si="46"/>
        <v>221.10360210521077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2.6666666666666665</v>
      </c>
      <c r="FE12" s="13">
        <f>IF('Données projet'!$A$218&gt;35,FE11+FD12-FM11,IF(A12&lt;'Données projet'!$A$218,$FB$205^A12,IF(A12='Données projet'!$A$218,'Données projet'!$B$218,FE11+FD12-FM11)))</f>
        <v>9.1461010385465205</v>
      </c>
      <c r="FF12" s="18">
        <f>FE12*VLOOKUP('Données projet'!$B$16,Paramètres!$A$1:$I$89,3,0)*VLOOKUP('Données projet'!$B$16,Paramètres!$A$1:$I$89,5,0)</f>
        <v>7.1339588100662858</v>
      </c>
      <c r="FG12" s="14">
        <f t="shared" si="47"/>
        <v>2.6155015444227643</v>
      </c>
      <c r="FH12" s="22">
        <f t="shared" si="22"/>
        <v>16.980310117401761</v>
      </c>
      <c r="FI12" s="61">
        <f t="shared" si="23"/>
        <v>284.64697678406844</v>
      </c>
      <c r="FJ12" s="61">
        <f ca="1">AVERAGE(OFFSET($FI$3,0,0,'Données projet'!$E$16+1,1))-AVERAGE(OFFSET($H$3,0,0,'Données projet'!$E$16+1,1))</f>
        <v>292.57482726862594</v>
      </c>
      <c r="FK12" s="61">
        <f t="shared" si="48"/>
        <v>283.48738729114024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2.1</v>
      </c>
      <c r="FZ12" s="13">
        <f>IF('Données projet'!$A$244&gt;35,FZ11+FY12-GH11,IF(A12&lt;'Données projet'!$A$244,$FW$205^A12,IF(A12='Données projet'!$A$244,'Données projet'!$B$244,FZ11+FY12-GH11)))</f>
        <v>5.3760361537574148</v>
      </c>
      <c r="GA12" s="18">
        <f>FZ12*VLOOKUP('Données projet'!$B$17,Paramètres!$A$1:$I$89,3,0)*VLOOKUP('Données projet'!$B$17,Paramètres!$A$1:$I$89,5,0)</f>
        <v>5.1997021679141717</v>
      </c>
      <c r="GB12" s="14">
        <f t="shared" si="49"/>
        <v>1.977837649208241</v>
      </c>
      <c r="GC12" s="22">
        <f t="shared" si="25"/>
        <v>12.500881848154869</v>
      </c>
      <c r="GD12" s="61">
        <f t="shared" si="26"/>
        <v>280.16754851482153</v>
      </c>
      <c r="GE12" s="61">
        <f ca="1">AVERAGE(OFFSET($GD$3,0,0,'Données projet'!$E$17+1,1))-AVERAGE(OFFSET($H$3,0,0,'Données projet'!$E$17+1,1))</f>
        <v>455.50822833641354</v>
      </c>
      <c r="GF12" s="61">
        <f t="shared" si="50"/>
        <v>261.14722581688039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2.1</v>
      </c>
      <c r="GU12" s="13">
        <f>IF('Données projet'!$A$270&gt;35,GU11+GT12-HC11,IF(A12&lt;'Données projet'!$A$270,$GR$205^A12,IF(A12='Données projet'!$A$270,'Données projet'!$B$270,GU11+GT12-HC11)))</f>
        <v>5.3760361537574148</v>
      </c>
      <c r="GV12" s="18">
        <f>GU12*VLOOKUP('Données projet'!$B$18,Paramètres!$A$1:$I$89,3,0)*VLOOKUP('Données projet'!$B$18,Paramètres!$A$1:$I$89,5,0)</f>
        <v>5.7867653159044812</v>
      </c>
      <c r="GW12" s="14">
        <f t="shared" si="51"/>
        <v>2.1739041889582755</v>
      </c>
      <c r="GX12" s="22">
        <f t="shared" si="28"/>
        <v>13.864832720969302</v>
      </c>
      <c r="GY12" s="61">
        <f t="shared" si="29"/>
        <v>281.53149938763596</v>
      </c>
      <c r="GZ12" s="61">
        <f ca="1">AVERAGE(OFFSET($GY$3,0,0,'Données projet'!$E$18+1,1))-AVERAGE(OFFSET($H$3,0,0,'Données projet'!$E$18+1,1))</f>
        <v>502.07782026233912</v>
      </c>
      <c r="HA12" s="61">
        <f t="shared" si="52"/>
        <v>285.83623046025156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5.8637741839194364</v>
      </c>
      <c r="P13" s="14">
        <f t="shared" si="33"/>
        <v>2.1994468497187687</v>
      </c>
      <c r="Q13" s="22">
        <f t="shared" si="2"/>
        <v>14.043443300253207</v>
      </c>
      <c r="R13" s="61">
        <f t="shared" si="0"/>
        <v>282.93233218914207</v>
      </c>
      <c r="S13" s="61">
        <f ca="1">AVERAGE(OFFSET($R$3,0,0,'Données projet'!$E$9+1,1))-AVERAGE(OFFSET($H$3,0,0,'Données projet'!$E$9+1,1))</f>
        <v>428.8489304403459</v>
      </c>
      <c r="T13" s="61">
        <f t="shared" si="34"/>
        <v>247.01165577562966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1">
        <f t="shared" si="5"/>
        <v>284.57066751792433</v>
      </c>
      <c r="AN13" s="61">
        <f ca="1">AVERAGE(OFFSET($AM$3,0,0,'Données projet'!$E$10+1,1))-AVERAGE(OFFSET($H$3,0,0,'Données projet'!$E$10+1,1))</f>
        <v>475.47920969424894</v>
      </c>
      <c r="AO13" s="61">
        <f t="shared" si="36"/>
        <v>271.73544012419364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10</v>
      </c>
      <c r="BD13" s="13">
        <f>IF('Données projet'!$A$88&gt;35,BD12+BC13-BL12,IF(A13&lt;'Données projet'!$A$88,$BA$205^A13,IF(A13='Données projet'!$A$88,'Données projet'!$B$88,BD12+BC13-BL12)))</f>
        <v>12.75906094165166</v>
      </c>
      <c r="BE13" s="14">
        <f>BD13*VLOOKUP('Données projet'!$B$11,Paramètres!$A$1:$I$89,3,0)*VLOOKUP('Données projet'!$B$11,Paramètres!$A$1:$I$89,5,0)</f>
        <v>7.1323150663832777</v>
      </c>
      <c r="BF13" s="14">
        <f t="shared" si="37"/>
        <v>2.6149690439328648</v>
      </c>
      <c r="BG13" s="22">
        <f t="shared" si="7"/>
        <v>16.976519825467278</v>
      </c>
      <c r="BH13" s="61">
        <f t="shared" si="8"/>
        <v>285.86540871435614</v>
      </c>
      <c r="BI13" s="61">
        <f ca="1">AVERAGE(OFFSET($BH$3,0,0,'Données projet'!$E$11+1,1))-AVERAGE(OFFSET($H$3,0,0,'Données projet'!$E$11+1,1))</f>
        <v>374.79806286316051</v>
      </c>
      <c r="BJ13" s="61">
        <f t="shared" si="38"/>
        <v>350.01856672839466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4.9084615384615384</v>
      </c>
      <c r="BY13" s="13">
        <f>IF('Données projet'!$A$114&gt;35,BY12+BX13-CG12,IF(A13&lt;'Données projet'!$A$114,$BV$205^A13,IF(A13='Données projet'!$A$114,'Données projet'!$B$114,BY12+BX13-CG12)))</f>
        <v>5.2806682243912917</v>
      </c>
      <c r="BZ13" s="14">
        <f>BY13*VLOOKUP('Données projet'!$B$12,Paramètres!$A$1:$I$89,3,0)*VLOOKUP('Données projet'!$B$12,Paramètres!$A$1:$I$89,5,0)</f>
        <v>2.4713527290151243</v>
      </c>
      <c r="CA13" s="14">
        <f t="shared" si="39"/>
        <v>1.0250597883345953</v>
      </c>
      <c r="CB13" s="22">
        <f t="shared" si="10"/>
        <v>6.0895851343840945</v>
      </c>
      <c r="CC13" s="61">
        <f t="shared" si="11"/>
        <v>274.97847402327295</v>
      </c>
      <c r="CD13" s="61">
        <f ca="1">AVERAGE(OFFSET($CC$3,0,0,'Données projet'!$E$12+1,1))-AVERAGE(OFFSET($H$3,0,0,'Données projet'!$E$12+1,1))</f>
        <v>285.59863510278109</v>
      </c>
      <c r="CE13" s="61">
        <f t="shared" si="40"/>
        <v>190.4880882944471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3.7333333333333334</v>
      </c>
      <c r="CT13" s="13">
        <f>IF('Données projet'!$A$140&gt;35,CT12+CS13-DB12,IF(A13&lt;'Données projet'!$A$140,$CQ$205^A13,IF(A13='Données projet'!$A$140,'Données projet'!$B$140,CT12+CS13-DB12)))</f>
        <v>4.8202845283504558</v>
      </c>
      <c r="CU13" s="18">
        <f>CT13*VLOOKUP('Données projet'!$B$13,Paramètres!$A$1:$I$89,3,0)*VLOOKUP('Données projet'!$B$13,Paramètres!$A$1:$I$89,5,0)</f>
        <v>2.3185568581365694</v>
      </c>
      <c r="CV13" s="14">
        <f t="shared" si="41"/>
        <v>0.96885429597228678</v>
      </c>
      <c r="CW13" s="22">
        <f t="shared" si="13"/>
        <v>5.7255744267395903</v>
      </c>
      <c r="CX13" s="61">
        <f t="shared" si="14"/>
        <v>274.61446331562843</v>
      </c>
      <c r="CY13" s="61">
        <f ca="1">AVERAGE(OFFSET($CX$3,0,0,'Données projet'!$E$13+1,1))-AVERAGE(OFFSET($H$3,0,0,'Données projet'!$E$13+1,1))</f>
        <v>273.72618036666552</v>
      </c>
      <c r="CZ13" s="61">
        <f t="shared" si="42"/>
        <v>157.67999791700714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3.3333333333333335</v>
      </c>
      <c r="DO13" s="13">
        <f>IF('Données projet'!$A$166&gt;35,DO12+DN13-DW12,IF(A13&lt;'Données projet'!$A$166,$DL$205^A13,IF(A13='Données projet'!$A$166,'Données projet'!$B$166,DO12+DN13-DW12)))</f>
        <v>13.572088082974533</v>
      </c>
      <c r="DP13" s="18">
        <f>DO13*VLOOKUP('Données projet'!$B$14,Paramètres!$A$1:$I$89,3,0)*VLOOKUP('Données projet'!$B$14,Paramètres!$A$1:$I$89,5,0)</f>
        <v>9.1041566860593175</v>
      </c>
      <c r="DQ13" s="14">
        <f t="shared" si="43"/>
        <v>3.2444141328681457</v>
      </c>
      <c r="DR13" s="22">
        <f t="shared" si="16"/>
        <v>21.507094176298665</v>
      </c>
      <c r="DS13" s="61">
        <f t="shared" si="17"/>
        <v>290.39598306518752</v>
      </c>
      <c r="DT13" s="61">
        <f ca="1">AVERAGE(OFFSET($DS$3,0,0,'Données projet'!$E$14+1,1))-AVERAGE(OFFSET($H$3,0,0,'Données projet'!$E$14+1,1))</f>
        <v>312.06797204903796</v>
      </c>
      <c r="DU13" s="61">
        <f t="shared" si="44"/>
        <v>258.20189001775151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2.4000000000000004</v>
      </c>
      <c r="EJ13" s="13">
        <f>IF('Données projet'!$A$192&gt;35,EJ12+EI13-ER12,IF(A13&lt;'Données projet'!$A$192,$EG$205^A13,IF(A13='Données projet'!$A$192,'Données projet'!$B$192,EJ12+EI13-ER12)))</f>
        <v>13.9</v>
      </c>
      <c r="EK13" s="18">
        <f>EJ13*VLOOKUP('Données projet'!$B$15,Paramètres!$A$1:$I$89,3,0)*VLOOKUP('Données projet'!$B$15,Paramètres!$A$1:$I$89,5,0)</f>
        <v>11.275680000000001</v>
      </c>
      <c r="EL13" s="14">
        <f t="shared" si="45"/>
        <v>3.9194523766561509</v>
      </c>
      <c r="EM13" s="22">
        <f t="shared" si="19"/>
        <v>26.464855556009464</v>
      </c>
      <c r="EN13" s="61">
        <f t="shared" si="20"/>
        <v>295.35374444489833</v>
      </c>
      <c r="EO13" s="61">
        <f ca="1">AVERAGE(OFFSET($EN$3,0,0,'Données projet'!$E$15+1,1))-AVERAGE(OFFSET($H$3,0,0,'Données projet'!$E$15+1,1))</f>
        <v>222.15256609836689</v>
      </c>
      <c r="EP13" s="61">
        <f t="shared" si="46"/>
        <v>221.10360210521077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2.6666666666666665</v>
      </c>
      <c r="FE13" s="13">
        <f>IF('Données projet'!$A$218&gt;35,FE12+FD13-FM12,IF(A13&lt;'Données projet'!$A$218,$FB$205^A13,IF(A13='Données projet'!$A$218,'Données projet'!$B$218,FE12+FD13-FM12)))</f>
        <v>11.696070952851455</v>
      </c>
      <c r="FF13" s="18">
        <f>FE13*VLOOKUP('Données projet'!$B$16,Paramètres!$A$1:$I$89,3,0)*VLOOKUP('Données projet'!$B$16,Paramètres!$A$1:$I$89,5,0)</f>
        <v>9.1229353432241354</v>
      </c>
      <c r="FG13" s="14">
        <f t="shared" si="47"/>
        <v>3.2503265450485803</v>
      </c>
      <c r="FH13" s="22">
        <f t="shared" si="22"/>
        <v>21.550097788741649</v>
      </c>
      <c r="FI13" s="61">
        <f t="shared" si="23"/>
        <v>290.43898667763051</v>
      </c>
      <c r="FJ13" s="61">
        <f ca="1">AVERAGE(OFFSET($FI$3,0,0,'Données projet'!$E$16+1,1))-AVERAGE(OFFSET($H$3,0,0,'Données projet'!$E$16+1,1))</f>
        <v>292.57482726862594</v>
      </c>
      <c r="FK13" s="61">
        <f t="shared" si="48"/>
        <v>283.48738729114024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2.1</v>
      </c>
      <c r="FZ13" s="13">
        <f>IF('Données projet'!$A$244&gt;35,FZ12+FY13-GH12,IF(A13&lt;'Données projet'!$A$244,$FW$205^A13,IF(A13='Données projet'!$A$244,'Données projet'!$B$244,FZ12+FY13-GH12)))</f>
        <v>6.4807406984078657</v>
      </c>
      <c r="GA13" s="18">
        <f>FZ13*VLOOKUP('Données projet'!$B$17,Paramètres!$A$1:$I$89,3,0)*VLOOKUP('Données projet'!$B$17,Paramètres!$A$1:$I$89,5,0)</f>
        <v>6.2681724035000874</v>
      </c>
      <c r="GB13" s="14">
        <f t="shared" si="49"/>
        <v>2.3329519459947301</v>
      </c>
      <c r="GC13" s="22">
        <f t="shared" si="25"/>
        <v>14.98029157537014</v>
      </c>
      <c r="GD13" s="61">
        <f t="shared" si="26"/>
        <v>283.86918046425899</v>
      </c>
      <c r="GE13" s="61">
        <f ca="1">AVERAGE(OFFSET($GD$3,0,0,'Données projet'!$E$17+1,1))-AVERAGE(OFFSET($H$3,0,0,'Données projet'!$E$17+1,1))</f>
        <v>455.50822833641354</v>
      </c>
      <c r="GF13" s="61">
        <f t="shared" si="50"/>
        <v>261.14722581688039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2.1</v>
      </c>
      <c r="GU13" s="13">
        <f>IF('Données projet'!$A$270&gt;35,GU12+GT13-HC12,IF(A13&lt;'Données projet'!$A$270,$GR$205^A13,IF(A13='Données projet'!$A$270,'Données projet'!$B$270,GU12+GT13-HC12)))</f>
        <v>6.4807406984078657</v>
      </c>
      <c r="GV13" s="18">
        <f>GU13*VLOOKUP('Données projet'!$B$18,Paramètres!$A$1:$I$89,3,0)*VLOOKUP('Données projet'!$B$18,Paramètres!$A$1:$I$89,5,0)</f>
        <v>6.9758692877662263</v>
      </c>
      <c r="GW13" s="14">
        <f t="shared" si="51"/>
        <v>2.5642215932468222</v>
      </c>
      <c r="GX13" s="22">
        <f t="shared" si="28"/>
        <v>16.61565828443106</v>
      </c>
      <c r="GY13" s="61">
        <f t="shared" si="29"/>
        <v>285.50454717331991</v>
      </c>
      <c r="GZ13" s="61">
        <f ca="1">AVERAGE(OFFSET($GY$3,0,0,'Données projet'!$E$18+1,1))-AVERAGE(OFFSET($H$3,0,0,'Données projet'!$E$18+1,1))</f>
        <v>502.07782026233912</v>
      </c>
      <c r="HA13" s="61">
        <f t="shared" si="52"/>
        <v>285.83623046025156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7.0687024627689707</v>
      </c>
      <c r="P14" s="14">
        <f t="shared" si="33"/>
        <v>2.5943503554083325</v>
      </c>
      <c r="Q14" s="22">
        <f t="shared" si="2"/>
        <v>16.829816991658799</v>
      </c>
      <c r="R14" s="61">
        <f t="shared" si="0"/>
        <v>286.94092810276993</v>
      </c>
      <c r="S14" s="61">
        <f ca="1">AVERAGE(OFFSET($R$3,0,0,'Données projet'!$E$9+1,1))-AVERAGE(OFFSET($H$3,0,0,'Données projet'!$E$9+1,1))</f>
        <v>428.8489304403459</v>
      </c>
      <c r="T14" s="61">
        <f t="shared" si="34"/>
        <v>247.01165577562966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1">
        <f t="shared" si="5"/>
        <v>288.90539420934834</v>
      </c>
      <c r="AN14" s="61">
        <f ca="1">AVERAGE(OFFSET($AM$3,0,0,'Données projet'!$E$10+1,1))-AVERAGE(OFFSET($H$3,0,0,'Données projet'!$E$10+1,1))</f>
        <v>475.47920969424894</v>
      </c>
      <c r="AO14" s="61">
        <f t="shared" si="36"/>
        <v>271.73544012419364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</v>
      </c>
      <c r="BD14" s="13">
        <f>IF('Données projet'!$A$88&gt;35,BD13+BC14-BL13,IF(A14&lt;'Données projet'!$A$88,$BA$205^A14,IF(A14='Données projet'!$A$88,'Données projet'!$B$88,BD13+BC14-BL13)))</f>
        <v>16.45889152503846</v>
      </c>
      <c r="BE14" s="14">
        <f>BD14*VLOOKUP('Données projet'!$B$11,Paramètres!$A$1:$I$89,3,0)*VLOOKUP('Données projet'!$B$11,Paramètres!$A$1:$I$89,5,0)</f>
        <v>9.2005203624964995</v>
      </c>
      <c r="BF14" s="14">
        <f t="shared" si="37"/>
        <v>3.2747390106980423</v>
      </c>
      <c r="BG14" s="22">
        <f t="shared" si="7"/>
        <v>21.727743408313824</v>
      </c>
      <c r="BH14" s="61">
        <f t="shared" si="8"/>
        <v>291.83885451942496</v>
      </c>
      <c r="BI14" s="61">
        <f ca="1">AVERAGE(OFFSET($BH$3,0,0,'Données projet'!$E$11+1,1))-AVERAGE(OFFSET($H$3,0,0,'Données projet'!$E$11+1,1))</f>
        <v>374.79806286316051</v>
      </c>
      <c r="BJ14" s="61">
        <f t="shared" si="38"/>
        <v>350.01856672839466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4.9084615384615384</v>
      </c>
      <c r="BY14" s="13">
        <f>IF('Données projet'!$A$114&gt;35,BY13+BX14-CG13,IF(A14&lt;'Données projet'!$A$114,$BV$205^A14,IF(A14='Données projet'!$A$114,'Données projet'!$B$114,BY13+BX14-CG13)))</f>
        <v>6.2367418843040729</v>
      </c>
      <c r="BZ14" s="14">
        <f>BY14*VLOOKUP('Données projet'!$B$12,Paramètres!$A$1:$I$89,3,0)*VLOOKUP('Données projet'!$B$12,Paramètres!$A$1:$I$89,5,0)</f>
        <v>2.9187952018543064</v>
      </c>
      <c r="CA14" s="14">
        <f t="shared" si="39"/>
        <v>1.1874244488629264</v>
      </c>
      <c r="CB14" s="22">
        <f t="shared" si="10"/>
        <v>7.1516658916658464</v>
      </c>
      <c r="CC14" s="61">
        <f t="shared" si="11"/>
        <v>277.262777002777</v>
      </c>
      <c r="CD14" s="61">
        <f ca="1">AVERAGE(OFFSET($CC$3,0,0,'Données projet'!$E$12+1,1))-AVERAGE(OFFSET($H$3,0,0,'Données projet'!$E$12+1,1))</f>
        <v>285.59863510278109</v>
      </c>
      <c r="CE14" s="61">
        <f t="shared" si="40"/>
        <v>190.4880882944471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3.7333333333333334</v>
      </c>
      <c r="CT14" s="13">
        <f>IF('Données projet'!$A$140&gt;35,CT13+CS14-DB13,IF(A14&lt;'Données projet'!$A$140,$CQ$205^A14,IF(A14='Données projet'!$A$140,'Données projet'!$B$140,CT13+CS14-DB13)))</f>
        <v>5.6413096884026555</v>
      </c>
      <c r="CU14" s="18">
        <f>CT14*VLOOKUP('Données projet'!$B$13,Paramètres!$A$1:$I$89,3,0)*VLOOKUP('Données projet'!$B$13,Paramètres!$A$1:$I$89,5,0)</f>
        <v>2.7134699601216772</v>
      </c>
      <c r="CV14" s="14">
        <f t="shared" si="41"/>
        <v>1.1133065669147559</v>
      </c>
      <c r="CW14" s="22">
        <f t="shared" si="13"/>
        <v>6.664969117921788</v>
      </c>
      <c r="CX14" s="61">
        <f t="shared" si="14"/>
        <v>276.77608022903291</v>
      </c>
      <c r="CY14" s="61">
        <f ca="1">AVERAGE(OFFSET($CX$3,0,0,'Données projet'!$E$13+1,1))-AVERAGE(OFFSET($H$3,0,0,'Données projet'!$E$13+1,1))</f>
        <v>273.72618036666552</v>
      </c>
      <c r="CZ14" s="61">
        <f t="shared" si="42"/>
        <v>157.67999791700714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3.3333333333333335</v>
      </c>
      <c r="DO14" s="13">
        <f>IF('Données projet'!$A$166&gt;35,DO13+DN14-DW13,IF(A14&lt;'Données projet'!$A$166,$DL$205^A14,IF(A14='Données projet'!$A$166,'Données projet'!$B$166,DO13+DN14-DW13)))</f>
        <v>17.616163665149852</v>
      </c>
      <c r="DP14" s="18">
        <f>DO14*VLOOKUP('Données projet'!$B$14,Paramètres!$A$1:$I$89,3,0)*VLOOKUP('Données projet'!$B$14,Paramètres!$A$1:$I$89,5,0)</f>
        <v>11.816922586582521</v>
      </c>
      <c r="DQ14" s="14">
        <f t="shared" si="43"/>
        <v>4.0852340614632361</v>
      </c>
      <c r="DR14" s="22">
        <f t="shared" si="16"/>
        <v>27.696256162013025</v>
      </c>
      <c r="DS14" s="61">
        <f t="shared" si="17"/>
        <v>297.80736727312416</v>
      </c>
      <c r="DT14" s="61">
        <f ca="1">AVERAGE(OFFSET($DS$3,0,0,'Données projet'!$E$14+1,1))-AVERAGE(OFFSET($H$3,0,0,'Données projet'!$E$14+1,1))</f>
        <v>312.06797204903796</v>
      </c>
      <c r="DU14" s="61">
        <f t="shared" si="44"/>
        <v>258.20189001775151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>
        <f>VLOOKUP(A14,'Données projet'!$A$191:$I$211,2,0)</f>
        <v>16.3</v>
      </c>
      <c r="EH14" s="13">
        <f>VLOOKUP(A14,'Données projet'!$A$191:$I$211,9,0)</f>
        <v>2.4000000000000004</v>
      </c>
      <c r="EI14" s="13">
        <f t="array" ref="EI14">INDEX(EH:EH,MIN(IF(ISNUMBER(EH14:EH210),ROW(EH14:EH210),"")))</f>
        <v>2.4000000000000004</v>
      </c>
      <c r="EJ14" s="13">
        <f>IF('Données projet'!$A$192&gt;35,EJ13+EI14-ER13,IF(A14&lt;'Données projet'!$A$192,$EG$205^A14,IF(A14='Données projet'!$A$192,'Données projet'!$B$192,EJ13+EI14-ER13)))</f>
        <v>16.3</v>
      </c>
      <c r="EK14" s="18">
        <f>EJ14*VLOOKUP('Données projet'!$B$15,Paramètres!$A$1:$I$89,3,0)*VLOOKUP('Données projet'!$B$15,Paramètres!$A$1:$I$89,5,0)</f>
        <v>13.222560000000001</v>
      </c>
      <c r="EL14" s="14">
        <f t="shared" si="45"/>
        <v>4.5117651119971747</v>
      </c>
      <c r="EM14" s="22">
        <f t="shared" si="19"/>
        <v>30.887282903395079</v>
      </c>
      <c r="EN14" s="61">
        <f t="shared" si="20"/>
        <v>300.99839401450623</v>
      </c>
      <c r="EO14" s="61">
        <f ca="1">AVERAGE(OFFSET($EN$3,0,0,'Données projet'!$E$15+1,1))-AVERAGE(OFFSET($H$3,0,0,'Données projet'!$E$15+1,1))</f>
        <v>222.15256609836689</v>
      </c>
      <c r="EP14" s="61">
        <f t="shared" si="46"/>
        <v>221.10360210521077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2.6666666666666665</v>
      </c>
      <c r="FE14" s="13">
        <f>IF('Données projet'!$A$218&gt;35,FE13+FD14-FM13,IF(A14&lt;'Données projet'!$A$218,$FB$205^A14,IF(A14='Données projet'!$A$218,'Données projet'!$B$218,FE13+FD14-FM13)))</f>
        <v>14.956982779612416</v>
      </c>
      <c r="FF14" s="18">
        <f>FE14*VLOOKUP('Données projet'!$B$16,Paramètres!$A$1:$I$89,3,0)*VLOOKUP('Données projet'!$B$16,Paramètres!$A$1:$I$89,5,0)</f>
        <v>11.666446568097685</v>
      </c>
      <c r="FG14" s="14">
        <f t="shared" si="47"/>
        <v>4.0392339557111736</v>
      </c>
      <c r="FH14" s="22">
        <f t="shared" si="22"/>
        <v>27.354060245633761</v>
      </c>
      <c r="FI14" s="61">
        <f t="shared" si="23"/>
        <v>297.46517135674492</v>
      </c>
      <c r="FJ14" s="61">
        <f ca="1">AVERAGE(OFFSET($FI$3,0,0,'Données projet'!$E$16+1,1))-AVERAGE(OFFSET($H$3,0,0,'Données projet'!$E$16+1,1))</f>
        <v>292.57482726862594</v>
      </c>
      <c r="FK14" s="61">
        <f t="shared" si="48"/>
        <v>283.48738729114024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2.1</v>
      </c>
      <c r="FZ14" s="13">
        <f>IF('Données projet'!$A$244&gt;35,FZ13+FY14-GH13,IF(A14&lt;'Données projet'!$A$244,$FW$205^A14,IF(A14='Données projet'!$A$244,'Données projet'!$B$244,FZ13+FY14-GH13)))</f>
        <v>7.8124474610620815</v>
      </c>
      <c r="GA14" s="18">
        <f>FZ14*VLOOKUP('Données projet'!$B$17,Paramètres!$A$1:$I$89,3,0)*VLOOKUP('Données projet'!$B$17,Paramètres!$A$1:$I$89,5,0)</f>
        <v>7.5561991843392455</v>
      </c>
      <c r="GB14" s="14">
        <f t="shared" si="49"/>
        <v>2.7518258561310041</v>
      </c>
      <c r="GC14" s="22">
        <f t="shared" si="25"/>
        <v>17.953143612152349</v>
      </c>
      <c r="GD14" s="61">
        <f t="shared" si="26"/>
        <v>288.0642547232635</v>
      </c>
      <c r="GE14" s="61">
        <f ca="1">AVERAGE(OFFSET($GD$3,0,0,'Données projet'!$E$17+1,1))-AVERAGE(OFFSET($H$3,0,0,'Données projet'!$E$17+1,1))</f>
        <v>455.50822833641354</v>
      </c>
      <c r="GF14" s="61">
        <f t="shared" si="50"/>
        <v>261.14722581688039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2.1</v>
      </c>
      <c r="GU14" s="13">
        <f>IF('Données projet'!$A$270&gt;35,GU13+GT14-HC13,IF(A14&lt;'Données projet'!$A$270,$GR$205^A14,IF(A14='Données projet'!$A$270,'Données projet'!$B$270,GU13+GT14-HC13)))</f>
        <v>7.8124474610620815</v>
      </c>
      <c r="GV14" s="18">
        <f>GU14*VLOOKUP('Données projet'!$B$18,Paramètres!$A$1:$I$89,3,0)*VLOOKUP('Données projet'!$B$18,Paramètres!$A$1:$I$89,5,0)</f>
        <v>8.4093184470872249</v>
      </c>
      <c r="GW14" s="14">
        <f t="shared" si="51"/>
        <v>3.0246192139792929</v>
      </c>
      <c r="GX14" s="22">
        <f t="shared" si="28"/>
        <v>19.914108093024186</v>
      </c>
      <c r="GY14" s="61">
        <f t="shared" si="29"/>
        <v>290.02521920413534</v>
      </c>
      <c r="GZ14" s="61">
        <f ca="1">AVERAGE(OFFSET($GY$3,0,0,'Données projet'!$E$18+1,1))-AVERAGE(OFFSET($H$3,0,0,'Données projet'!$E$18+1,1))</f>
        <v>502.07782026233912</v>
      </c>
      <c r="HA14" s="61">
        <f t="shared" si="52"/>
        <v>285.83623046025156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8.521227615514638</v>
      </c>
      <c r="P15" s="14">
        <f t="shared" si="33"/>
        <v>3.0601574970852128</v>
      </c>
      <c r="Q15" s="22">
        <f t="shared" si="2"/>
        <v>20.170912404444739</v>
      </c>
      <c r="R15" s="61">
        <f t="shared" si="0"/>
        <v>291.50424573777804</v>
      </c>
      <c r="S15" s="61">
        <f ca="1">AVERAGE(OFFSET($R$3,0,0,'Données projet'!$E$9+1,1))-AVERAGE(OFFSET($H$3,0,0,'Données projet'!$E$9+1,1))</f>
        <v>428.8489304403459</v>
      </c>
      <c r="T15" s="61">
        <f t="shared" si="34"/>
        <v>247.01165577562966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1">
        <f t="shared" si="5"/>
        <v>293.85996837222763</v>
      </c>
      <c r="AN15" s="61">
        <f ca="1">AVERAGE(OFFSET($AM$3,0,0,'Données projet'!$E$10+1,1))-AVERAGE(OFFSET($H$3,0,0,'Données projet'!$E$10+1,1))</f>
        <v>475.47920969424894</v>
      </c>
      <c r="AO15" s="61">
        <f t="shared" si="36"/>
        <v>271.73544012419364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</v>
      </c>
      <c r="BD15" s="13">
        <f>IF('Données projet'!$A$88&gt;35,BD14+BC15-BL14,IF(A15&lt;'Données projet'!$A$88,$BA$205^A15,IF(A15='Données projet'!$A$88,'Données projet'!$B$88,BD14+BC15-BL14)))</f>
        <v>21.231586828514317</v>
      </c>
      <c r="BE15" s="14">
        <f>BD15*VLOOKUP('Données projet'!$B$11,Paramètres!$A$1:$I$89,3,0)*VLOOKUP('Données projet'!$B$11,Paramètres!$A$1:$I$89,5,0)</f>
        <v>11.868457037139505</v>
      </c>
      <c r="BF15" s="14">
        <f t="shared" si="37"/>
        <v>4.1009722899277703</v>
      </c>
      <c r="BG15" s="22">
        <f t="shared" si="7"/>
        <v>27.813422744642168</v>
      </c>
      <c r="BH15" s="61">
        <f t="shared" si="8"/>
        <v>299.14675607797551</v>
      </c>
      <c r="BI15" s="61">
        <f ca="1">AVERAGE(OFFSET($BH$3,0,0,'Données projet'!$E$11+1,1))-AVERAGE(OFFSET($H$3,0,0,'Données projet'!$E$11+1,1))</f>
        <v>374.79806286316051</v>
      </c>
      <c r="BJ15" s="61">
        <f t="shared" si="38"/>
        <v>350.01856672839466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4.9084615384615384</v>
      </c>
      <c r="BY15" s="13">
        <f>IF('Données projet'!$A$114&gt;35,BY14+BX15-CG14,IF(A15&lt;'Données projet'!$A$114,$BV$205^A15,IF(A15='Données projet'!$A$114,'Données projet'!$B$114,BY14+BX15-CG14)))</f>
        <v>7.3659142514897171</v>
      </c>
      <c r="BZ15" s="14">
        <f>BY15*VLOOKUP('Données projet'!$B$12,Paramètres!$A$1:$I$89,3,0)*VLOOKUP('Données projet'!$B$12,Paramètres!$A$1:$I$89,5,0)</f>
        <v>3.447247869697188</v>
      </c>
      <c r="CA15" s="14">
        <f t="shared" si="39"/>
        <v>1.3755069097464061</v>
      </c>
      <c r="CB15" s="22">
        <f t="shared" si="10"/>
        <v>8.3996312408642595</v>
      </c>
      <c r="CC15" s="61">
        <f t="shared" si="11"/>
        <v>279.73296457419758</v>
      </c>
      <c r="CD15" s="61">
        <f ca="1">AVERAGE(OFFSET($CC$3,0,0,'Données projet'!$E$12+1,1))-AVERAGE(OFFSET($H$3,0,0,'Données projet'!$E$12+1,1))</f>
        <v>285.59863510278109</v>
      </c>
      <c r="CE15" s="61">
        <f t="shared" si="40"/>
        <v>190.4880882944471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3.7333333333333334</v>
      </c>
      <c r="CT15" s="13">
        <f>IF('Données projet'!$A$140&gt;35,CT14+CS15-DB14,IF(A15&lt;'Données projet'!$A$140,$CQ$205^A15,IF(A15='Données projet'!$A$140,'Données projet'!$B$140,CT14+CS15-DB14)))</f>
        <v>6.6021776957959455</v>
      </c>
      <c r="CU15" s="18">
        <f>CT15*VLOOKUP('Données projet'!$B$13,Paramètres!$A$1:$I$89,3,0)*VLOOKUP('Données projet'!$B$13,Paramètres!$A$1:$I$89,5,0)</f>
        <v>3.1756474716778502</v>
      </c>
      <c r="CV15" s="14">
        <f t="shared" si="41"/>
        <v>1.2792960892965615</v>
      </c>
      <c r="CW15" s="22">
        <f t="shared" si="13"/>
        <v>7.7590267020304333</v>
      </c>
      <c r="CX15" s="61">
        <f t="shared" si="14"/>
        <v>279.09236003536375</v>
      </c>
      <c r="CY15" s="61">
        <f ca="1">AVERAGE(OFFSET($CX$3,0,0,'Données projet'!$E$13+1,1))-AVERAGE(OFFSET($H$3,0,0,'Données projet'!$E$13+1,1))</f>
        <v>273.72618036666552</v>
      </c>
      <c r="CZ15" s="61">
        <f t="shared" si="42"/>
        <v>157.67999791700714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3.3333333333333335</v>
      </c>
      <c r="DO15" s="13">
        <f>IF('Données projet'!$A$166&gt;35,DO14+DN15-DW14,IF(A15&lt;'Données projet'!$A$166,$DL$205^A15,IF(A15='Données projet'!$A$166,'Données projet'!$B$166,DO14+DN15-DW14)))</f>
        <v>22.865252596366318</v>
      </c>
      <c r="DP15" s="18">
        <f>DO15*VLOOKUP('Données projet'!$B$14,Paramètres!$A$1:$I$89,3,0)*VLOOKUP('Données projet'!$B$14,Paramètres!$A$1:$I$89,5,0)</f>
        <v>15.338011441642525</v>
      </c>
      <c r="DQ15" s="14">
        <f t="shared" si="43"/>
        <v>5.1439602509023024</v>
      </c>
      <c r="DR15" s="22">
        <f t="shared" si="16"/>
        <v>35.672767364515572</v>
      </c>
      <c r="DS15" s="61">
        <f t="shared" si="17"/>
        <v>307.00610069784886</v>
      </c>
      <c r="DT15" s="61">
        <f ca="1">AVERAGE(OFFSET($DS$3,0,0,'Données projet'!$E$14+1,1))-AVERAGE(OFFSET($H$3,0,0,'Données projet'!$E$14+1,1))</f>
        <v>312.06797204903796</v>
      </c>
      <c r="DU15" s="61">
        <f t="shared" si="44"/>
        <v>258.20189001775151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5.4</v>
      </c>
      <c r="EJ15" s="13">
        <f>IF('Données projet'!$A$192&gt;35,EJ14+EI15-ER14,IF(A15&lt;'Données projet'!$A$192,$EG$205^A15,IF(A15='Données projet'!$A$192,'Données projet'!$B$192,EJ14+EI15-ER14)))</f>
        <v>21.700000000000003</v>
      </c>
      <c r="EK15" s="18">
        <f>EJ15*VLOOKUP('Données projet'!$B$15,Paramètres!$A$1:$I$89,3,0)*VLOOKUP('Données projet'!$B$15,Paramètres!$A$1:$I$89,5,0)</f>
        <v>17.603040000000004</v>
      </c>
      <c r="EL15" s="14">
        <f t="shared" si="45"/>
        <v>5.8096950272828973</v>
      </c>
      <c r="EM15" s="22">
        <f t="shared" si="19"/>
        <v>40.77718017251771</v>
      </c>
      <c r="EN15" s="61">
        <f t="shared" si="20"/>
        <v>312.11051350585103</v>
      </c>
      <c r="EO15" s="61">
        <f ca="1">AVERAGE(OFFSET($EN$3,0,0,'Données projet'!$E$15+1,1))-AVERAGE(OFFSET($H$3,0,0,'Données projet'!$E$15+1,1))</f>
        <v>222.15256609836689</v>
      </c>
      <c r="EP15" s="61">
        <f t="shared" si="46"/>
        <v>221.10360210521077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2.6666666666666665</v>
      </c>
      <c r="FE15" s="13">
        <f>IF('Données projet'!$A$218&gt;35,FE14+FD15-FM14,IF(A15&lt;'Données projet'!$A$218,$FB$205^A15,IF(A15='Données projet'!$A$218,'Données projet'!$B$218,FE14+FD15-FM14)))</f>
        <v>19.127049995800721</v>
      </c>
      <c r="FF15" s="18">
        <f>FE15*VLOOKUP('Données projet'!$B$16,Paramètres!$A$1:$I$89,3,0)*VLOOKUP('Données projet'!$B$16,Paramètres!$A$1:$I$89,5,0)</f>
        <v>14.919098996724562</v>
      </c>
      <c r="FG15" s="14">
        <f t="shared" si="47"/>
        <v>5.019622097301081</v>
      </c>
      <c r="FH15" s="22">
        <f t="shared" si="22"/>
        <v>34.726605905427995</v>
      </c>
      <c r="FI15" s="61">
        <f t="shared" si="23"/>
        <v>306.05993923876133</v>
      </c>
      <c r="FJ15" s="61">
        <f ca="1">AVERAGE(OFFSET($FI$3,0,0,'Données projet'!$E$16+1,1))-AVERAGE(OFFSET($H$3,0,0,'Données projet'!$E$16+1,1))</f>
        <v>292.57482726862594</v>
      </c>
      <c r="FK15" s="61">
        <f t="shared" si="48"/>
        <v>283.48738729114024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2.1</v>
      </c>
      <c r="FZ15" s="13">
        <f>IF('Données projet'!$A$244&gt;35,FZ14+FY15-GH14,IF(A15&lt;'Données projet'!$A$244,$FW$205^A15,IF(A15='Données projet'!$A$244,'Données projet'!$B$244,FZ14+FY15-GH14)))</f>
        <v>9.4178024044149407</v>
      </c>
      <c r="GA15" s="18">
        <f>FZ15*VLOOKUP('Données projet'!$B$17,Paramètres!$A$1:$I$89,3,0)*VLOOKUP('Données projet'!$B$17,Paramètres!$A$1:$I$89,5,0)</f>
        <v>9.1088984855501316</v>
      </c>
      <c r="GB15" s="14">
        <f t="shared" si="49"/>
        <v>3.2459072101643005</v>
      </c>
      <c r="GC15" s="22">
        <f t="shared" si="25"/>
        <v>21.517953253369303</v>
      </c>
      <c r="GD15" s="61">
        <f t="shared" si="26"/>
        <v>292.8512865867026</v>
      </c>
      <c r="GE15" s="61">
        <f ca="1">AVERAGE(OFFSET($GD$3,0,0,'Données projet'!$E$17+1,1))-AVERAGE(OFFSET($H$3,0,0,'Données projet'!$E$17+1,1))</f>
        <v>455.50822833641354</v>
      </c>
      <c r="GF15" s="61">
        <f t="shared" si="50"/>
        <v>261.14722581688039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2.1</v>
      </c>
      <c r="GU15" s="13">
        <f>IF('Données projet'!$A$270&gt;35,GU14+GT15-HC14,IF(A15&lt;'Données projet'!$A$270,$GR$205^A15,IF(A15='Données projet'!$A$270,'Données projet'!$B$270,GU14+GT15-HC14)))</f>
        <v>9.4178024044149407</v>
      </c>
      <c r="GV15" s="18">
        <f>GU15*VLOOKUP('Données projet'!$B$18,Paramètres!$A$1:$I$89,3,0)*VLOOKUP('Données projet'!$B$18,Paramètres!$A$1:$I$89,5,0)</f>
        <v>10.137322508112241</v>
      </c>
      <c r="GW15" s="14">
        <f t="shared" si="51"/>
        <v>3.5676797253661268</v>
      </c>
      <c r="GX15" s="22">
        <f t="shared" si="28"/>
        <v>23.869545556641487</v>
      </c>
      <c r="GY15" s="61">
        <f t="shared" si="29"/>
        <v>295.20287888997478</v>
      </c>
      <c r="GZ15" s="61">
        <f ca="1">AVERAGE(OFFSET($GY$3,0,0,'Données projet'!$E$18+1,1))-AVERAGE(OFFSET($H$3,0,0,'Données projet'!$E$18+1,1))</f>
        <v>502.07782026233912</v>
      </c>
      <c r="HA15" s="61">
        <f t="shared" si="52"/>
        <v>285.83623046025156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10.272227535089344</v>
      </c>
      <c r="P16" s="14">
        <f t="shared" si="33"/>
        <v>3.6095987912522753</v>
      </c>
      <c r="Q16" s="22">
        <f t="shared" si="2"/>
        <v>24.177514185044988</v>
      </c>
      <c r="R16" s="61">
        <f t="shared" si="0"/>
        <v>296.73306974060051</v>
      </c>
      <c r="S16" s="61">
        <f ca="1">AVERAGE(OFFSET($R$3,0,0,'Données projet'!$E$9+1,1))-AVERAGE(OFFSET($H$3,0,0,'Données projet'!$E$9+1,1))</f>
        <v>428.8489304403459</v>
      </c>
      <c r="T16" s="61">
        <f t="shared" si="34"/>
        <v>247.01165577562966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1">
        <f t="shared" si="5"/>
        <v>299.55821782408742</v>
      </c>
      <c r="AN16" s="61">
        <f ca="1">AVERAGE(OFFSET($AM$3,0,0,'Données projet'!$E$10+1,1))-AVERAGE(OFFSET($H$3,0,0,'Données projet'!$E$10+1,1))</f>
        <v>475.47920969424894</v>
      </c>
      <c r="AO16" s="61">
        <f t="shared" si="36"/>
        <v>271.73544012419364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</v>
      </c>
      <c r="BD16" s="13">
        <f>IF('Données projet'!$A$88&gt;35,BD15+BC16-BL15,IF(A16&lt;'Données projet'!$A$88,$BA$205^A16,IF(A16='Données projet'!$A$88,'Données projet'!$B$88,BD15+BC16-BL15)))</f>
        <v>27.388252639673997</v>
      </c>
      <c r="BE16" s="14">
        <f>BD16*VLOOKUP('Données projet'!$B$11,Paramètres!$A$1:$I$89,3,0)*VLOOKUP('Données projet'!$B$11,Paramètres!$A$1:$I$89,5,0)</f>
        <v>15.310033225577765</v>
      </c>
      <c r="BF16" s="14">
        <f t="shared" si="37"/>
        <v>5.1356684205409415</v>
      </c>
      <c r="BG16" s="22">
        <f t="shared" si="7"/>
        <v>35.609597033656748</v>
      </c>
      <c r="BH16" s="61">
        <f t="shared" si="8"/>
        <v>308.16515258921231</v>
      </c>
      <c r="BI16" s="61">
        <f ca="1">AVERAGE(OFFSET($BH$3,0,0,'Données projet'!$E$11+1,1))-AVERAGE(OFFSET($H$3,0,0,'Données projet'!$E$11+1,1))</f>
        <v>374.79806286316051</v>
      </c>
      <c r="BJ16" s="61">
        <f t="shared" si="38"/>
        <v>350.01856672839466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4.9084615384615384</v>
      </c>
      <c r="BY16" s="13">
        <f>IF('Données projet'!$A$114&gt;35,BY15+BX16-CG15,IF(A16&lt;'Données projet'!$A$114,$BV$205^A16,IF(A16='Données projet'!$A$114,'Données projet'!$B$114,BY15+BX16-CG15)))</f>
        <v>8.6995251313584792</v>
      </c>
      <c r="BZ16" s="14">
        <f>BY16*VLOOKUP('Données projet'!$B$12,Paramètres!$A$1:$I$89,3,0)*VLOOKUP('Données projet'!$B$12,Paramètres!$A$1:$I$89,5,0)</f>
        <v>4.0713777614757687</v>
      </c>
      <c r="CA16" s="14">
        <f t="shared" si="39"/>
        <v>1.5933807498842545</v>
      </c>
      <c r="CB16" s="22">
        <f t="shared" si="10"/>
        <v>9.8661210739520406</v>
      </c>
      <c r="CC16" s="61">
        <f t="shared" si="11"/>
        <v>282.4216766295076</v>
      </c>
      <c r="CD16" s="61">
        <f ca="1">AVERAGE(OFFSET($CC$3,0,0,'Données projet'!$E$12+1,1))-AVERAGE(OFFSET($H$3,0,0,'Données projet'!$E$12+1,1))</f>
        <v>285.59863510278109</v>
      </c>
      <c r="CE16" s="61">
        <f t="shared" si="40"/>
        <v>190.4880882944471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3.7333333333333334</v>
      </c>
      <c r="CT16" s="13">
        <f>IF('Données projet'!$A$140&gt;35,CT15+CS16-DB15,IF(A16&lt;'Données projet'!$A$140,$CQ$205^A16,IF(A16='Données projet'!$A$140,'Données projet'!$B$140,CT15+CS16-DB15)))</f>
        <v>7.7267075793542688</v>
      </c>
      <c r="CU16" s="18">
        <f>CT16*VLOOKUP('Données projet'!$B$13,Paramètres!$A$1:$I$89,3,0)*VLOOKUP('Données projet'!$B$13,Paramètres!$A$1:$I$89,5,0)</f>
        <v>3.716546345669403</v>
      </c>
      <c r="CV16" s="14">
        <f t="shared" si="41"/>
        <v>1.4700339805098694</v>
      </c>
      <c r="CW16" s="22">
        <f t="shared" si="13"/>
        <v>9.0332940680955645</v>
      </c>
      <c r="CX16" s="61">
        <f t="shared" si="14"/>
        <v>281.58884962365113</v>
      </c>
      <c r="CY16" s="61">
        <f ca="1">AVERAGE(OFFSET($CX$3,0,0,'Données projet'!$E$13+1,1))-AVERAGE(OFFSET($H$3,0,0,'Données projet'!$E$13+1,1))</f>
        <v>273.72618036666552</v>
      </c>
      <c r="CZ16" s="61">
        <f t="shared" si="42"/>
        <v>157.67999791700714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3.3333333333333335</v>
      </c>
      <c r="DO16" s="13">
        <f>IF('Données projet'!$A$166&gt;35,DO15+DN16-DW15,IF(A16&lt;'Données projet'!$A$166,$DL$205^A16,IF(A16='Données projet'!$A$166,'Données projet'!$B$166,DO15+DN16-DW15)))</f>
        <v>29.678412748283769</v>
      </c>
      <c r="DP16" s="18">
        <f>DO16*VLOOKUP('Données projet'!$B$14,Paramètres!$A$1:$I$89,3,0)*VLOOKUP('Données projet'!$B$14,Paramètres!$A$1:$I$89,5,0)</f>
        <v>19.90827927154875</v>
      </c>
      <c r="DQ16" s="14">
        <f t="shared" si="43"/>
        <v>6.4770651239957129</v>
      </c>
      <c r="DR16" s="22">
        <f t="shared" si="16"/>
        <v>45.954474822239945</v>
      </c>
      <c r="DS16" s="61">
        <f t="shared" si="17"/>
        <v>318.51003037779549</v>
      </c>
      <c r="DT16" s="61">
        <f ca="1">AVERAGE(OFFSET($DS$3,0,0,'Données projet'!$E$14+1,1))-AVERAGE(OFFSET($H$3,0,0,'Données projet'!$E$14+1,1))</f>
        <v>312.06797204903796</v>
      </c>
      <c r="DU16" s="61">
        <f t="shared" si="44"/>
        <v>258.20189001775151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>
        <f>VLOOKUP(A16,'Données projet'!$A$191:$I$211,2,0)</f>
        <v>27.1</v>
      </c>
      <c r="EH16" s="13">
        <f>VLOOKUP(A16,'Données projet'!$A$191:$I$211,9,0)</f>
        <v>5.4</v>
      </c>
      <c r="EI16" s="13">
        <f t="array" ref="EI16">INDEX(EH:EH,MIN(IF(ISNUMBER(EH16:EH212),ROW(EH16:EH212),"")))</f>
        <v>5.4</v>
      </c>
      <c r="EJ16" s="13">
        <f>IF('Données projet'!$A$192&gt;35,EJ15+EI16-ER15,IF(A16&lt;'Données projet'!$A$192,$EG$205^A16,IF(A16='Données projet'!$A$192,'Données projet'!$B$192,EJ15+EI16-ER15)))</f>
        <v>27.1</v>
      </c>
      <c r="EK16" s="18">
        <f>EJ16*VLOOKUP('Données projet'!$B$15,Paramètres!$A$1:$I$89,3,0)*VLOOKUP('Données projet'!$B$15,Paramètres!$A$1:$I$89,5,0)</f>
        <v>21.983520000000002</v>
      </c>
      <c r="EL16" s="14">
        <f t="shared" si="45"/>
        <v>7.0701589857073559</v>
      </c>
      <c r="EM16" s="22">
        <f t="shared" si="19"/>
        <v>50.601824233440311</v>
      </c>
      <c r="EN16" s="61">
        <f t="shared" si="20"/>
        <v>323.15737978899585</v>
      </c>
      <c r="EO16" s="61">
        <f ca="1">AVERAGE(OFFSET($EN$3,0,0,'Données projet'!$E$15+1,1))-AVERAGE(OFFSET($H$3,0,0,'Données projet'!$E$15+1,1))</f>
        <v>222.15256609836689</v>
      </c>
      <c r="EP16" s="61">
        <f t="shared" si="46"/>
        <v>221.10360210521077</v>
      </c>
      <c r="EQ16" s="16">
        <f>IF(ISNA(VLOOKUP(A16,'Données projet'!$A$191:$I$211,3,0)),0,VLOOKUP(A16,'Données projet'!$A$191:$I$211,3,0))</f>
        <v>1</v>
      </c>
      <c r="ER16" s="16">
        <f>IF(ISNA(VLOOKUP(A16,'Données projet'!$A$191:$I$211,4,0)),0,VLOOKUP(A16,'Données projet'!$A$191:$I$211,4,0))</f>
        <v>11.2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2.6666666666666665</v>
      </c>
      <c r="FE16" s="13">
        <f>IF('Données projet'!$A$218&gt;35,FE15+FD16-FM15,IF(A16&lt;'Données projet'!$A$218,$FB$205^A16,IF(A16='Données projet'!$A$218,'Données projet'!$B$218,FE15+FD16-FM15)))</f>
        <v>24.459748796430759</v>
      </c>
      <c r="FF16" s="18">
        <f>FE16*VLOOKUP('Données projet'!$B$16,Paramètres!$A$1:$I$89,3,0)*VLOOKUP('Données projet'!$B$16,Paramètres!$A$1:$I$89,5,0)</f>
        <v>19.078604061215994</v>
      </c>
      <c r="FG16" s="14">
        <f t="shared" si="47"/>
        <v>6.2379664748280286</v>
      </c>
      <c r="FH16" s="22">
        <f t="shared" si="22"/>
        <v>44.093027016943331</v>
      </c>
      <c r="FI16" s="61">
        <f t="shared" si="23"/>
        <v>316.64858257249887</v>
      </c>
      <c r="FJ16" s="61">
        <f ca="1">AVERAGE(OFFSET($FI$3,0,0,'Données projet'!$E$16+1,1))-AVERAGE(OFFSET($H$3,0,0,'Données projet'!$E$16+1,1))</f>
        <v>292.57482726862594</v>
      </c>
      <c r="FK16" s="61">
        <f t="shared" si="48"/>
        <v>283.48738729114024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2.1</v>
      </c>
      <c r="FZ16" s="13">
        <f>IF('Données projet'!$A$244&gt;35,FZ15+FY16-GH15,IF(A16&lt;'Données projet'!$A$244,$FW$205^A16,IF(A16='Données projet'!$A$244,'Données projet'!$B$244,FZ15+FY16-GH15)))</f>
        <v>11.35303662145153</v>
      </c>
      <c r="GA16" s="18">
        <f>FZ16*VLOOKUP('Données projet'!$B$17,Paramètres!$A$1:$I$89,3,0)*VLOOKUP('Données projet'!$B$17,Paramètres!$A$1:$I$89,5,0)</f>
        <v>10.98065702026792</v>
      </c>
      <c r="GB16" s="14">
        <f t="shared" si="49"/>
        <v>3.8286992592655618</v>
      </c>
      <c r="GC16" s="22">
        <f t="shared" si="25"/>
        <v>25.792962186854144</v>
      </c>
      <c r="GD16" s="61">
        <f t="shared" si="26"/>
        <v>298.34851774240968</v>
      </c>
      <c r="GE16" s="61">
        <f ca="1">AVERAGE(OFFSET($GD$3,0,0,'Données projet'!$E$17+1,1))-AVERAGE(OFFSET($H$3,0,0,'Données projet'!$E$17+1,1))</f>
        <v>455.50822833641354</v>
      </c>
      <c r="GF16" s="61">
        <f t="shared" si="50"/>
        <v>261.14722581688039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2.1</v>
      </c>
      <c r="GU16" s="13">
        <f>IF('Données projet'!$A$270&gt;35,GU15+GT16-HC15,IF(A16&lt;'Données projet'!$A$270,$GR$205^A16,IF(A16='Données projet'!$A$270,'Données projet'!$B$270,GU15+GT16-HC15)))</f>
        <v>11.35303662145153</v>
      </c>
      <c r="GV16" s="18">
        <f>GU16*VLOOKUP('Données projet'!$B$18,Paramètres!$A$1:$I$89,3,0)*VLOOKUP('Données projet'!$B$18,Paramètres!$A$1:$I$89,5,0)</f>
        <v>12.220408619330426</v>
      </c>
      <c r="GW16" s="14">
        <f t="shared" si="51"/>
        <v>4.2082449797185175</v>
      </c>
      <c r="GX16" s="22">
        <f t="shared" si="28"/>
        <v>28.613238351676909</v>
      </c>
      <c r="GY16" s="61">
        <f t="shared" si="29"/>
        <v>301.16879390723244</v>
      </c>
      <c r="GZ16" s="61">
        <f ca="1">AVERAGE(OFFSET($GY$3,0,0,'Données projet'!$E$18+1,1))-AVERAGE(OFFSET($H$3,0,0,'Données projet'!$E$18+1,1))</f>
        <v>502.07782026233912</v>
      </c>
      <c r="HA16" s="61">
        <f t="shared" si="52"/>
        <v>285.83623046025156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12.383034850580612</v>
      </c>
      <c r="P17" s="14">
        <f t="shared" si="33"/>
        <v>4.2576904771143838</v>
      </c>
      <c r="Q17" s="22">
        <f t="shared" si="2"/>
        <v>28.982596612402116</v>
      </c>
      <c r="R17" s="61">
        <f t="shared" si="0"/>
        <v>302.76037439017989</v>
      </c>
      <c r="S17" s="61">
        <f ca="1">AVERAGE(OFFSET($R$3,0,0,'Données projet'!$E$9+1,1))-AVERAGE(OFFSET($H$3,0,0,'Données projet'!$E$9+1,1))</f>
        <v>428.8489304403459</v>
      </c>
      <c r="T17" s="61">
        <f t="shared" si="34"/>
        <v>247.01165577562966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1">
        <f t="shared" si="5"/>
        <v>306.14877929230755</v>
      </c>
      <c r="AN17" s="61">
        <f ca="1">AVERAGE(OFFSET($AM$3,0,0,'Données projet'!$E$10+1,1))-AVERAGE(OFFSET($H$3,0,0,'Données projet'!$E$10+1,1))</f>
        <v>475.47920969424894</v>
      </c>
      <c r="AO17" s="61">
        <f t="shared" si="36"/>
        <v>271.73544012419364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</v>
      </c>
      <c r="BD17" s="13">
        <f>IF('Données projet'!$A$88&gt;35,BD16+BC17-BL16,IF(A17&lt;'Données projet'!$A$88,$BA$205^A17,IF(A17='Données projet'!$A$88,'Données projet'!$B$88,BD16+BC17-BL16)))</f>
        <v>35.330208180539429</v>
      </c>
      <c r="BE17" s="14">
        <f>BD17*VLOOKUP('Données projet'!$B$11,Paramètres!$A$1:$I$89,3,0)*VLOOKUP('Données projet'!$B$11,Paramètres!$A$1:$I$89,5,0)</f>
        <v>19.749586372921542</v>
      </c>
      <c r="BF17" s="14">
        <f t="shared" si="37"/>
        <v>6.4314236383699175</v>
      </c>
      <c r="BG17" s="22">
        <f t="shared" si="7"/>
        <v>45.598592436332616</v>
      </c>
      <c r="BH17" s="61">
        <f t="shared" si="8"/>
        <v>319.37637021411041</v>
      </c>
      <c r="BI17" s="61">
        <f ca="1">AVERAGE(OFFSET($BH$3,0,0,'Données projet'!$E$11+1,1))-AVERAGE(OFFSET($H$3,0,0,'Données projet'!$E$11+1,1))</f>
        <v>374.79806286316051</v>
      </c>
      <c r="BJ17" s="61">
        <f t="shared" si="38"/>
        <v>350.01856672839466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4.9084615384615384</v>
      </c>
      <c r="BY17" s="13">
        <f>IF('Données projet'!$A$114&gt;35,BY16+BX17-CG16,IF(A17&lt;'Données projet'!$A$114,$BV$205^A17,IF(A17='Données projet'!$A$114,'Données projet'!$B$114,BY16+BX17-CG16)))</f>
        <v>10.27458845259182</v>
      </c>
      <c r="BZ17" s="14">
        <f>BY17*VLOOKUP('Données projet'!$B$12,Paramètres!$A$1:$I$89,3,0)*VLOOKUP('Données projet'!$B$12,Paramètres!$A$1:$I$89,5,0)</f>
        <v>4.8085073958129714</v>
      </c>
      <c r="CA17" s="14">
        <f t="shared" si="39"/>
        <v>1.8457647839586531</v>
      </c>
      <c r="CB17" s="22">
        <f t="shared" si="10"/>
        <v>11.589524046435578</v>
      </c>
      <c r="CC17" s="61">
        <f t="shared" si="11"/>
        <v>285.36730182421337</v>
      </c>
      <c r="CD17" s="61">
        <f ca="1">AVERAGE(OFFSET($CC$3,0,0,'Données projet'!$E$12+1,1))-AVERAGE(OFFSET($H$3,0,0,'Données projet'!$E$12+1,1))</f>
        <v>285.59863510278109</v>
      </c>
      <c r="CE17" s="61">
        <f t="shared" si="40"/>
        <v>190.4880882944471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3.7333333333333334</v>
      </c>
      <c r="CT17" s="13">
        <f>IF('Données projet'!$A$140&gt;35,CT16+CS17-DB16,IF(A17&lt;'Données projet'!$A$140,$CQ$205^A17,IF(A17='Données projet'!$A$140,'Données projet'!$B$140,CT16+CS17-DB16)))</f>
        <v>9.0427753943773794</v>
      </c>
      <c r="CU17" s="18">
        <f>CT17*VLOOKUP('Données projet'!$B$13,Paramètres!$A$1:$I$89,3,0)*VLOOKUP('Données projet'!$B$13,Paramètres!$A$1:$I$89,5,0)</f>
        <v>4.3495749646955195</v>
      </c>
      <c r="CV17" s="14">
        <f t="shared" si="41"/>
        <v>1.6892101226088696</v>
      </c>
      <c r="CW17" s="22">
        <f t="shared" si="13"/>
        <v>10.517550693721811</v>
      </c>
      <c r="CX17" s="61">
        <f t="shared" si="14"/>
        <v>284.2953284714996</v>
      </c>
      <c r="CY17" s="61">
        <f ca="1">AVERAGE(OFFSET($CX$3,0,0,'Données projet'!$E$13+1,1))-AVERAGE(OFFSET($H$3,0,0,'Données projet'!$E$13+1,1))</f>
        <v>273.72618036666552</v>
      </c>
      <c r="CZ17" s="61">
        <f t="shared" si="42"/>
        <v>157.67999791700714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3.3333333333333335</v>
      </c>
      <c r="DO17" s="13">
        <f>IF('Données projet'!$A$166&gt;35,DO16+DN17-DW16,IF(A17&lt;'Données projet'!$A$166,$DL$205^A17,IF(A17='Données projet'!$A$166,'Données projet'!$B$166,DO16+DN17-DW16)))</f>
        <v>38.521690479704915</v>
      </c>
      <c r="DP17" s="18">
        <f>DO17*VLOOKUP('Données projet'!$B$14,Paramètres!$A$1:$I$89,3,0)*VLOOKUP('Données projet'!$B$14,Paramètres!$A$1:$I$89,5,0)</f>
        <v>25.840349973786058</v>
      </c>
      <c r="DQ17" s="14">
        <f t="shared" si="43"/>
        <v>8.1556564542120462</v>
      </c>
      <c r="DR17" s="22">
        <f t="shared" si="16"/>
        <v>59.209711195430032</v>
      </c>
      <c r="DS17" s="61">
        <f t="shared" si="17"/>
        <v>332.9874889732078</v>
      </c>
      <c r="DT17" s="61">
        <f ca="1">AVERAGE(OFFSET($DS$3,0,0,'Données projet'!$E$14+1,1))-AVERAGE(OFFSET($H$3,0,0,'Données projet'!$E$14+1,1))</f>
        <v>312.06797204903796</v>
      </c>
      <c r="DU17" s="61">
        <f t="shared" si="44"/>
        <v>258.20189001775151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5.0849999999999991</v>
      </c>
      <c r="EJ17" s="13">
        <f>IF('Données projet'!$A$192&gt;35,EJ16+EI17-ER16,IF(A17&lt;'Données projet'!$A$192,$EG$205^A17,IF(A17='Données projet'!$A$192,'Données projet'!$B$192,EJ16+EI17-ER16)))</f>
        <v>20.985000000000003</v>
      </c>
      <c r="EK17" s="18">
        <f>EJ17*VLOOKUP('Données projet'!$B$15,Paramètres!$A$1:$I$89,3,0)*VLOOKUP('Données projet'!$B$15,Paramètres!$A$1:$I$89,5,0)</f>
        <v>17.023032000000004</v>
      </c>
      <c r="EL17" s="14">
        <f t="shared" si="45"/>
        <v>5.6402231067716055</v>
      </c>
      <c r="EM17" s="22">
        <f t="shared" si="19"/>
        <v>39.471835977627215</v>
      </c>
      <c r="EN17" s="61">
        <f t="shared" si="20"/>
        <v>313.24961375540499</v>
      </c>
      <c r="EO17" s="61">
        <f ca="1">AVERAGE(OFFSET($EN$3,0,0,'Données projet'!$E$15+1,1))-AVERAGE(OFFSET($H$3,0,0,'Données projet'!$E$15+1,1))</f>
        <v>222.15256609836689</v>
      </c>
      <c r="EP17" s="61">
        <f t="shared" si="46"/>
        <v>221.10360210521077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2.6666666666666665</v>
      </c>
      <c r="FE17" s="13">
        <f>IF('Données projet'!$A$218&gt;35,FE16+FD17-FM16,IF(A17&lt;'Données projet'!$A$218,$FB$205^A17,IF(A17='Données projet'!$A$218,'Données projet'!$B$218,FE16+FD17-FM16)))</f>
        <v>31.279225563578599</v>
      </c>
      <c r="FF17" s="18">
        <f>FE17*VLOOKUP('Données projet'!$B$16,Paramètres!$A$1:$I$89,3,0)*VLOOKUP('Données projet'!$B$16,Paramètres!$A$1:$I$89,5,0)</f>
        <v>24.397795939591308</v>
      </c>
      <c r="FG17" s="14">
        <f t="shared" si="47"/>
        <v>7.75202295846145</v>
      </c>
      <c r="FH17" s="22">
        <f t="shared" si="22"/>
        <v>55.994267914108548</v>
      </c>
      <c r="FI17" s="61">
        <f t="shared" si="23"/>
        <v>329.77204569188632</v>
      </c>
      <c r="FJ17" s="61">
        <f ca="1">AVERAGE(OFFSET($FI$3,0,0,'Données projet'!$E$16+1,1))-AVERAGE(OFFSET($H$3,0,0,'Données projet'!$E$16+1,1))</f>
        <v>292.57482726862594</v>
      </c>
      <c r="FK17" s="61">
        <f t="shared" si="48"/>
        <v>283.48738729114024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2.1</v>
      </c>
      <c r="FZ17" s="13">
        <f>IF('Données projet'!$A$244&gt;35,FZ16+FY17-GH16,IF(A17&lt;'Données projet'!$A$244,$FW$205^A17,IF(A17='Données projet'!$A$244,'Données projet'!$B$244,FZ16+FY17-GH16)))</f>
        <v>13.685935953338433</v>
      </c>
      <c r="GA17" s="18">
        <f>FZ17*VLOOKUP('Données projet'!$B$17,Paramètres!$A$1:$I$89,3,0)*VLOOKUP('Données projet'!$B$17,Paramètres!$A$1:$I$89,5,0)</f>
        <v>13.237037254068934</v>
      </c>
      <c r="GB17" s="14">
        <f t="shared" si="49"/>
        <v>4.5161297192961545</v>
      </c>
      <c r="GC17" s="22">
        <f t="shared" si="25"/>
        <v>30.920099145277529</v>
      </c>
      <c r="GD17" s="61">
        <f t="shared" si="26"/>
        <v>304.69787692305528</v>
      </c>
      <c r="GE17" s="61">
        <f ca="1">AVERAGE(OFFSET($GD$3,0,0,'Données projet'!$E$17+1,1))-AVERAGE(OFFSET($H$3,0,0,'Données projet'!$E$17+1,1))</f>
        <v>455.50822833641354</v>
      </c>
      <c r="GF17" s="61">
        <f t="shared" si="50"/>
        <v>261.14722581688039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2.1</v>
      </c>
      <c r="GU17" s="13">
        <f>IF('Données projet'!$A$270&gt;35,GU16+GT17-HC16,IF(A17&lt;'Données projet'!$A$270,$GR$205^A17,IF(A17='Données projet'!$A$270,'Données projet'!$B$270,GU16+GT17-HC16)))</f>
        <v>13.685935953338433</v>
      </c>
      <c r="GV17" s="18">
        <f>GU17*VLOOKUP('Données projet'!$B$18,Paramètres!$A$1:$I$89,3,0)*VLOOKUP('Données projet'!$B$18,Paramètres!$A$1:$I$89,5,0)</f>
        <v>14.731541460173487</v>
      </c>
      <c r="GW17" s="14">
        <f t="shared" si="51"/>
        <v>4.9638216355053304</v>
      </c>
      <c r="GX17" s="22">
        <f t="shared" si="28"/>
        <v>34.302757391640604</v>
      </c>
      <c r="GY17" s="61">
        <f t="shared" si="29"/>
        <v>308.0805351694184</v>
      </c>
      <c r="GZ17" s="61">
        <f ca="1">AVERAGE(OFFSET($GY$3,0,0,'Données projet'!$E$18+1,1))-AVERAGE(OFFSET($H$3,0,0,'Données projet'!$E$18+1,1))</f>
        <v>502.07782026233912</v>
      </c>
      <c r="HA17" s="61">
        <f t="shared" si="52"/>
        <v>285.83623046025156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14.927585237660953</v>
      </c>
      <c r="P18" s="14">
        <f t="shared" si="33"/>
        <v>5.0221449106318534</v>
      </c>
      <c r="Q18" s="22">
        <f t="shared" si="2"/>
        <v>34.745780008276633</v>
      </c>
      <c r="R18" s="61">
        <f t="shared" si="0"/>
        <v>309.74578000827665</v>
      </c>
      <c r="S18" s="61">
        <f ca="1">AVERAGE(OFFSET($R$3,0,0,'Données projet'!$E$9+1,1))-AVERAGE(OFFSET($H$3,0,0,'Données projet'!$E$9+1,1))</f>
        <v>428.8489304403459</v>
      </c>
      <c r="T18" s="61">
        <f t="shared" si="34"/>
        <v>247.01165577562966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1">
        <f t="shared" si="5"/>
        <v>313.81008211298388</v>
      </c>
      <c r="AN18" s="61">
        <f ca="1">AVERAGE(OFFSET($AM$3,0,0,'Données projet'!$E$10+1,1))-AVERAGE(OFFSET($H$3,0,0,'Données projet'!$E$10+1,1))</f>
        <v>475.47920969424894</v>
      </c>
      <c r="AO18" s="61">
        <f t="shared" si="36"/>
        <v>271.73544012419364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10</v>
      </c>
      <c r="BD18" s="13">
        <f>IF('Données projet'!$A$88&gt;35,BD17+BC18-BL17,IF(A18&lt;'Données projet'!$A$88,$BA$205^A18,IF(A18='Données projet'!$A$88,'Données projet'!$B$88,BD17+BC18-BL17)))</f>
        <v>45.575145902959399</v>
      </c>
      <c r="BE18" s="14">
        <f>BD18*VLOOKUP('Données projet'!$B$11,Paramètres!$A$1:$I$89,3,0)*VLOOKUP('Données projet'!$B$11,Paramètres!$A$1:$I$89,5,0)</f>
        <v>25.476506559754306</v>
      </c>
      <c r="BF18" s="14">
        <f t="shared" si="37"/>
        <v>8.0541044765944179</v>
      </c>
      <c r="BG18" s="22">
        <f t="shared" si="7"/>
        <v>58.399147554974014</v>
      </c>
      <c r="BH18" s="61">
        <f t="shared" si="8"/>
        <v>333.39914755497404</v>
      </c>
      <c r="BI18" s="61">
        <f ca="1">AVERAGE(OFFSET($BH$3,0,0,'Données projet'!$E$11+1,1))-AVERAGE(OFFSET($H$3,0,0,'Données projet'!$E$11+1,1))</f>
        <v>374.79806286316051</v>
      </c>
      <c r="BJ18" s="61">
        <f t="shared" si="38"/>
        <v>350.01856672839466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4.9084615384615384</v>
      </c>
      <c r="BY18" s="13">
        <f>IF('Données projet'!$A$114&gt;35,BY17+BX18-CG17,IF(A18&lt;'Données projet'!$A$114,$BV$205^A18,IF(A18='Données projet'!$A$114,'Données projet'!$B$114,BY17+BX18-CG17)))</f>
        <v>12.134819576485119</v>
      </c>
      <c r="BZ18" s="14">
        <f>BY18*VLOOKUP('Données projet'!$B$12,Paramètres!$A$1:$I$89,3,0)*VLOOKUP('Données projet'!$B$12,Paramètres!$A$1:$I$89,5,0)</f>
        <v>5.6790955617950356</v>
      </c>
      <c r="CA18" s="14">
        <f t="shared" si="39"/>
        <v>2.1381252647550886</v>
      </c>
      <c r="CB18" s="22">
        <f t="shared" si="10"/>
        <v>13.614992939574798</v>
      </c>
      <c r="CC18" s="61">
        <f t="shared" si="11"/>
        <v>288.61499293957479</v>
      </c>
      <c r="CD18" s="61">
        <f ca="1">AVERAGE(OFFSET($CC$3,0,0,'Données projet'!$E$12+1,1))-AVERAGE(OFFSET($H$3,0,0,'Données projet'!$E$12+1,1))</f>
        <v>285.59863510278109</v>
      </c>
      <c r="CE18" s="61">
        <f t="shared" si="40"/>
        <v>190.4880882944471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3.7333333333333334</v>
      </c>
      <c r="CT18" s="13">
        <f>IF('Données projet'!$A$140&gt;35,CT17+CS18-DB17,IF(A18&lt;'Données projet'!$A$140,$CQ$205^A18,IF(A18='Données projet'!$A$140,'Données projet'!$B$140,CT17+CS18-DB17)))</f>
        <v>10.583005244258347</v>
      </c>
      <c r="CU18" s="18">
        <f>CT18*VLOOKUP('Données projet'!$B$13,Paramètres!$A$1:$I$89,3,0)*VLOOKUP('Données projet'!$B$13,Paramètres!$A$1:$I$89,5,0)</f>
        <v>5.0904255224882649</v>
      </c>
      <c r="CV18" s="14">
        <f t="shared" si="41"/>
        <v>1.9410645441914081</v>
      </c>
      <c r="CW18" s="22">
        <f t="shared" si="13"/>
        <v>12.246511866133764</v>
      </c>
      <c r="CX18" s="61">
        <f t="shared" si="14"/>
        <v>287.24651186613374</v>
      </c>
      <c r="CY18" s="61">
        <f ca="1">AVERAGE(OFFSET($CX$3,0,0,'Données projet'!$E$13+1,1))-AVERAGE(OFFSET($H$3,0,0,'Données projet'!$E$13+1,1))</f>
        <v>273.72618036666552</v>
      </c>
      <c r="CZ18" s="61">
        <f t="shared" si="42"/>
        <v>157.67999791700714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50</v>
      </c>
      <c r="DM18" s="13">
        <f>VLOOKUP(A18,'Données projet'!$A$165:$I$185,9,0)</f>
        <v>3.3333333333333335</v>
      </c>
      <c r="DN18" s="13">
        <f t="array" ref="DN18">INDEX(DM:DM,MIN(IF(ISNUMBER(DM18:DM214),ROW(DM18:DM214),"")))</f>
        <v>3.3333333333333335</v>
      </c>
      <c r="DO18" s="13">
        <f>IF('Données projet'!$A$166&gt;35,DO17+DN18-DW17,IF(A18&lt;'Données projet'!$A$166,$DL$205^A18,IF(A18='Données projet'!$A$166,'Données projet'!$B$166,DO17+DN18-DW17)))</f>
        <v>50</v>
      </c>
      <c r="DP18" s="18">
        <f>DO18*VLOOKUP('Données projet'!$B$14,Paramètres!$A$1:$I$89,3,0)*VLOOKUP('Données projet'!$B$14,Paramètres!$A$1:$I$89,5,0)</f>
        <v>33.54</v>
      </c>
      <c r="DQ18" s="14">
        <f t="shared" si="43"/>
        <v>10.269270252156668</v>
      </c>
      <c r="DR18" s="22">
        <f t="shared" si="16"/>
        <v>76.301145689172856</v>
      </c>
      <c r="DS18" s="61">
        <f t="shared" si="17"/>
        <v>351.30114568917287</v>
      </c>
      <c r="DT18" s="61">
        <f ca="1">AVERAGE(OFFSET($DS$3,0,0,'Données projet'!$E$14+1,1))-AVERAGE(OFFSET($H$3,0,0,'Données projet'!$E$14+1,1))</f>
        <v>312.06797204903796</v>
      </c>
      <c r="DU18" s="61">
        <f t="shared" si="44"/>
        <v>258.20189001775151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5.0849999999999991</v>
      </c>
      <c r="EJ18" s="13">
        <f>IF('Données projet'!$A$192&gt;35,EJ17+EI18-ER17,IF(A18&lt;'Données projet'!$A$192,$EG$205^A18,IF(A18='Données projet'!$A$192,'Données projet'!$B$192,EJ17+EI18-ER17)))</f>
        <v>26.07</v>
      </c>
      <c r="EK18" s="18">
        <f>EJ18*VLOOKUP('Données projet'!$B$15,Paramètres!$A$1:$I$89,3,0)*VLOOKUP('Données projet'!$B$15,Paramètres!$A$1:$I$89,5,0)</f>
        <v>21.147984000000001</v>
      </c>
      <c r="EL18" s="14">
        <f t="shared" si="45"/>
        <v>6.8321867620526016</v>
      </c>
      <c r="EM18" s="22">
        <f t="shared" si="19"/>
        <v>48.732130743908279</v>
      </c>
      <c r="EN18" s="61">
        <f t="shared" si="20"/>
        <v>323.73213074390827</v>
      </c>
      <c r="EO18" s="61">
        <f ca="1">AVERAGE(OFFSET($EN$3,0,0,'Données projet'!$E$15+1,1))-AVERAGE(OFFSET($H$3,0,0,'Données projet'!$E$15+1,1))</f>
        <v>222.15256609836689</v>
      </c>
      <c r="EP18" s="61">
        <f t="shared" si="46"/>
        <v>221.10360210521077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40</v>
      </c>
      <c r="FC18" s="13">
        <f>VLOOKUP(A18,'Données projet'!$A$217:$I$237,9,0)</f>
        <v>2.6666666666666665</v>
      </c>
      <c r="FD18" s="13">
        <f t="array" ref="FD18">INDEX(FC:FC,MIN(IF(ISNUMBER(FC18:FC214),ROW(FC18:FC214),"")))</f>
        <v>2.6666666666666665</v>
      </c>
      <c r="FE18" s="13">
        <f>IF('Données projet'!$A$218&gt;35,FE17+FD18-FM17,IF(A18&lt;'Données projet'!$A$218,$FB$205^A18,IF(A18='Données projet'!$A$218,'Données projet'!$B$218,FE17+FD18-FM17)))</f>
        <v>40</v>
      </c>
      <c r="FF18" s="18">
        <f>FE18*VLOOKUP('Données projet'!$B$16,Paramètres!$A$1:$I$89,3,0)*VLOOKUP('Données projet'!$B$16,Paramètres!$A$1:$I$89,5,0)</f>
        <v>31.200000000000003</v>
      </c>
      <c r="FG18" s="14">
        <f t="shared" si="47"/>
        <v>9.6335657126419925</v>
      </c>
      <c r="FH18" s="22">
        <f t="shared" si="22"/>
        <v>71.118460282851473</v>
      </c>
      <c r="FI18" s="61">
        <f t="shared" si="23"/>
        <v>346.11846028285146</v>
      </c>
      <c r="FJ18" s="61">
        <f ca="1">AVERAGE(OFFSET($FI$3,0,0,'Données projet'!$E$16+1,1))-AVERAGE(OFFSET($H$3,0,0,'Données projet'!$E$16+1,1))</f>
        <v>292.57482726862594</v>
      </c>
      <c r="FK18" s="61">
        <f t="shared" si="48"/>
        <v>283.48738729114024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2.1</v>
      </c>
      <c r="FZ18" s="13">
        <f>IF('Données projet'!$A$244&gt;35,FZ17+FY18-GH17,IF(A18&lt;'Données projet'!$A$244,$FW$205^A18,IF(A18='Données projet'!$A$244,'Données projet'!$B$244,FZ17+FY18-GH17)))</f>
        <v>16.498215337821566</v>
      </c>
      <c r="GA18" s="18">
        <f>FZ18*VLOOKUP('Données projet'!$B$17,Paramètres!$A$1:$I$89,3,0)*VLOOKUP('Données projet'!$B$17,Paramètres!$A$1:$I$89,5,0)</f>
        <v>15.957073874741019</v>
      </c>
      <c r="GB18" s="14">
        <f t="shared" si="49"/>
        <v>5.3269860755326848</v>
      </c>
      <c r="GC18" s="22">
        <f t="shared" si="25"/>
        <v>37.069737746726702</v>
      </c>
      <c r="GD18" s="61">
        <f t="shared" si="26"/>
        <v>312.06973774672667</v>
      </c>
      <c r="GE18" s="61">
        <f ca="1">AVERAGE(OFFSET($GD$3,0,0,'Données projet'!$E$17+1,1))-AVERAGE(OFFSET($H$3,0,0,'Données projet'!$E$17+1,1))</f>
        <v>455.50822833641354</v>
      </c>
      <c r="GF18" s="61">
        <f t="shared" si="50"/>
        <v>261.14722581688039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2.1</v>
      </c>
      <c r="GU18" s="13">
        <f>IF('Données projet'!$A$270&gt;35,GU17+GT18-HC17,IF(A18&lt;'Données projet'!$A$270,$GR$205^A18,IF(A18='Données projet'!$A$270,'Données projet'!$B$270,GU17+GT18-HC17)))</f>
        <v>16.498215337821566</v>
      </c>
      <c r="GV18" s="18">
        <f>GU18*VLOOKUP('Données projet'!$B$18,Paramètres!$A$1:$I$89,3,0)*VLOOKUP('Données projet'!$B$18,Paramètres!$A$1:$I$89,5,0)</f>
        <v>17.758678989631132</v>
      </c>
      <c r="GW18" s="14">
        <f t="shared" si="51"/>
        <v>5.8550596146042126</v>
      </c>
      <c r="GX18" s="22">
        <f t="shared" si="28"/>
        <v>41.127261402376554</v>
      </c>
      <c r="GY18" s="61">
        <f t="shared" si="29"/>
        <v>316.12726140237658</v>
      </c>
      <c r="GZ18" s="61">
        <f ca="1">AVERAGE(OFFSET($GY$3,0,0,'Données projet'!$E$18+1,1))-AVERAGE(OFFSET($H$3,0,0,'Données projet'!$E$18+1,1))</f>
        <v>502.07782026233912</v>
      </c>
      <c r="HA18" s="61">
        <f t="shared" si="52"/>
        <v>285.83623046025156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17.995007178485412</v>
      </c>
      <c r="P19" s="14">
        <f t="shared" si="33"/>
        <v>5.9238546434872337</v>
      </c>
      <c r="Q19" s="22">
        <f t="shared" si="2"/>
        <v>41.658684339935689</v>
      </c>
      <c r="R19" s="61">
        <f t="shared" si="0"/>
        <v>317.88090656215792</v>
      </c>
      <c r="S19" s="61">
        <f ca="1">AVERAGE(OFFSET($R$3,0,0,'Données projet'!$E$9+1,1))-AVERAGE(OFFSET($H$3,0,0,'Données projet'!$E$9+1,1))</f>
        <v>428.8489304403459</v>
      </c>
      <c r="T19" s="61">
        <f t="shared" si="34"/>
        <v>247.01165577562966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1">
        <f t="shared" si="5"/>
        <v>322.75633550905911</v>
      </c>
      <c r="AN19" s="61">
        <f ca="1">AVERAGE(OFFSET($AM$3,0,0,'Données projet'!$E$10+1,1))-AVERAGE(OFFSET($H$3,0,0,'Données projet'!$E$10+1,1))</f>
        <v>475.47920969424894</v>
      </c>
      <c r="AO19" s="61">
        <f t="shared" si="36"/>
        <v>271.73544012419364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10</v>
      </c>
      <c r="BD19" s="13">
        <f>IF('Données projet'!$A$88&gt;35,BD18+BC19-BL18,IF(A19&lt;'Données projet'!$A$88,$BA$205^A19,IF(A19='Données projet'!$A$88,'Données projet'!$B$88,BD18+BC19-BL18)))</f>
        <v>58.790877015554649</v>
      </c>
      <c r="BE19" s="14">
        <f>BD19*VLOOKUP('Données projet'!$B$11,Paramètres!$A$1:$I$89,3,0)*VLOOKUP('Données projet'!$B$11,Paramètres!$A$1:$I$89,5,0)</f>
        <v>32.864100251695049</v>
      </c>
      <c r="BF19" s="14">
        <f t="shared" si="37"/>
        <v>10.086195929139501</v>
      </c>
      <c r="BG19" s="22">
        <f t="shared" si="7"/>
        <v>74.805099181620164</v>
      </c>
      <c r="BH19" s="61">
        <f t="shared" si="8"/>
        <v>351.02732140384239</v>
      </c>
      <c r="BI19" s="61">
        <f ca="1">AVERAGE(OFFSET($BH$3,0,0,'Données projet'!$E$11+1,1))-AVERAGE(OFFSET($H$3,0,0,'Données projet'!$E$11+1,1))</f>
        <v>374.79806286316051</v>
      </c>
      <c r="BJ19" s="61">
        <f t="shared" si="38"/>
        <v>350.01856672839466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4.9084615384615384</v>
      </c>
      <c r="BY19" s="13">
        <f>IF('Données projet'!$A$114&gt;35,BY18+BX19-CG18,IF(A19&lt;'Données projet'!$A$114,$BV$205^A19,IF(A19='Données projet'!$A$114,'Données projet'!$B$114,BY18+BX19-CG18)))</f>
        <v>14.331848602335111</v>
      </c>
      <c r="BZ19" s="14">
        <f>BY19*VLOOKUP('Données projet'!$B$12,Paramètres!$A$1:$I$89,3,0)*VLOOKUP('Données projet'!$B$12,Paramètres!$A$1:$I$89,5,0)</f>
        <v>6.7073051458928319</v>
      </c>
      <c r="CA19" s="14">
        <f t="shared" si="39"/>
        <v>2.4767942738506736</v>
      </c>
      <c r="CB19" s="22">
        <f t="shared" si="10"/>
        <v>15.995639822719939</v>
      </c>
      <c r="CC19" s="61">
        <f t="shared" si="11"/>
        <v>292.21786204494219</v>
      </c>
      <c r="CD19" s="61">
        <f ca="1">AVERAGE(OFFSET($CC$3,0,0,'Données projet'!$E$12+1,1))-AVERAGE(OFFSET($H$3,0,0,'Données projet'!$E$12+1,1))</f>
        <v>285.59863510278109</v>
      </c>
      <c r="CE19" s="61">
        <f t="shared" si="40"/>
        <v>190.4880882944471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3.7333333333333334</v>
      </c>
      <c r="CT19" s="13">
        <f>IF('Données projet'!$A$140&gt;35,CT18+CS19-DB18,IF(A19&lt;'Données projet'!$A$140,$CQ$205^A19,IF(A19='Données projet'!$A$140,'Données projet'!$B$140,CT18+CS19-DB18)))</f>
        <v>12.385578001820004</v>
      </c>
      <c r="CU19" s="18">
        <f>CT19*VLOOKUP('Données projet'!$B$13,Paramètres!$A$1:$I$89,3,0)*VLOOKUP('Données projet'!$B$13,Paramètres!$A$1:$I$89,5,0)</f>
        <v>5.9574630188754218</v>
      </c>
      <c r="CV19" s="14">
        <f t="shared" si="41"/>
        <v>2.2304694450315008</v>
      </c>
      <c r="CW19" s="22">
        <f t="shared" si="13"/>
        <v>14.260649041304555</v>
      </c>
      <c r="CX19" s="61">
        <f t="shared" si="14"/>
        <v>290.48287126352676</v>
      </c>
      <c r="CY19" s="61">
        <f ca="1">AVERAGE(OFFSET($CX$3,0,0,'Données projet'!$E$13+1,1))-AVERAGE(OFFSET($H$3,0,0,'Données projet'!$E$13+1,1))</f>
        <v>273.72618036666552</v>
      </c>
      <c r="CZ19" s="61">
        <f t="shared" si="42"/>
        <v>157.67999791700714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8.2051282051282044</v>
      </c>
      <c r="DO19" s="13">
        <f>IF('Données projet'!$A$166&gt;35,DO18+DN19-DW18,IF(A19&lt;'Données projet'!$A$166,$DL$205^A19,IF(A19='Données projet'!$A$166,'Données projet'!$B$166,DO18+DN19-DW18)))</f>
        <v>58.205128205128204</v>
      </c>
      <c r="DP19" s="18">
        <f>DO19*VLOOKUP('Données projet'!$B$14,Paramètres!$A$1:$I$89,3,0)*VLOOKUP('Données projet'!$B$14,Paramètres!$A$1:$I$89,5,0)</f>
        <v>39.043999999999997</v>
      </c>
      <c r="DQ19" s="14">
        <f t="shared" si="43"/>
        <v>11.744903368873258</v>
      </c>
      <c r="DR19" s="22">
        <f t="shared" si="16"/>
        <v>88.457340034120918</v>
      </c>
      <c r="DS19" s="61">
        <f t="shared" si="17"/>
        <v>364.67956225634316</v>
      </c>
      <c r="DT19" s="61">
        <f ca="1">AVERAGE(OFFSET($DS$3,0,0,'Données projet'!$E$14+1,1))-AVERAGE(OFFSET($H$3,0,0,'Données projet'!$E$14+1,1))</f>
        <v>312.06797204903796</v>
      </c>
      <c r="DU19" s="61">
        <f t="shared" si="44"/>
        <v>258.20189001775151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5.0849999999999991</v>
      </c>
      <c r="EJ19" s="13">
        <f>IF('Données projet'!$A$192&gt;35,EJ18+EI19-ER18,IF(A19&lt;'Données projet'!$A$192,$EG$205^A19,IF(A19='Données projet'!$A$192,'Données projet'!$B$192,EJ18+EI19-ER18)))</f>
        <v>31.155000000000001</v>
      </c>
      <c r="EK19" s="18">
        <f>EJ19*VLOOKUP('Données projet'!$B$15,Paramètres!$A$1:$I$89,3,0)*VLOOKUP('Données projet'!$B$15,Paramètres!$A$1:$I$89,5,0)</f>
        <v>25.272936000000001</v>
      </c>
      <c r="EL19" s="14">
        <f t="shared" si="45"/>
        <v>7.9972125573154571</v>
      </c>
      <c r="EM19" s="22">
        <f t="shared" si="19"/>
        <v>57.945508737324417</v>
      </c>
      <c r="EN19" s="61">
        <f t="shared" si="20"/>
        <v>334.16773095954665</v>
      </c>
      <c r="EO19" s="61">
        <f ca="1">AVERAGE(OFFSET($EN$3,0,0,'Données projet'!$E$15+1,1))-AVERAGE(OFFSET($H$3,0,0,'Données projet'!$E$15+1,1))</f>
        <v>222.15256609836689</v>
      </c>
      <c r="EP19" s="61">
        <f t="shared" si="46"/>
        <v>221.10360210521077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9.6</v>
      </c>
      <c r="FE19" s="13">
        <f>IF('Données projet'!$A$218&gt;35,FE18+FD19-FM18,IF(A19&lt;'Données projet'!$A$218,$FB$205^A19,IF(A19='Données projet'!$A$218,'Données projet'!$B$218,FE18+FD19-FM18)))</f>
        <v>49.6</v>
      </c>
      <c r="FF19" s="18">
        <f>FE19*VLOOKUP('Données projet'!$B$16,Paramètres!$A$1:$I$89,3,0)*VLOOKUP('Données projet'!$B$16,Paramètres!$A$1:$I$89,5,0)</f>
        <v>38.688000000000002</v>
      </c>
      <c r="FG19" s="14">
        <f t="shared" si="47"/>
        <v>11.650229083154354</v>
      </c>
      <c r="FH19" s="22">
        <f t="shared" si="22"/>
        <v>87.672415653160499</v>
      </c>
      <c r="FI19" s="61">
        <f t="shared" si="23"/>
        <v>363.89463787538273</v>
      </c>
      <c r="FJ19" s="61">
        <f ca="1">AVERAGE(OFFSET($FI$3,0,0,'Données projet'!$E$16+1,1))-AVERAGE(OFFSET($H$3,0,0,'Données projet'!$E$16+1,1))</f>
        <v>292.57482726862594</v>
      </c>
      <c r="FK19" s="61">
        <f t="shared" si="48"/>
        <v>283.48738729114024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2.1</v>
      </c>
      <c r="FZ19" s="13">
        <f>IF('Données projet'!$A$244&gt;35,FZ18+FY19-GH18,IF(A19&lt;'Données projet'!$A$244,$FW$205^A19,IF(A19='Données projet'!$A$244,'Données projet'!$B$244,FZ18+FY19-GH18)))</f>
        <v>19.888381054913147</v>
      </c>
      <c r="GA19" s="18">
        <f>FZ19*VLOOKUP('Données projet'!$B$17,Paramètres!$A$1:$I$89,3,0)*VLOOKUP('Données projet'!$B$17,Paramètres!$A$1:$I$89,5,0)</f>
        <v>19.236042156311996</v>
      </c>
      <c r="GB19" s="14">
        <f t="shared" si="49"/>
        <v>6.2834290449348904</v>
      </c>
      <c r="GC19" s="22">
        <f t="shared" si="25"/>
        <v>44.446412342171662</v>
      </c>
      <c r="GD19" s="61">
        <f t="shared" si="26"/>
        <v>320.66863456439387</v>
      </c>
      <c r="GE19" s="61">
        <f ca="1">AVERAGE(OFFSET($GD$3,0,0,'Données projet'!$E$17+1,1))-AVERAGE(OFFSET($H$3,0,0,'Données projet'!$E$17+1,1))</f>
        <v>455.50822833641354</v>
      </c>
      <c r="GF19" s="61">
        <f t="shared" si="50"/>
        <v>261.14722581688039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2.1</v>
      </c>
      <c r="GU19" s="13">
        <f>IF('Données projet'!$A$270&gt;35,GU18+GT19-HC18,IF(A19&lt;'Données projet'!$A$270,$GR$205^A19,IF(A19='Données projet'!$A$270,'Données projet'!$B$270,GU18+GT19-HC18)))</f>
        <v>19.888381054913147</v>
      </c>
      <c r="GV19" s="18">
        <f>GU19*VLOOKUP('Données projet'!$B$18,Paramètres!$A$1:$I$89,3,0)*VLOOKUP('Données projet'!$B$18,Paramètres!$A$1:$I$89,5,0)</f>
        <v>21.407853367508512</v>
      </c>
      <c r="GW19" s="14">
        <f t="shared" si="51"/>
        <v>6.906316464991046</v>
      </c>
      <c r="GX19" s="22">
        <f t="shared" si="28"/>
        <v>49.313845791603399</v>
      </c>
      <c r="GY19" s="61">
        <f t="shared" si="29"/>
        <v>325.53606801382563</v>
      </c>
      <c r="GZ19" s="61">
        <f ca="1">AVERAGE(OFFSET($GY$3,0,0,'Données projet'!$E$18+1,1))-AVERAGE(OFFSET($H$3,0,0,'Données projet'!$E$18+1,1))</f>
        <v>502.07782026233912</v>
      </c>
      <c r="HA19" s="61">
        <f t="shared" si="52"/>
        <v>285.83623046025156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21.692743883101215</v>
      </c>
      <c r="P20" s="14">
        <f t="shared" si="33"/>
        <v>6.98746341685115</v>
      </c>
      <c r="Q20" s="22">
        <f t="shared" si="2"/>
        <v>49.951361047417038</v>
      </c>
      <c r="R20" s="61">
        <f t="shared" si="0"/>
        <v>327.39580549186149</v>
      </c>
      <c r="S20" s="61">
        <f ca="1">AVERAGE(OFFSET($R$3,0,0,'Données projet'!$E$9+1,1))-AVERAGE(OFFSET($H$3,0,0,'Données projet'!$E$9+1,1))</f>
        <v>428.8489304403459</v>
      </c>
      <c r="T20" s="61">
        <f t="shared" si="34"/>
        <v>247.01165577562966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1">
        <f t="shared" si="5"/>
        <v>333.24472198839982</v>
      </c>
      <c r="AN20" s="61">
        <f ca="1">AVERAGE(OFFSET($AM$3,0,0,'Données projet'!$E$10+1,1))-AVERAGE(OFFSET($H$3,0,0,'Données projet'!$E$10+1,1))</f>
        <v>475.47920969424894</v>
      </c>
      <c r="AO20" s="61">
        <f t="shared" si="36"/>
        <v>271.73544012419364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10</v>
      </c>
      <c r="BD20" s="13">
        <f>IF('Données projet'!$A$88&gt;35,BD19+BC20-BL19,IF(A20&lt;'Données projet'!$A$88,$BA$205^A20,IF(A20='Données projet'!$A$88,'Données projet'!$B$88,BD19+BC20-BL19)))</f>
        <v>75.838862427725871</v>
      </c>
      <c r="BE20" s="14">
        <f>BD20*VLOOKUP('Données projet'!$B$11,Paramètres!$A$1:$I$89,3,0)*VLOOKUP('Données projet'!$B$11,Paramètres!$A$1:$I$89,5,0)</f>
        <v>42.393924097098761</v>
      </c>
      <c r="BF20" s="14">
        <f t="shared" si="37"/>
        <v>12.630994372698538</v>
      </c>
      <c r="BG20" s="22">
        <f t="shared" si="7"/>
        <v>95.835066334896965</v>
      </c>
      <c r="BH20" s="61">
        <f t="shared" si="8"/>
        <v>373.27951077934142</v>
      </c>
      <c r="BI20" s="61">
        <f ca="1">AVERAGE(OFFSET($BH$3,0,0,'Données projet'!$E$11+1,1))-AVERAGE(OFFSET($H$3,0,0,'Données projet'!$E$11+1,1))</f>
        <v>374.79806286316051</v>
      </c>
      <c r="BJ20" s="61">
        <f t="shared" si="38"/>
        <v>350.01856672839466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4.9084615384615384</v>
      </c>
      <c r="BY20" s="13">
        <f>IF('Données projet'!$A$114&gt;35,BY19+BX20-CG19,IF(A20&lt;'Données projet'!$A$114,$BV$205^A20,IF(A20='Données projet'!$A$114,'Données projet'!$B$114,BY19+BX20-CG19)))</f>
        <v>16.926653343761537</v>
      </c>
      <c r="BZ20" s="14">
        <f>BY20*VLOOKUP('Données projet'!$B$12,Paramètres!$A$1:$I$89,3,0)*VLOOKUP('Données projet'!$B$12,Paramètres!$A$1:$I$89,5,0)</f>
        <v>7.9216737648803992</v>
      </c>
      <c r="CA20" s="14">
        <f t="shared" si="39"/>
        <v>2.8691068648319642</v>
      </c>
      <c r="CB20" s="22">
        <f t="shared" si="10"/>
        <v>18.793942930082366</v>
      </c>
      <c r="CC20" s="61">
        <f t="shared" si="11"/>
        <v>296.23838737452684</v>
      </c>
      <c r="CD20" s="61">
        <f ca="1">AVERAGE(OFFSET($CC$3,0,0,'Données projet'!$E$12+1,1))-AVERAGE(OFFSET($H$3,0,0,'Données projet'!$E$12+1,1))</f>
        <v>285.59863510278109</v>
      </c>
      <c r="CE20" s="61">
        <f t="shared" si="40"/>
        <v>190.4880882944471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3.7333333333333334</v>
      </c>
      <c r="CT20" s="13">
        <f>IF('Données projet'!$A$140&gt;35,CT19+CS20-DB19,IF(A20&lt;'Données projet'!$A$140,$CQ$205^A20,IF(A20='Données projet'!$A$140,'Données projet'!$B$140,CT19+CS20-DB19)))</f>
        <v>14.495177777823923</v>
      </c>
      <c r="CU20" s="18">
        <f>CT20*VLOOKUP('Données projet'!$B$13,Paramètres!$A$1:$I$89,3,0)*VLOOKUP('Données projet'!$B$13,Paramètres!$A$1:$I$89,5,0)</f>
        <v>6.9721805111333062</v>
      </c>
      <c r="CV20" s="14">
        <f t="shared" si="41"/>
        <v>2.5630234502539797</v>
      </c>
      <c r="CW20" s="22">
        <f t="shared" si="13"/>
        <v>16.60714689941619</v>
      </c>
      <c r="CX20" s="61">
        <f t="shared" si="14"/>
        <v>294.05159134386065</v>
      </c>
      <c r="CY20" s="61">
        <f ca="1">AVERAGE(OFFSET($CX$3,0,0,'Données projet'!$E$13+1,1))-AVERAGE(OFFSET($H$3,0,0,'Données projet'!$E$13+1,1))</f>
        <v>273.72618036666552</v>
      </c>
      <c r="CZ20" s="61">
        <f t="shared" si="42"/>
        <v>157.67999791700714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8.2051282051282044</v>
      </c>
      <c r="DO20" s="13">
        <f>IF('Données projet'!$A$166&gt;35,DO19+DN20-DW19,IF(A20&lt;'Données projet'!$A$166,$DL$205^A20,IF(A20='Données projet'!$A$166,'Données projet'!$B$166,DO19+DN20-DW19)))</f>
        <v>66.410256410256409</v>
      </c>
      <c r="DP20" s="18">
        <f>DO20*VLOOKUP('Données projet'!$B$14,Paramètres!$A$1:$I$89,3,0)*VLOOKUP('Données projet'!$B$14,Paramètres!$A$1:$I$89,5,0)</f>
        <v>44.548000000000002</v>
      </c>
      <c r="DQ20" s="14">
        <f t="shared" si="43"/>
        <v>13.196436493358</v>
      </c>
      <c r="DR20" s="22">
        <f t="shared" si="16"/>
        <v>100.57156022593183</v>
      </c>
      <c r="DS20" s="61">
        <f t="shared" si="17"/>
        <v>378.01600467037628</v>
      </c>
      <c r="DT20" s="61">
        <f ca="1">AVERAGE(OFFSET($DS$3,0,0,'Données projet'!$E$14+1,1))-AVERAGE(OFFSET($H$3,0,0,'Données projet'!$E$14+1,1))</f>
        <v>312.06797204903796</v>
      </c>
      <c r="DU20" s="61">
        <f t="shared" si="44"/>
        <v>258.20189001775151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5.0849999999999991</v>
      </c>
      <c r="EJ20" s="13">
        <f>IF('Données projet'!$A$192&gt;35,EJ19+EI20-ER19,IF(A20&lt;'Données projet'!$A$192,$EG$205^A20,IF(A20='Données projet'!$A$192,'Données projet'!$B$192,EJ19+EI20-ER19)))</f>
        <v>36.24</v>
      </c>
      <c r="EK20" s="18">
        <f>EJ20*VLOOKUP('Données projet'!$B$15,Paramètres!$A$1:$I$89,3,0)*VLOOKUP('Données projet'!$B$15,Paramètres!$A$1:$I$89,5,0)</f>
        <v>29.397888000000005</v>
      </c>
      <c r="EL20" s="14">
        <f t="shared" si="45"/>
        <v>9.1402105109379868</v>
      </c>
      <c r="EM20" s="22">
        <f t="shared" si="19"/>
        <v>67.120521573217005</v>
      </c>
      <c r="EN20" s="61">
        <f t="shared" si="20"/>
        <v>344.56496601766145</v>
      </c>
      <c r="EO20" s="61">
        <f ca="1">AVERAGE(OFFSET($EN$3,0,0,'Données projet'!$E$15+1,1))-AVERAGE(OFFSET($H$3,0,0,'Données projet'!$E$15+1,1))</f>
        <v>222.15256609836689</v>
      </c>
      <c r="EP20" s="61">
        <f t="shared" si="46"/>
        <v>221.10360210521077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9.6</v>
      </c>
      <c r="FE20" s="13">
        <f>IF('Données projet'!$A$218&gt;35,FE19+FD20-FM19,IF(A20&lt;'Données projet'!$A$218,$FB$205^A20,IF(A20='Données projet'!$A$218,'Données projet'!$B$218,FE19+FD20-FM19)))</f>
        <v>59.2</v>
      </c>
      <c r="FF20" s="18">
        <f>FE20*VLOOKUP('Données projet'!$B$16,Paramètres!$A$1:$I$89,3,0)*VLOOKUP('Données projet'!$B$16,Paramètres!$A$1:$I$89,5,0)</f>
        <v>46.176000000000002</v>
      </c>
      <c r="FG20" s="14">
        <f t="shared" si="47"/>
        <v>13.621668778540489</v>
      </c>
      <c r="FH20" s="22">
        <f t="shared" si="22"/>
        <v>104.14760645595801</v>
      </c>
      <c r="FI20" s="61">
        <f t="shared" si="23"/>
        <v>381.59205090040246</v>
      </c>
      <c r="FJ20" s="61">
        <f ca="1">AVERAGE(OFFSET($FI$3,0,0,'Données projet'!$E$16+1,1))-AVERAGE(OFFSET($H$3,0,0,'Données projet'!$E$16+1,1))</f>
        <v>292.57482726862594</v>
      </c>
      <c r="FK20" s="61">
        <f t="shared" si="48"/>
        <v>283.48738729114024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2.1</v>
      </c>
      <c r="FZ20" s="13">
        <f>IF('Données projet'!$A$244&gt;35,FZ19+FY20-GH19,IF(A20&lt;'Données projet'!$A$244,$FW$205^A20,IF(A20='Données projet'!$A$244,'Données projet'!$B$244,FZ19+FY20-GH19)))</f>
        <v>23.975181126327602</v>
      </c>
      <c r="GA20" s="18">
        <f>FZ20*VLOOKUP('Données projet'!$B$17,Paramètres!$A$1:$I$89,3,0)*VLOOKUP('Données projet'!$B$17,Paramètres!$A$1:$I$89,5,0)</f>
        <v>23.188795185384055</v>
      </c>
      <c r="GB20" s="14">
        <f t="shared" si="49"/>
        <v>7.4115982288884323</v>
      </c>
      <c r="GC20" s="22">
        <f t="shared" si="25"/>
        <v>53.29568519652458</v>
      </c>
      <c r="GD20" s="61">
        <f t="shared" si="26"/>
        <v>330.74012964096903</v>
      </c>
      <c r="GE20" s="61">
        <f ca="1">AVERAGE(OFFSET($GD$3,0,0,'Données projet'!$E$17+1,1))-AVERAGE(OFFSET($H$3,0,0,'Données projet'!$E$17+1,1))</f>
        <v>455.50822833641354</v>
      </c>
      <c r="GF20" s="61">
        <f t="shared" si="50"/>
        <v>261.14722581688039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2.1</v>
      </c>
      <c r="GU20" s="13">
        <f>IF('Données projet'!$A$270&gt;35,GU19+GT20-HC19,IF(A20&lt;'Données projet'!$A$270,$GR$205^A20,IF(A20='Données projet'!$A$270,'Données projet'!$B$270,GU19+GT20-HC19)))</f>
        <v>23.975181126327602</v>
      </c>
      <c r="GV20" s="18">
        <f>GU20*VLOOKUP('Données projet'!$B$18,Paramètres!$A$1:$I$89,3,0)*VLOOKUP('Données projet'!$B$18,Paramètres!$A$1:$I$89,5,0)</f>
        <v>25.80688496437903</v>
      </c>
      <c r="GW20" s="14">
        <f t="shared" si="51"/>
        <v>8.146323052908933</v>
      </c>
      <c r="GX20" s="22">
        <f t="shared" si="28"/>
        <v>59.135170630109862</v>
      </c>
      <c r="GY20" s="61">
        <f t="shared" si="29"/>
        <v>336.57961507455434</v>
      </c>
      <c r="GZ20" s="61">
        <f ca="1">AVERAGE(OFFSET($GY$3,0,0,'Données projet'!$E$18+1,1))-AVERAGE(OFFSET($H$3,0,0,'Données projet'!$E$18+1,1))</f>
        <v>502.07782026233912</v>
      </c>
      <c r="HA20" s="61">
        <f t="shared" si="52"/>
        <v>285.83623046025156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26.150316724543362</v>
      </c>
      <c r="P21" s="14">
        <f t="shared" si="33"/>
        <v>8.2420396752158016</v>
      </c>
      <c r="Q21" s="22">
        <f t="shared" si="2"/>
        <v>59.900020729580547</v>
      </c>
      <c r="R21" s="61">
        <f t="shared" si="0"/>
        <v>338.56668739624723</v>
      </c>
      <c r="S21" s="61">
        <f ca="1">AVERAGE(OFFSET($R$3,0,0,'Données projet'!$E$9+1,1))-AVERAGE(OFFSET($H$3,0,0,'Données projet'!$E$9+1,1))</f>
        <v>428.8489304403459</v>
      </c>
      <c r="T21" s="61">
        <f t="shared" si="34"/>
        <v>247.01165577562966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1">
        <f t="shared" si="5"/>
        <v>345.58404036091088</v>
      </c>
      <c r="AN21" s="61">
        <f ca="1">AVERAGE(OFFSET($AM$3,0,0,'Données projet'!$E$10+1,1))-AVERAGE(OFFSET($H$3,0,0,'Données projet'!$E$10+1,1))</f>
        <v>475.47920969424894</v>
      </c>
      <c r="AO21" s="61">
        <f t="shared" si="36"/>
        <v>271.73544012419364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10</v>
      </c>
      <c r="BD21" s="13">
        <f>IF('Données projet'!$A$88&gt;35,BD20+BC21-BL20,IF(A21&lt;'Données projet'!$A$88,$BA$205^A21,IF(A21='Données projet'!$A$88,'Données projet'!$B$88,BD20+BC21-BL20)))</f>
        <v>97.830366653823091</v>
      </c>
      <c r="BE21" s="14">
        <f>BD21*VLOOKUP('Données projet'!$B$11,Paramètres!$A$1:$I$89,3,0)*VLOOKUP('Données projet'!$B$11,Paramètres!$A$1:$I$89,5,0)</f>
        <v>54.687174959487109</v>
      </c>
      <c r="BF21" s="14">
        <f t="shared" si="37"/>
        <v>15.817858384271306</v>
      </c>
      <c r="BG21" s="22">
        <f t="shared" si="7"/>
        <v>122.79626640704589</v>
      </c>
      <c r="BH21" s="61">
        <f t="shared" si="8"/>
        <v>401.46293307371258</v>
      </c>
      <c r="BI21" s="61">
        <f ca="1">AVERAGE(OFFSET($BH$3,0,0,'Données projet'!$E$11+1,1))-AVERAGE(OFFSET($H$3,0,0,'Données projet'!$E$11+1,1))</f>
        <v>374.79806286316051</v>
      </c>
      <c r="BJ21" s="61">
        <f t="shared" si="38"/>
        <v>350.01856672839466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4.9084615384615384</v>
      </c>
      <c r="BY21" s="13">
        <f>IF('Données projet'!$A$114&gt;35,BY20+BX21-CG20,IF(A21&lt;'Données projet'!$A$114,$BV$205^A21,IF(A21='Données projet'!$A$114,'Données projet'!$B$114,BY20+BX21-CG20)))</f>
        <v>19.991251747746755</v>
      </c>
      <c r="BZ21" s="14">
        <f>BY21*VLOOKUP('Données projet'!$B$12,Paramètres!$A$1:$I$89,3,0)*VLOOKUP('Données projet'!$B$12,Paramètres!$A$1:$I$89,5,0)</f>
        <v>9.3559058179454802</v>
      </c>
      <c r="CA21" s="14">
        <f t="shared" si="39"/>
        <v>3.3235599293549551</v>
      </c>
      <c r="CB21" s="22">
        <f t="shared" si="10"/>
        <v>22.083402843214927</v>
      </c>
      <c r="CC21" s="61">
        <f t="shared" si="11"/>
        <v>300.7500695098816</v>
      </c>
      <c r="CD21" s="61">
        <f ca="1">AVERAGE(OFFSET($CC$3,0,0,'Données projet'!$E$12+1,1))-AVERAGE(OFFSET($H$3,0,0,'Données projet'!$E$12+1,1))</f>
        <v>285.59863510278109</v>
      </c>
      <c r="CE21" s="61">
        <f t="shared" si="40"/>
        <v>190.4880882944471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3.7333333333333334</v>
      </c>
      <c r="CT21" s="13">
        <f>IF('Données projet'!$A$140&gt;35,CT20+CS21-DB20,IF(A21&lt;'Données projet'!$A$140,$CQ$205^A21,IF(A21='Données projet'!$A$140,'Données projet'!$B$140,CT20+CS21-DB20)))</f>
        <v>16.964099598730531</v>
      </c>
      <c r="CU21" s="18">
        <f>CT21*VLOOKUP('Données projet'!$B$13,Paramètres!$A$1:$I$89,3,0)*VLOOKUP('Données projet'!$B$13,Paramètres!$A$1:$I$89,5,0)</f>
        <v>8.1597319069893857</v>
      </c>
      <c r="CV21" s="14">
        <f t="shared" si="41"/>
        <v>2.9451599174267282</v>
      </c>
      <c r="CW21" s="22">
        <f t="shared" si="13"/>
        <v>19.34101992752473</v>
      </c>
      <c r="CX21" s="61">
        <f t="shared" si="14"/>
        <v>298.0076865941914</v>
      </c>
      <c r="CY21" s="61">
        <f ca="1">AVERAGE(OFFSET($CX$3,0,0,'Données projet'!$E$13+1,1))-AVERAGE(OFFSET($H$3,0,0,'Données projet'!$E$13+1,1))</f>
        <v>273.72618036666552</v>
      </c>
      <c r="CZ21" s="61">
        <f t="shared" si="42"/>
        <v>157.67999791700714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8.2051282051282044</v>
      </c>
      <c r="DO21" s="13">
        <f>IF('Données projet'!$A$166&gt;35,DO20+DN21-DW20,IF(A21&lt;'Données projet'!$A$166,$DL$205^A21,IF(A21='Données projet'!$A$166,'Données projet'!$B$166,DO20+DN21-DW20)))</f>
        <v>74.615384615384613</v>
      </c>
      <c r="DP21" s="18">
        <f>DO21*VLOOKUP('Données projet'!$B$14,Paramètres!$A$1:$I$89,3,0)*VLOOKUP('Données projet'!$B$14,Paramètres!$A$1:$I$89,5,0)</f>
        <v>50.052</v>
      </c>
      <c r="DQ21" s="14">
        <f t="shared" si="43"/>
        <v>14.62718807768414</v>
      </c>
      <c r="DR21" s="22">
        <f t="shared" si="16"/>
        <v>112.64958590196655</v>
      </c>
      <c r="DS21" s="61">
        <f t="shared" si="17"/>
        <v>391.31625256863322</v>
      </c>
      <c r="DT21" s="61">
        <f ca="1">AVERAGE(OFFSET($DS$3,0,0,'Données projet'!$E$14+1,1))-AVERAGE(OFFSET($H$3,0,0,'Données projet'!$E$14+1,1))</f>
        <v>312.06797204903796</v>
      </c>
      <c r="DU21" s="61">
        <f t="shared" si="44"/>
        <v>258.20189001775151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5.0849999999999991</v>
      </c>
      <c r="EJ21" s="13">
        <f>IF('Données projet'!$A$192&gt;35,EJ20+EI21-ER20,IF(A21&lt;'Données projet'!$A$192,$EG$205^A21,IF(A21='Données projet'!$A$192,'Données projet'!$B$192,EJ20+EI21-ER20)))</f>
        <v>41.325000000000003</v>
      </c>
      <c r="EK21" s="18">
        <f>EJ21*VLOOKUP('Données projet'!$B$15,Paramètres!$A$1:$I$89,3,0)*VLOOKUP('Données projet'!$B$15,Paramètres!$A$1:$I$89,5,0)</f>
        <v>33.522840000000002</v>
      </c>
      <c r="EL21" s="14">
        <f t="shared" si="45"/>
        <v>10.264627639513835</v>
      </c>
      <c r="EM21" s="22">
        <f t="shared" si="19"/>
        <v>76.263172805486604</v>
      </c>
      <c r="EN21" s="61">
        <f t="shared" si="20"/>
        <v>354.92983947215328</v>
      </c>
      <c r="EO21" s="61">
        <f ca="1">AVERAGE(OFFSET($EN$3,0,0,'Données projet'!$E$15+1,1))-AVERAGE(OFFSET($H$3,0,0,'Données projet'!$E$15+1,1))</f>
        <v>222.15256609836689</v>
      </c>
      <c r="EP21" s="61">
        <f t="shared" si="46"/>
        <v>221.10360210521077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9.6</v>
      </c>
      <c r="FE21" s="13">
        <f>IF('Données projet'!$A$218&gt;35,FE20+FD21-FM20,IF(A21&lt;'Données projet'!$A$218,$FB$205^A21,IF(A21='Données projet'!$A$218,'Données projet'!$B$218,FE20+FD21-FM20)))</f>
        <v>68.8</v>
      </c>
      <c r="FF21" s="18">
        <f>FE21*VLOOKUP('Données projet'!$B$16,Paramètres!$A$1:$I$89,3,0)*VLOOKUP('Données projet'!$B$16,Paramètres!$A$1:$I$89,5,0)</f>
        <v>53.664000000000001</v>
      </c>
      <c r="FG21" s="14">
        <f t="shared" si="47"/>
        <v>15.556073979202782</v>
      </c>
      <c r="FH21" s="22">
        <f t="shared" si="22"/>
        <v>120.55829551377816</v>
      </c>
      <c r="FI21" s="61">
        <f t="shared" si="23"/>
        <v>399.22496218044483</v>
      </c>
      <c r="FJ21" s="61">
        <f ca="1">AVERAGE(OFFSET($FI$3,0,0,'Données projet'!$E$16+1,1))-AVERAGE(OFFSET($H$3,0,0,'Données projet'!$E$16+1,1))</f>
        <v>292.57482726862594</v>
      </c>
      <c r="FK21" s="61">
        <f t="shared" si="48"/>
        <v>283.48738729114024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2.1</v>
      </c>
      <c r="FZ21" s="13">
        <f>IF('Données projet'!$A$244&gt;35,FZ20+FY21-GH20,IF(A21&lt;'Données projet'!$A$244,$FW$205^A21,IF(A21='Données projet'!$A$244,'Données projet'!$B$244,FZ20+FY21-GH20)))</f>
        <v>28.901764726506816</v>
      </c>
      <c r="GA21" s="18">
        <f>FZ21*VLOOKUP('Données projet'!$B$17,Paramètres!$A$1:$I$89,3,0)*VLOOKUP('Données projet'!$B$17,Paramètres!$A$1:$I$89,5,0)</f>
        <v>27.953786843477392</v>
      </c>
      <c r="GB21" s="14">
        <f t="shared" si="49"/>
        <v>8.7423265089215931</v>
      </c>
      <c r="GC21" s="22">
        <f t="shared" si="25"/>
        <v>63.912397422094891</v>
      </c>
      <c r="GD21" s="61">
        <f t="shared" si="26"/>
        <v>342.57906408876158</v>
      </c>
      <c r="GE21" s="61">
        <f ca="1">AVERAGE(OFFSET($GD$3,0,0,'Données projet'!$E$17+1,1))-AVERAGE(OFFSET($H$3,0,0,'Données projet'!$E$17+1,1))</f>
        <v>455.50822833641354</v>
      </c>
      <c r="GF21" s="61">
        <f t="shared" si="50"/>
        <v>261.14722581688039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2.1</v>
      </c>
      <c r="GU21" s="13">
        <f>IF('Données projet'!$A$270&gt;35,GU20+GT21-HC20,IF(A21&lt;'Données projet'!$A$270,$GR$205^A21,IF(A21='Données projet'!$A$270,'Données projet'!$B$270,GU20+GT21-HC20)))</f>
        <v>28.901764726506816</v>
      </c>
      <c r="GV21" s="18">
        <f>GU21*VLOOKUP('Données projet'!$B$18,Paramètres!$A$1:$I$89,3,0)*VLOOKUP('Données projet'!$B$18,Paramètres!$A$1:$I$89,5,0)</f>
        <v>31.109859551611933</v>
      </c>
      <c r="GW21" s="14">
        <f t="shared" si="51"/>
        <v>9.6089687778941872</v>
      </c>
      <c r="GX21" s="22">
        <f t="shared" si="28"/>
        <v>70.918626007223153</v>
      </c>
      <c r="GY21" s="61">
        <f t="shared" si="29"/>
        <v>349.58529267388985</v>
      </c>
      <c r="GZ21" s="61">
        <f ca="1">AVERAGE(OFFSET($GY$3,0,0,'Données projet'!$E$18+1,1))-AVERAGE(OFFSET($H$3,0,0,'Données projet'!$E$18+1,1))</f>
        <v>502.07782026233912</v>
      </c>
      <c r="HA21" s="61">
        <f t="shared" si="52"/>
        <v>285.83623046025156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31.52386201022027</v>
      </c>
      <c r="P22" s="14">
        <f t="shared" si="33"/>
        <v>9.7218710074397983</v>
      </c>
      <c r="Q22" s="22">
        <f t="shared" si="2"/>
        <v>71.836318339091292</v>
      </c>
      <c r="R22" s="61">
        <f t="shared" si="0"/>
        <v>351.72520722798015</v>
      </c>
      <c r="S22" s="61">
        <f ca="1">AVERAGE(OFFSET($R$3,0,0,'Données projet'!$E$9+1,1))-AVERAGE(OFFSET($H$3,0,0,'Données projet'!$E$9+1,1))</f>
        <v>428.8489304403459</v>
      </c>
      <c r="T22" s="61">
        <f t="shared" si="34"/>
        <v>247.01165577562966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1">
        <f t="shared" si="5"/>
        <v>360.14509112992164</v>
      </c>
      <c r="AN22" s="61">
        <f ca="1">AVERAGE(OFFSET($AM$3,0,0,'Données projet'!$E$10+1,1))-AVERAGE(OFFSET($H$3,0,0,'Données projet'!$E$10+1,1))</f>
        <v>475.47920969424894</v>
      </c>
      <c r="AO22" s="61">
        <f t="shared" si="36"/>
        <v>271.73544012419364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10</v>
      </c>
      <c r="BD22" s="13">
        <f>IF('Données projet'!$A$88&gt;35,BD21+BC22-BL21,IF(A22&lt;'Données projet'!$A$88,$BA$205^A22,IF(A22='Données projet'!$A$88,'Données projet'!$B$88,BD21+BC22-BL21)))</f>
        <v>126.1988950420027</v>
      </c>
      <c r="BE22" s="14">
        <f>BD22*VLOOKUP('Données projet'!$B$11,Paramètres!$A$1:$I$89,3,0)*VLOOKUP('Données projet'!$B$11,Paramètres!$A$1:$I$89,5,0)</f>
        <v>70.545182328479513</v>
      </c>
      <c r="BF22" s="14">
        <f t="shared" si="37"/>
        <v>19.808784366626785</v>
      </c>
      <c r="BG22" s="22">
        <f t="shared" si="7"/>
        <v>157.36649199397678</v>
      </c>
      <c r="BH22" s="61">
        <f t="shared" si="8"/>
        <v>437.25538088286567</v>
      </c>
      <c r="BI22" s="61">
        <f ca="1">AVERAGE(OFFSET($BH$3,0,0,'Données projet'!$E$11+1,1))-AVERAGE(OFFSET($H$3,0,0,'Données projet'!$E$11+1,1))</f>
        <v>374.79806286316051</v>
      </c>
      <c r="BJ22" s="61">
        <f t="shared" si="38"/>
        <v>350.01856672839466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4.9084615384615384</v>
      </c>
      <c r="BY22" s="13">
        <f>IF('Données projet'!$A$114&gt;35,BY21+BX22-CG21,IF(A22&lt;'Données projet'!$A$114,$BV$205^A22,IF(A22='Données projet'!$A$114,'Données projet'!$B$114,BY21+BX22-CG21)))</f>
        <v>23.610700728923604</v>
      </c>
      <c r="BZ22" s="14">
        <f>BY22*VLOOKUP('Données projet'!$B$12,Paramètres!$A$1:$I$89,3,0)*VLOOKUP('Données projet'!$B$12,Paramètres!$A$1:$I$89,5,0)</f>
        <v>11.049807941136248</v>
      </c>
      <c r="CA22" s="14">
        <f t="shared" si="39"/>
        <v>3.8499962268435248</v>
      </c>
      <c r="CB22" s="22">
        <f t="shared" si="10"/>
        <v>25.950492259231435</v>
      </c>
      <c r="CC22" s="61">
        <f t="shared" si="11"/>
        <v>305.83938114812031</v>
      </c>
      <c r="CD22" s="61">
        <f ca="1">AVERAGE(OFFSET($CC$3,0,0,'Données projet'!$E$12+1,1))-AVERAGE(OFFSET($H$3,0,0,'Données projet'!$E$12+1,1))</f>
        <v>285.59863510278109</v>
      </c>
      <c r="CE22" s="61">
        <f t="shared" si="40"/>
        <v>190.4880882944471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3.7333333333333334</v>
      </c>
      <c r="CT22" s="13">
        <f>IF('Données projet'!$A$140&gt;35,CT21+CS22-DB21,IF(A22&lt;'Données projet'!$A$140,$CQ$205^A22,IF(A22='Données projet'!$A$140,'Données projet'!$B$140,CT21+CS22-DB21)))</f>
        <v>19.853545752017144</v>
      </c>
      <c r="CU22" s="18">
        <f>CT22*VLOOKUP('Données projet'!$B$13,Paramètres!$A$1:$I$89,3,0)*VLOOKUP('Données projet'!$B$13,Paramètres!$A$1:$I$89,5,0)</f>
        <v>9.549555506720246</v>
      </c>
      <c r="CV22" s="14">
        <f t="shared" si="41"/>
        <v>3.3842713918038774</v>
      </c>
      <c r="CW22" s="22">
        <f t="shared" si="13"/>
        <v>22.526415181596182</v>
      </c>
      <c r="CX22" s="61">
        <f t="shared" si="14"/>
        <v>302.41530407048504</v>
      </c>
      <c r="CY22" s="61">
        <f ca="1">AVERAGE(OFFSET($CX$3,0,0,'Données projet'!$E$13+1,1))-AVERAGE(OFFSET($H$3,0,0,'Données projet'!$E$13+1,1))</f>
        <v>273.72618036666552</v>
      </c>
      <c r="CZ22" s="61">
        <f t="shared" si="42"/>
        <v>157.67999791700714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8.2051282051282044</v>
      </c>
      <c r="DO22" s="13">
        <f>IF('Données projet'!$A$166&gt;35,DO21+DN22-DW21,IF(A22&lt;'Données projet'!$A$166,$DL$205^A22,IF(A22='Données projet'!$A$166,'Données projet'!$B$166,DO21+DN22-DW21)))</f>
        <v>82.820512820512818</v>
      </c>
      <c r="DP22" s="18">
        <f>DO22*VLOOKUP('Données projet'!$B$14,Paramètres!$A$1:$I$89,3,0)*VLOOKUP('Données projet'!$B$14,Paramètres!$A$1:$I$89,5,0)</f>
        <v>55.556000000000004</v>
      </c>
      <c r="DQ22" s="14">
        <f t="shared" si="43"/>
        <v>16.039703993592667</v>
      </c>
      <c r="DR22" s="22">
        <f t="shared" si="16"/>
        <v>124.69585112217392</v>
      </c>
      <c r="DS22" s="61">
        <f t="shared" si="17"/>
        <v>404.58474001106276</v>
      </c>
      <c r="DT22" s="61">
        <f ca="1">AVERAGE(OFFSET($DS$3,0,0,'Données projet'!$E$14+1,1))-AVERAGE(OFFSET($H$3,0,0,'Données projet'!$E$14+1,1))</f>
        <v>312.06797204903796</v>
      </c>
      <c r="DU22" s="61">
        <f t="shared" si="44"/>
        <v>258.20189001775151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5.0849999999999991</v>
      </c>
      <c r="EJ22" s="13">
        <f>IF('Données projet'!$A$192&gt;35,EJ21+EI22-ER21,IF(A22&lt;'Données projet'!$A$192,$EG$205^A22,IF(A22='Données projet'!$A$192,'Données projet'!$B$192,EJ21+EI22-ER21)))</f>
        <v>46.410000000000004</v>
      </c>
      <c r="EK22" s="18">
        <f>EJ22*VLOOKUP('Données projet'!$B$15,Paramètres!$A$1:$I$89,3,0)*VLOOKUP('Données projet'!$B$15,Paramètres!$A$1:$I$89,5,0)</f>
        <v>37.647792000000003</v>
      </c>
      <c r="EL22" s="14">
        <f t="shared" si="45"/>
        <v>11.373011970750744</v>
      </c>
      <c r="EM22" s="22">
        <f t="shared" si="19"/>
        <v>85.377900249057532</v>
      </c>
      <c r="EN22" s="61">
        <f t="shared" si="20"/>
        <v>365.26678913794638</v>
      </c>
      <c r="EO22" s="61">
        <f ca="1">AVERAGE(OFFSET($EN$3,0,0,'Données projet'!$E$15+1,1))-AVERAGE(OFFSET($H$3,0,0,'Données projet'!$E$15+1,1))</f>
        <v>222.15256609836689</v>
      </c>
      <c r="EP22" s="61">
        <f t="shared" si="46"/>
        <v>221.10360210521077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9.6</v>
      </c>
      <c r="FE22" s="13">
        <f>IF('Données projet'!$A$218&gt;35,FE21+FD22-FM21,IF(A22&lt;'Données projet'!$A$218,$FB$205^A22,IF(A22='Données projet'!$A$218,'Données projet'!$B$218,FE21+FD22-FM21)))</f>
        <v>78.399999999999991</v>
      </c>
      <c r="FF22" s="18">
        <f>FE22*VLOOKUP('Données projet'!$B$16,Paramètres!$A$1:$I$89,3,0)*VLOOKUP('Données projet'!$B$16,Paramètres!$A$1:$I$89,5,0)</f>
        <v>61.151999999999994</v>
      </c>
      <c r="FG22" s="14">
        <f t="shared" si="47"/>
        <v>17.459207591071255</v>
      </c>
      <c r="FH22" s="22">
        <f t="shared" si="22"/>
        <v>136.9145198877824</v>
      </c>
      <c r="FI22" s="61">
        <f t="shared" si="23"/>
        <v>416.80340877667129</v>
      </c>
      <c r="FJ22" s="61">
        <f ca="1">AVERAGE(OFFSET($FI$3,0,0,'Données projet'!$E$16+1,1))-AVERAGE(OFFSET($H$3,0,0,'Données projet'!$E$16+1,1))</f>
        <v>292.57482726862594</v>
      </c>
      <c r="FK22" s="61">
        <f t="shared" si="48"/>
        <v>283.48738729114024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2.1</v>
      </c>
      <c r="FZ22" s="13">
        <f>IF('Données projet'!$A$244&gt;35,FZ21+FY22-GH21,IF(A22&lt;'Données projet'!$A$244,$FW$205^A22,IF(A22='Données projet'!$A$244,'Données projet'!$B$244,FZ21+FY22-GH21)))</f>
        <v>34.840696297767764</v>
      </c>
      <c r="GA22" s="18">
        <f>FZ22*VLOOKUP('Données projet'!$B$17,Paramètres!$A$1:$I$89,3,0)*VLOOKUP('Données projet'!$B$17,Paramètres!$A$1:$I$89,5,0)</f>
        <v>33.697921459200977</v>
      </c>
      <c r="GB22" s="14">
        <f t="shared" si="49"/>
        <v>10.31198270984201</v>
      </c>
      <c r="GC22" s="22">
        <f t="shared" si="25"/>
        <v>76.650583094416518</v>
      </c>
      <c r="GD22" s="61">
        <f t="shared" si="26"/>
        <v>356.53947198330536</v>
      </c>
      <c r="GE22" s="61">
        <f ca="1">AVERAGE(OFFSET($GD$3,0,0,'Données projet'!$E$17+1,1))-AVERAGE(OFFSET($H$3,0,0,'Données projet'!$E$17+1,1))</f>
        <v>455.50822833641354</v>
      </c>
      <c r="GF22" s="61">
        <f t="shared" si="50"/>
        <v>261.14722581688039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2.1</v>
      </c>
      <c r="GU22" s="13">
        <f>IF('Données projet'!$A$270&gt;35,GU21+GT22-HC21,IF(A22&lt;'Données projet'!$A$270,$GR$205^A22,IF(A22='Données projet'!$A$270,'Données projet'!$B$270,GU21+GT22-HC21)))</f>
        <v>34.840696297767764</v>
      </c>
      <c r="GV22" s="18">
        <f>GU22*VLOOKUP('Données projet'!$B$18,Paramètres!$A$1:$I$89,3,0)*VLOOKUP('Données projet'!$B$18,Paramètres!$A$1:$I$89,5,0)</f>
        <v>37.502525494917215</v>
      </c>
      <c r="GW22" s="14">
        <f t="shared" si="51"/>
        <v>11.334227770598273</v>
      </c>
      <c r="GX22" s="22">
        <f t="shared" si="28"/>
        <v>85.057345270772814</v>
      </c>
      <c r="GY22" s="61">
        <f t="shared" si="29"/>
        <v>364.94623415966169</v>
      </c>
      <c r="GZ22" s="61">
        <f ca="1">AVERAGE(OFFSET($GY$3,0,0,'Données projet'!$E$18+1,1))-AVERAGE(OFFSET($H$3,0,0,'Données projet'!$E$18+1,1))</f>
        <v>502.07782026233912</v>
      </c>
      <c r="HA22" s="61">
        <f t="shared" si="52"/>
        <v>285.83623046025156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38.001600000000003</v>
      </c>
      <c r="P23" s="14">
        <f t="shared" si="33"/>
        <v>11.467401227090512</v>
      </c>
      <c r="Q23" s="22">
        <f t="shared" si="2"/>
        <v>86.158510470515978</v>
      </c>
      <c r="R23" s="61">
        <f t="shared" si="0"/>
        <v>367.26962158162712</v>
      </c>
      <c r="S23" s="61">
        <f ca="1">AVERAGE(OFFSET($R$3,0,0,'Données projet'!$E$9+1,1))-AVERAGE(OFFSET($H$3,0,0,'Données projet'!$E$9+1,1))</f>
        <v>428.8489304403459</v>
      </c>
      <c r="T23" s="61">
        <f t="shared" si="34"/>
        <v>247.01165577562966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1">
        <f t="shared" si="5"/>
        <v>377.37315625071483</v>
      </c>
      <c r="AN23" s="61">
        <f ca="1">AVERAGE(OFFSET($AM$3,0,0,'Données projet'!$E$10+1,1))-AVERAGE(OFFSET($H$3,0,0,'Données projet'!$E$10+1,1))</f>
        <v>475.47920969424894</v>
      </c>
      <c r="AO23" s="61">
        <f t="shared" si="36"/>
        <v>271.73544012419364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10</v>
      </c>
      <c r="BD23" s="13">
        <f>IF('Données projet'!$A$88&gt;35,BD22+BC23-BL22,IF(A23&lt;'Données projet'!$A$88,$BA$205^A23,IF(A23='Données projet'!$A$88,'Données projet'!$B$88,BD22+BC23-BL22)))</f>
        <v>162.79363611278094</v>
      </c>
      <c r="BE23" s="14">
        <f>BD23*VLOOKUP('Données projet'!$B$11,Paramètres!$A$1:$I$89,3,0)*VLOOKUP('Données projet'!$B$11,Paramètres!$A$1:$I$89,5,0)</f>
        <v>91.001642587044557</v>
      </c>
      <c r="BF23" s="14">
        <f t="shared" si="37"/>
        <v>24.806641237456894</v>
      </c>
      <c r="BG23" s="22">
        <f t="shared" si="7"/>
        <v>201.69942766100667</v>
      </c>
      <c r="BH23" s="61">
        <f t="shared" si="8"/>
        <v>482.81053877211781</v>
      </c>
      <c r="BI23" s="61">
        <f ca="1">AVERAGE(OFFSET($BH$3,0,0,'Données projet'!$E$11+1,1))-AVERAGE(OFFSET($H$3,0,0,'Données projet'!$E$11+1,1))</f>
        <v>374.79806286316051</v>
      </c>
      <c r="BJ23" s="61">
        <f t="shared" si="38"/>
        <v>350.01856672839466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4.9084615384615384</v>
      </c>
      <c r="BY23" s="13">
        <f>IF('Données projet'!$A$114&gt;35,BY22+BX23-CG22,IF(A23&lt;'Données projet'!$A$114,$BV$205^A23,IF(A23='Données projet'!$A$114,'Données projet'!$B$114,BY22+BX23-CG22)))</f>
        <v>27.885456896095882</v>
      </c>
      <c r="BZ23" s="14">
        <f>BY23*VLOOKUP('Données projet'!$B$12,Paramètres!$A$1:$I$89,3,0)*VLOOKUP('Données projet'!$B$12,Paramètres!$A$1:$I$89,5,0)</f>
        <v>13.050393827372874</v>
      </c>
      <c r="CA23" s="14">
        <f t="shared" si="39"/>
        <v>4.459817563628576</v>
      </c>
      <c r="CB23" s="22">
        <f t="shared" si="10"/>
        <v>30.49695150599419</v>
      </c>
      <c r="CC23" s="61">
        <f t="shared" si="11"/>
        <v>311.60806261710536</v>
      </c>
      <c r="CD23" s="61">
        <f ca="1">AVERAGE(OFFSET($CC$3,0,0,'Données projet'!$E$12+1,1))-AVERAGE(OFFSET($H$3,0,0,'Données projet'!$E$12+1,1))</f>
        <v>285.59863510278109</v>
      </c>
      <c r="CE23" s="61">
        <f t="shared" si="40"/>
        <v>190.4880882944471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3.7333333333333334</v>
      </c>
      <c r="CT23" s="13">
        <f>IF('Données projet'!$A$140&gt;35,CT22+CS23-DB22,IF(A23&lt;'Données projet'!$A$140,$CQ$205^A23,IF(A23='Données projet'!$A$140,'Données projet'!$B$140,CT22+CS23-DB22)))</f>
        <v>23.235142934254771</v>
      </c>
      <c r="CU23" s="18">
        <f>CT23*VLOOKUP('Données projet'!$B$13,Paramètres!$A$1:$I$89,3,0)*VLOOKUP('Données projet'!$B$13,Paramètres!$A$1:$I$89,5,0)</f>
        <v>11.176103751376544</v>
      </c>
      <c r="CV23" s="14">
        <f t="shared" si="41"/>
        <v>3.888852617344198</v>
      </c>
      <c r="CW23" s="22">
        <f t="shared" si="13"/>
        <v>26.238132342188624</v>
      </c>
      <c r="CX23" s="61">
        <f t="shared" si="14"/>
        <v>307.34924345329978</v>
      </c>
      <c r="CY23" s="61">
        <f ca="1">AVERAGE(OFFSET($CX$3,0,0,'Données projet'!$E$13+1,1))-AVERAGE(OFFSET($H$3,0,0,'Données projet'!$E$13+1,1))</f>
        <v>273.72618036666552</v>
      </c>
      <c r="CZ23" s="61">
        <f t="shared" si="42"/>
        <v>157.67999791700714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91.025641025641022</v>
      </c>
      <c r="DM23" s="13">
        <f>VLOOKUP(A23,'Données projet'!$A$165:$I$185,9,0)</f>
        <v>8.2051282051282044</v>
      </c>
      <c r="DN23" s="13">
        <f t="array" ref="DN23">INDEX(DM:DM,MIN(IF(ISNUMBER(DM23:DM219),ROW(DM23:DM219),"")))</f>
        <v>8.2051282051282044</v>
      </c>
      <c r="DO23" s="13">
        <f>IF('Données projet'!$A$166&gt;35,DO22+DN23-DW22,IF(A23&lt;'Données projet'!$A$166,$DL$205^A23,IF(A23='Données projet'!$A$166,'Données projet'!$B$166,DO22+DN23-DW22)))</f>
        <v>91.025641025641022</v>
      </c>
      <c r="DP23" s="18">
        <f>DO23*VLOOKUP('Données projet'!$B$14,Paramètres!$A$1:$I$89,3,0)*VLOOKUP('Données projet'!$B$14,Paramètres!$A$1:$I$89,5,0)</f>
        <v>61.06</v>
      </c>
      <c r="DQ23" s="14">
        <f t="shared" si="43"/>
        <v>17.43599650596687</v>
      </c>
      <c r="DR23" s="22">
        <f t="shared" si="16"/>
        <v>136.71386058122562</v>
      </c>
      <c r="DS23" s="61">
        <f t="shared" si="17"/>
        <v>417.82497169233676</v>
      </c>
      <c r="DT23" s="61">
        <f ca="1">AVERAGE(OFFSET($DS$3,0,0,'Données projet'!$E$14+1,1))-AVERAGE(OFFSET($H$3,0,0,'Données projet'!$E$14+1,1))</f>
        <v>312.06797204903796</v>
      </c>
      <c r="DU23" s="61">
        <f t="shared" si="44"/>
        <v>258.20189001775151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24.358974358974358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5.0849999999999991</v>
      </c>
      <c r="EJ23" s="13">
        <f>IF('Données projet'!$A$192&gt;35,EJ22+EI23-ER22,IF(A23&lt;'Données projet'!$A$192,$EG$205^A23,IF(A23='Données projet'!$A$192,'Données projet'!$B$192,EJ22+EI23-ER22)))</f>
        <v>51.495000000000005</v>
      </c>
      <c r="EK23" s="18">
        <f>EJ23*VLOOKUP('Données projet'!$B$15,Paramètres!$A$1:$I$89,3,0)*VLOOKUP('Données projet'!$B$15,Paramètres!$A$1:$I$89,5,0)</f>
        <v>41.77274400000001</v>
      </c>
      <c r="EL23" s="14">
        <f t="shared" si="45"/>
        <v>12.46732048565546</v>
      </c>
      <c r="EM23" s="22">
        <f t="shared" si="19"/>
        <v>94.46811231251661</v>
      </c>
      <c r="EN23" s="61">
        <f t="shared" si="20"/>
        <v>375.57922342362775</v>
      </c>
      <c r="EO23" s="61">
        <f ca="1">AVERAGE(OFFSET($EN$3,0,0,'Données projet'!$E$15+1,1))-AVERAGE(OFFSET($H$3,0,0,'Données projet'!$E$15+1,1))</f>
        <v>222.15256609836689</v>
      </c>
      <c r="EP23" s="61">
        <f t="shared" si="46"/>
        <v>221.10360210521077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88</v>
      </c>
      <c r="FC23" s="13">
        <f>VLOOKUP(A23,'Données projet'!$A$217:$I$237,9,0)</f>
        <v>9.6</v>
      </c>
      <c r="FD23" s="13">
        <f t="array" ref="FD23">INDEX(FC:FC,MIN(IF(ISNUMBER(FC23:FC219),ROW(FC23:FC219),"")))</f>
        <v>9.6</v>
      </c>
      <c r="FE23" s="13">
        <f>IF('Données projet'!$A$218&gt;35,FE22+FD23-FM22,IF(A23&lt;'Données projet'!$A$218,$FB$205^A23,IF(A23='Données projet'!$A$218,'Données projet'!$B$218,FE22+FD23-FM22)))</f>
        <v>87.999999999999986</v>
      </c>
      <c r="FF23" s="18">
        <f>FE23*VLOOKUP('Données projet'!$B$16,Paramètres!$A$1:$I$89,3,0)*VLOOKUP('Données projet'!$B$16,Paramètres!$A$1:$I$89,5,0)</f>
        <v>68.639999999999986</v>
      </c>
      <c r="FG23" s="14">
        <f t="shared" si="47"/>
        <v>19.335336956640202</v>
      </c>
      <c r="FH23" s="22">
        <f t="shared" si="22"/>
        <v>153.22371186614834</v>
      </c>
      <c r="FI23" s="61">
        <f t="shared" si="23"/>
        <v>434.33482297725948</v>
      </c>
      <c r="FJ23" s="61">
        <f ca="1">AVERAGE(OFFSET($FI$3,0,0,'Données projet'!$E$16+1,1))-AVERAGE(OFFSET($H$3,0,0,'Données projet'!$E$16+1,1))</f>
        <v>292.57482726862594</v>
      </c>
      <c r="FK23" s="61">
        <f t="shared" si="48"/>
        <v>283.48738729114024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42</v>
      </c>
      <c r="FX23" s="13">
        <f>VLOOKUP(A23,'Données projet'!$A$243:$I$263,9,0)</f>
        <v>2.1</v>
      </c>
      <c r="FY23" s="13">
        <f t="array" ref="FY23">INDEX(FX:FX,MIN(IF(ISNUMBER(FX23:FX219),ROW(FX23:FX219),"")))</f>
        <v>2.1</v>
      </c>
      <c r="FZ23" s="13">
        <f>IF('Données projet'!$A$244&gt;35,FZ22+FY23-GH22,IF(A23&lt;'Données projet'!$A$244,$FW$205^A23,IF(A23='Données projet'!$A$244,'Données projet'!$B$244,FZ22+FY23-GH22)))</f>
        <v>42</v>
      </c>
      <c r="GA23" s="18">
        <f>FZ23*VLOOKUP('Données projet'!$B$17,Paramètres!$A$1:$I$89,3,0)*VLOOKUP('Données projet'!$B$17,Paramètres!$A$1:$I$89,5,0)</f>
        <v>40.622399999999999</v>
      </c>
      <c r="GB23" s="14">
        <f t="shared" si="49"/>
        <v>12.163465560290264</v>
      </c>
      <c r="GC23" s="22">
        <f t="shared" si="25"/>
        <v>91.935382517505545</v>
      </c>
      <c r="GD23" s="61">
        <f t="shared" si="26"/>
        <v>373.0464936286167</v>
      </c>
      <c r="GE23" s="61">
        <f ca="1">AVERAGE(OFFSET($GD$3,0,0,'Données projet'!$E$17+1,1))-AVERAGE(OFFSET($H$3,0,0,'Données projet'!$E$17+1,1))</f>
        <v>455.50822833641354</v>
      </c>
      <c r="GF23" s="61">
        <f t="shared" si="50"/>
        <v>261.14722581688039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42</v>
      </c>
      <c r="GS23" s="13">
        <f>VLOOKUP(A23,'Données projet'!$A$269:$I$289,9,0)</f>
        <v>2.1</v>
      </c>
      <c r="GT23" s="13">
        <f t="array" ref="GT23">INDEX(GS:GS,MIN(IF(ISNUMBER(GS23:GS219),ROW(GS23:GS219),"")))</f>
        <v>2.1</v>
      </c>
      <c r="GU23" s="13">
        <f>IF('Données projet'!$A$270&gt;35,GU22+GT23-HC22,IF(A23&lt;'Données projet'!$A$270,$GR$205^A23,IF(A23='Données projet'!$A$270,'Données projet'!$B$270,GU22+GT23-HC22)))</f>
        <v>42</v>
      </c>
      <c r="GV23" s="18">
        <f>GU23*VLOOKUP('Données projet'!$B$18,Paramètres!$A$1:$I$89,3,0)*VLOOKUP('Données projet'!$B$18,Paramètres!$A$1:$I$89,5,0)</f>
        <v>45.208799999999997</v>
      </c>
      <c r="GW23" s="14">
        <f t="shared" si="51"/>
        <v>13.369251386406743</v>
      </c>
      <c r="GX23" s="22">
        <f t="shared" si="28"/>
        <v>102.02343949799173</v>
      </c>
      <c r="GY23" s="61">
        <f t="shared" si="29"/>
        <v>383.13455060910286</v>
      </c>
      <c r="GZ23" s="61">
        <f ca="1">AVERAGE(OFFSET($GY$3,0,0,'Données projet'!$E$18+1,1))-AVERAGE(OFFSET($H$3,0,0,'Données projet'!$E$18+1,1))</f>
        <v>502.07782026233912</v>
      </c>
      <c r="HA23" s="61">
        <f t="shared" si="52"/>
        <v>285.83623046025156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43.068480000000001</v>
      </c>
      <c r="P24" s="14">
        <f t="shared" si="33"/>
        <v>12.808416415102187</v>
      </c>
      <c r="Q24" s="22">
        <f t="shared" si="2"/>
        <v>97.318927922969635</v>
      </c>
      <c r="R24" s="61">
        <f t="shared" si="0"/>
        <v>379.65226125630295</v>
      </c>
      <c r="S24" s="61">
        <f ca="1">AVERAGE(OFFSET($R$3,0,0,'Données projet'!$E$9+1,1))-AVERAGE(OFFSET($H$3,0,0,'Données projet'!$E$9+1,1))</f>
        <v>428.8489304403459</v>
      </c>
      <c r="T24" s="61">
        <f t="shared" si="34"/>
        <v>247.01165577562966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1">
        <f t="shared" si="5"/>
        <v>391.06825607785231</v>
      </c>
      <c r="AN24" s="61">
        <f ca="1">AVERAGE(OFFSET($AM$3,0,0,'Données projet'!$E$10+1,1))-AVERAGE(OFFSET($H$3,0,0,'Données projet'!$E$10+1,1))</f>
        <v>475.47920969424894</v>
      </c>
      <c r="AO24" s="61">
        <f t="shared" si="36"/>
        <v>271.73544012419364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>
        <f>VLOOKUP(A24,'Données projet'!$A$87:$I$107,2,0)</f>
        <v>210</v>
      </c>
      <c r="BB24" s="13">
        <f>VLOOKUP(A24,'Données projet'!$A$87:$I$107,9,0)</f>
        <v>10</v>
      </c>
      <c r="BC24" s="13">
        <f t="array" ref="BC24">INDEX(BB:BB,MIN(IF(ISNUMBER(BB24:BB220),ROW(BB24:BB220),"")))</f>
        <v>10</v>
      </c>
      <c r="BD24" s="13">
        <f>IF('Données projet'!$A$88&gt;35,BD23+BC24-BL23,IF(A24&lt;'Données projet'!$A$88,$BA$205^A24,IF(A24='Données projet'!$A$88,'Données projet'!$B$88,BD23+BC24-BL23)))</f>
        <v>210</v>
      </c>
      <c r="BE24" s="14">
        <f>BD24*VLOOKUP('Données projet'!$B$11,Paramètres!$A$1:$I$89,3,0)*VLOOKUP('Données projet'!$B$11,Paramètres!$A$1:$I$89,5,0)</f>
        <v>117.39</v>
      </c>
      <c r="BF24" s="14">
        <f t="shared" si="37"/>
        <v>31.065482772413461</v>
      </c>
      <c r="BG24" s="22">
        <f t="shared" si="7"/>
        <v>258.55996582862014</v>
      </c>
      <c r="BH24" s="61">
        <f t="shared" si="8"/>
        <v>540.89329916195345</v>
      </c>
      <c r="BI24" s="61">
        <f ca="1">AVERAGE(OFFSET($BH$3,0,0,'Données projet'!$E$11+1,1))-AVERAGE(OFFSET($H$3,0,0,'Données projet'!$E$11+1,1))</f>
        <v>374.79806286316051</v>
      </c>
      <c r="BJ24" s="61">
        <f t="shared" si="38"/>
        <v>350.01856672839466</v>
      </c>
      <c r="BK24" s="16">
        <f>IF(ISNA(VLOOKUP(A24,'Données projet'!$A$87:$I$107,3,0)),0,VLOOKUP(A24,'Données projet'!$A$87:$I$107,3,0))</f>
        <v>1</v>
      </c>
      <c r="BL24" s="16">
        <f>IF(ISNA(VLOOKUP(A24,'Données projet'!$A$87:$I$107,4,0)),0,VLOOKUP(A24,'Données projet'!$A$87:$I$107,4,0))</f>
        <v>63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0.27500000000000002</v>
      </c>
      <c r="BO24" s="17">
        <f>IF(ISNA(VLOOKUP(A24,'Données projet'!$A$87:$I$107,7,0)),0%,VLOOKUP(A24,'Données projet'!$A$87:$I$107,7,0))</f>
        <v>0.5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12.796760722565436</v>
      </c>
      <c r="BR24" s="23">
        <f>EXP(-LN(2)/2)*BR23+(1-EXP(-LN(2)/2))/(LN(2)/2)*BL24*BO24*VLOOKUP('Données projet'!$B$11,Paramètres!$A$1:$I$89,3,0)*0.475*44/12</f>
        <v>19.936912410994776</v>
      </c>
      <c r="BS24" s="24">
        <f t="shared" si="9"/>
        <v>32.73367313356021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4.9084615384615384</v>
      </c>
      <c r="BY24" s="13">
        <f>IF('Données projet'!$A$114&gt;35,BY23+BX24-CG23,IF(A24&lt;'Données projet'!$A$114,$BV$205^A24,IF(A24='Données projet'!$A$114,'Données projet'!$B$114,BY23+BX24-CG23)))</f>
        <v>32.934164692174789</v>
      </c>
      <c r="BZ24" s="14">
        <f>BY24*VLOOKUP('Données projet'!$B$12,Paramètres!$A$1:$I$89,3,0)*VLOOKUP('Données projet'!$B$12,Paramètres!$A$1:$I$89,5,0)</f>
        <v>15.413189075937803</v>
      </c>
      <c r="CA24" s="14">
        <f t="shared" si="39"/>
        <v>5.166231738662507</v>
      </c>
      <c r="CB24" s="22">
        <f t="shared" si="10"/>
        <v>35.842491252095542</v>
      </c>
      <c r="CC24" s="61">
        <f t="shared" si="11"/>
        <v>318.17582458542887</v>
      </c>
      <c r="CD24" s="61">
        <f ca="1">AVERAGE(OFFSET($CC$3,0,0,'Données projet'!$E$12+1,1))-AVERAGE(OFFSET($H$3,0,0,'Données projet'!$E$12+1,1))</f>
        <v>285.59863510278109</v>
      </c>
      <c r="CE24" s="61">
        <f t="shared" si="40"/>
        <v>190.4880882944471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3.7333333333333334</v>
      </c>
      <c r="CT24" s="13">
        <f>IF('Données projet'!$A$140&gt;35,CT23+CS24-DB23,IF(A24&lt;'Données projet'!$A$140,$CQ$205^A24,IF(A24='Données projet'!$A$140,'Données projet'!$B$140,CT23+CS24-DB23)))</f>
        <v>27.19271781064084</v>
      </c>
      <c r="CU24" s="18">
        <f>CT24*VLOOKUP('Données projet'!$B$13,Paramètres!$A$1:$I$89,3,0)*VLOOKUP('Données projet'!$B$13,Paramètres!$A$1:$I$89,5,0)</f>
        <v>13.079697266918243</v>
      </c>
      <c r="CV24" s="14">
        <f t="shared" si="41"/>
        <v>4.4686648700959797</v>
      </c>
      <c r="CW24" s="22">
        <f t="shared" si="13"/>
        <v>30.563397388633103</v>
      </c>
      <c r="CX24" s="61">
        <f t="shared" si="14"/>
        <v>312.89673072196643</v>
      </c>
      <c r="CY24" s="61">
        <f ca="1">AVERAGE(OFFSET($CX$3,0,0,'Données projet'!$E$13+1,1))-AVERAGE(OFFSET($H$3,0,0,'Données projet'!$E$13+1,1))</f>
        <v>273.72618036666552</v>
      </c>
      <c r="CZ24" s="61">
        <f t="shared" si="42"/>
        <v>157.67999791700714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8.4615384615384617</v>
      </c>
      <c r="DO24" s="13">
        <f>IF('Données projet'!$A$166&gt;35,DO23+DN24-DW23,IF(A24&lt;'Données projet'!$A$166,$DL$205^A24,IF(A24='Données projet'!$A$166,'Données projet'!$B$166,DO23+DN24-DW23)))</f>
        <v>75.128205128205138</v>
      </c>
      <c r="DP24" s="18">
        <f>DO24*VLOOKUP('Données projet'!$B$14,Paramètres!$A$1:$I$89,3,0)*VLOOKUP('Données projet'!$B$14,Paramètres!$A$1:$I$89,5,0)</f>
        <v>50.396000000000001</v>
      </c>
      <c r="DQ24" s="14">
        <f t="shared" si="43"/>
        <v>14.71598138852033</v>
      </c>
      <c r="DR24" s="22">
        <f t="shared" si="16"/>
        <v>113.40336758500625</v>
      </c>
      <c r="DS24" s="61">
        <f t="shared" si="17"/>
        <v>395.73670091833958</v>
      </c>
      <c r="DT24" s="61">
        <f ca="1">AVERAGE(OFFSET($DS$3,0,0,'Données projet'!$E$14+1,1))-AVERAGE(OFFSET($H$3,0,0,'Données projet'!$E$14+1,1))</f>
        <v>312.06797204903796</v>
      </c>
      <c r="DU24" s="61">
        <f t="shared" si="44"/>
        <v>258.20189001775151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5.0849999999999991</v>
      </c>
      <c r="EJ24" s="13">
        <f>IF('Données projet'!$A$192&gt;35,EJ23+EI24-ER23,IF(A24&lt;'Données projet'!$A$192,$EG$205^A24,IF(A24='Données projet'!$A$192,'Données projet'!$B$192,EJ23+EI24-ER23)))</f>
        <v>56.580000000000005</v>
      </c>
      <c r="EK24" s="18">
        <f>EJ24*VLOOKUP('Données projet'!$B$15,Paramètres!$A$1:$I$89,3,0)*VLOOKUP('Données projet'!$B$15,Paramètres!$A$1:$I$89,5,0)</f>
        <v>45.89769600000001</v>
      </c>
      <c r="EL24" s="14">
        <f t="shared" si="45"/>
        <v>13.549101336162</v>
      </c>
      <c r="EM24" s="22">
        <f t="shared" si="19"/>
        <v>103.53650536048214</v>
      </c>
      <c r="EN24" s="61">
        <f t="shared" si="20"/>
        <v>385.86983869381544</v>
      </c>
      <c r="EO24" s="61">
        <f ca="1">AVERAGE(OFFSET($EN$3,0,0,'Données projet'!$E$15+1,1))-AVERAGE(OFFSET($H$3,0,0,'Données projet'!$E$15+1,1))</f>
        <v>222.15256609836689</v>
      </c>
      <c r="EP24" s="61">
        <f t="shared" si="46"/>
        <v>221.10360210521077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10.6</v>
      </c>
      <c r="FE24" s="13">
        <f>IF('Données projet'!$A$218&gt;35,FE23+FD24-FM23,IF(A24&lt;'Données projet'!$A$218,$FB$205^A24,IF(A24='Données projet'!$A$218,'Données projet'!$B$218,FE23+FD24-FM23)))</f>
        <v>98.59999999999998</v>
      </c>
      <c r="FF24" s="18">
        <f>FE24*VLOOKUP('Données projet'!$B$16,Paramètres!$A$1:$I$89,3,0)*VLOOKUP('Données projet'!$B$16,Paramètres!$A$1:$I$89,5,0)</f>
        <v>76.907999999999987</v>
      </c>
      <c r="FG24" s="14">
        <f t="shared" si="47"/>
        <v>21.379448490435635</v>
      </c>
      <c r="FH24" s="22">
        <f t="shared" si="22"/>
        <v>171.18397278750868</v>
      </c>
      <c r="FI24" s="61">
        <f t="shared" si="23"/>
        <v>453.51730612084202</v>
      </c>
      <c r="FJ24" s="61">
        <f ca="1">AVERAGE(OFFSET($FI$3,0,0,'Données projet'!$E$16+1,1))-AVERAGE(OFFSET($H$3,0,0,'Données projet'!$E$16+1,1))</f>
        <v>292.57482726862594</v>
      </c>
      <c r="FK24" s="61">
        <f t="shared" si="48"/>
        <v>283.48738729114024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5.6</v>
      </c>
      <c r="FZ24" s="13">
        <f>IF('Données projet'!$A$244&gt;35,FZ23+FY24-GH23,IF(A24&lt;'Données projet'!$A$244,$FW$205^A24,IF(A24='Données projet'!$A$244,'Données projet'!$B$244,FZ23+FY24-GH23)))</f>
        <v>47.6</v>
      </c>
      <c r="GA24" s="18">
        <f>FZ24*VLOOKUP('Données projet'!$B$17,Paramètres!$A$1:$I$89,3,0)*VLOOKUP('Données projet'!$B$17,Paramètres!$A$1:$I$89,5,0)</f>
        <v>46.038720000000005</v>
      </c>
      <c r="GB24" s="14">
        <f t="shared" si="49"/>
        <v>13.585879560828786</v>
      </c>
      <c r="GC24" s="22">
        <f t="shared" si="25"/>
        <v>103.84617756844348</v>
      </c>
      <c r="GD24" s="61">
        <f t="shared" si="26"/>
        <v>386.17951090177678</v>
      </c>
      <c r="GE24" s="61">
        <f ca="1">AVERAGE(OFFSET($GD$3,0,0,'Données projet'!$E$17+1,1))-AVERAGE(OFFSET($H$3,0,0,'Données projet'!$E$17+1,1))</f>
        <v>455.50822833641354</v>
      </c>
      <c r="GF24" s="61">
        <f t="shared" si="50"/>
        <v>261.14722581688039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5.6</v>
      </c>
      <c r="GU24" s="13">
        <f>IF('Données projet'!$A$270&gt;35,GU23+GT24-HC23,IF(A24&lt;'Données projet'!$A$270,$GR$205^A24,IF(A24='Données projet'!$A$270,'Données projet'!$B$270,GU23+GT24-HC23)))</f>
        <v>47.6</v>
      </c>
      <c r="GV24" s="18">
        <f>GU24*VLOOKUP('Données projet'!$B$18,Paramètres!$A$1:$I$89,3,0)*VLOOKUP('Données projet'!$B$18,Paramètres!$A$1:$I$89,5,0)</f>
        <v>51.236640000000001</v>
      </c>
      <c r="GW24" s="14">
        <f t="shared" si="51"/>
        <v>14.932671799321549</v>
      </c>
      <c r="GX24" s="22">
        <f t="shared" si="28"/>
        <v>115.24488471715169</v>
      </c>
      <c r="GY24" s="61">
        <f t="shared" si="29"/>
        <v>397.57821805048502</v>
      </c>
      <c r="GZ24" s="61">
        <f ca="1">AVERAGE(OFFSET($GY$3,0,0,'Données projet'!$E$18+1,1))-AVERAGE(OFFSET($H$3,0,0,'Données projet'!$E$18+1,1))</f>
        <v>502.07782026233912</v>
      </c>
      <c r="HA24" s="61">
        <f t="shared" si="52"/>
        <v>285.83623046025156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48.135359999999999</v>
      </c>
      <c r="P25" s="14">
        <f t="shared" si="33"/>
        <v>14.131148275361113</v>
      </c>
      <c r="Q25" s="22">
        <f t="shared" si="2"/>
        <v>108.4475019129206</v>
      </c>
      <c r="R25" s="61">
        <f t="shared" si="0"/>
        <v>392.00305746847613</v>
      </c>
      <c r="S25" s="61">
        <f ca="1">AVERAGE(OFFSET($R$3,0,0,'Données projet'!$E$9+1,1))-AVERAGE(OFFSET($H$3,0,0,'Données projet'!$E$9+1,1))</f>
        <v>428.8489304403459</v>
      </c>
      <c r="T25" s="61">
        <f t="shared" si="34"/>
        <v>247.01165577562966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1">
        <f t="shared" si="5"/>
        <v>404.72813945687091</v>
      </c>
      <c r="AN25" s="61">
        <f ca="1">AVERAGE(OFFSET($AM$3,0,0,'Données projet'!$E$10+1,1))-AVERAGE(OFFSET($H$3,0,0,'Données projet'!$E$10+1,1))</f>
        <v>475.47920969424894</v>
      </c>
      <c r="AO25" s="61">
        <f t="shared" si="36"/>
        <v>271.73544012419364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19</v>
      </c>
      <c r="BD25" s="13">
        <f>IF('Données projet'!$A$88&gt;35,BD24+BC25-BL24,IF(A25&lt;'Données projet'!$A$88,$BA$205^A25,IF(A25='Données projet'!$A$88,'Données projet'!$B$88,BD24+BC25-BL24)))</f>
        <v>166</v>
      </c>
      <c r="BE25" s="14">
        <f>BD25*VLOOKUP('Données projet'!$B$11,Paramètres!$A$1:$I$89,3,0)*VLOOKUP('Données projet'!$B$11,Paramètres!$A$1:$I$89,5,0)</f>
        <v>92.793999999999997</v>
      </c>
      <c r="BF25" s="14">
        <f t="shared" si="37"/>
        <v>25.237866858098691</v>
      </c>
      <c r="BG25" s="22">
        <f t="shared" si="7"/>
        <v>205.57216811118852</v>
      </c>
      <c r="BH25" s="61">
        <f t="shared" si="8"/>
        <v>489.12772366674403</v>
      </c>
      <c r="BI25" s="61">
        <f ca="1">AVERAGE(OFFSET($BH$3,0,0,'Données projet'!$E$11+1,1))-AVERAGE(OFFSET($H$3,0,0,'Données projet'!$E$11+1,1))</f>
        <v>374.79806286316051</v>
      </c>
      <c r="BJ25" s="61">
        <f t="shared" si="38"/>
        <v>350.01856672839466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12.446832627654485</v>
      </c>
      <c r="BR25" s="23">
        <f>EXP(-LN(2)/2)*BR24+(1-EXP(-LN(2)/2))/(LN(2)/2)*BL25*BO25*VLOOKUP('Données projet'!$B$11,Paramètres!$A$1:$I$89,3,0)*0.475*44/12</f>
        <v>14.097525961736647</v>
      </c>
      <c r="BS25" s="24">
        <f t="shared" si="9"/>
        <v>26.54435858939113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4.9084615384615384</v>
      </c>
      <c r="BY25" s="13">
        <f>IF('Données projet'!$A$114&gt;35,BY24+BX25-CG24,IF(A25&lt;'Données projet'!$A$114,$BV$205^A25,IF(A25='Données projet'!$A$114,'Données projet'!$B$114,BY24+BX25-CG24)))</f>
        <v>38.896949331432715</v>
      </c>
      <c r="BZ25" s="14">
        <f>BY25*VLOOKUP('Données projet'!$B$12,Paramètres!$A$1:$I$89,3,0)*VLOOKUP('Données projet'!$B$12,Paramètres!$A$1:$I$89,5,0)</f>
        <v>18.20377228711051</v>
      </c>
      <c r="CA25" s="14">
        <f t="shared" si="39"/>
        <v>5.9845386042761088</v>
      </c>
      <c r="CB25" s="22">
        <f t="shared" si="10"/>
        <v>42.127974802498365</v>
      </c>
      <c r="CC25" s="61">
        <f t="shared" si="11"/>
        <v>325.68353035805393</v>
      </c>
      <c r="CD25" s="61">
        <f ca="1">AVERAGE(OFFSET($CC$3,0,0,'Données projet'!$E$12+1,1))-AVERAGE(OFFSET($H$3,0,0,'Données projet'!$E$12+1,1))</f>
        <v>285.59863510278109</v>
      </c>
      <c r="CE25" s="61">
        <f t="shared" si="40"/>
        <v>190.4880882944471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3.7333333333333334</v>
      </c>
      <c r="CT25" s="13">
        <f>IF('Données projet'!$A$140&gt;35,CT24+CS25-DB24,IF(A25&lt;'Données projet'!$A$140,$CQ$205^A25,IF(A25='Données projet'!$A$140,'Données projet'!$B$140,CT24+CS25-DB24)))</f>
        <v>31.824375000465658</v>
      </c>
      <c r="CU25" s="18">
        <f>CT25*VLOOKUP('Données projet'!$B$13,Paramètres!$A$1:$I$89,3,0)*VLOOKUP('Données projet'!$B$13,Paramètres!$A$1:$I$89,5,0)</f>
        <v>15.307524375223982</v>
      </c>
      <c r="CV25" s="14">
        <f t="shared" si="41"/>
        <v>5.1349247930273281</v>
      </c>
      <c r="CW25" s="22">
        <f t="shared" si="13"/>
        <v>35.603932301371032</v>
      </c>
      <c r="CX25" s="61">
        <f t="shared" si="14"/>
        <v>319.1594878569266</v>
      </c>
      <c r="CY25" s="61">
        <f ca="1">AVERAGE(OFFSET($CX$3,0,0,'Données projet'!$E$13+1,1))-AVERAGE(OFFSET($H$3,0,0,'Données projet'!$E$13+1,1))</f>
        <v>273.72618036666552</v>
      </c>
      <c r="CZ25" s="61">
        <f t="shared" si="42"/>
        <v>157.67999791700714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8.4615384615384617</v>
      </c>
      <c r="DO25" s="13">
        <f>IF('Données projet'!$A$166&gt;35,DO24+DN25-DW24,IF(A25&lt;'Données projet'!$A$166,$DL$205^A25,IF(A25='Données projet'!$A$166,'Données projet'!$B$166,DO24+DN25-DW24)))</f>
        <v>83.589743589743605</v>
      </c>
      <c r="DP25" s="18">
        <f>DO25*VLOOKUP('Données projet'!$B$14,Paramètres!$A$1:$I$89,3,0)*VLOOKUP('Données projet'!$B$14,Paramètres!$A$1:$I$89,5,0)</f>
        <v>56.07200000000001</v>
      </c>
      <c r="DQ25" s="14">
        <f t="shared" si="43"/>
        <v>16.17126790367621</v>
      </c>
      <c r="DR25" s="22">
        <f t="shared" si="16"/>
        <v>125.82369159890273</v>
      </c>
      <c r="DS25" s="61">
        <f t="shared" si="17"/>
        <v>409.37924715445826</v>
      </c>
      <c r="DT25" s="61">
        <f ca="1">AVERAGE(OFFSET($DS$3,0,0,'Données projet'!$E$14+1,1))-AVERAGE(OFFSET($H$3,0,0,'Données projet'!$E$14+1,1))</f>
        <v>312.06797204903796</v>
      </c>
      <c r="DU25" s="61">
        <f t="shared" si="44"/>
        <v>258.20189001775151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5.0849999999999991</v>
      </c>
      <c r="EJ25" s="13">
        <f>IF('Données projet'!$A$192&gt;35,EJ24+EI25-ER24,IF(A25&lt;'Données projet'!$A$192,$EG$205^A25,IF(A25='Données projet'!$A$192,'Données projet'!$B$192,EJ24+EI25-ER24)))</f>
        <v>61.665000000000006</v>
      </c>
      <c r="EK25" s="18">
        <f>EJ25*VLOOKUP('Données projet'!$B$15,Paramètres!$A$1:$I$89,3,0)*VLOOKUP('Données projet'!$B$15,Paramètres!$A$1:$I$89,5,0)</f>
        <v>50.022648000000004</v>
      </c>
      <c r="EL25" s="14">
        <f t="shared" si="45"/>
        <v>14.619608454051079</v>
      </c>
      <c r="EM25" s="22">
        <f t="shared" si="19"/>
        <v>112.58526332413896</v>
      </c>
      <c r="EN25" s="61">
        <f t="shared" si="20"/>
        <v>396.14081887969451</v>
      </c>
      <c r="EO25" s="61">
        <f ca="1">AVERAGE(OFFSET($EN$3,0,0,'Données projet'!$E$15+1,1))-AVERAGE(OFFSET($H$3,0,0,'Données projet'!$E$15+1,1))</f>
        <v>222.15256609836689</v>
      </c>
      <c r="EP25" s="61">
        <f t="shared" si="46"/>
        <v>221.10360210521077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10.6</v>
      </c>
      <c r="FE25" s="13">
        <f>IF('Données projet'!$A$218&gt;35,FE24+FD25-FM24,IF(A25&lt;'Données projet'!$A$218,$FB$205^A25,IF(A25='Données projet'!$A$218,'Données projet'!$B$218,FE24+FD25-FM24)))</f>
        <v>109.19999999999997</v>
      </c>
      <c r="FF25" s="18">
        <f>FE25*VLOOKUP('Données projet'!$B$16,Paramètres!$A$1:$I$89,3,0)*VLOOKUP('Données projet'!$B$16,Paramètres!$A$1:$I$89,5,0)</f>
        <v>85.175999999999988</v>
      </c>
      <c r="FG25" s="14">
        <f t="shared" si="47"/>
        <v>23.398088487656434</v>
      </c>
      <c r="FH25" s="22">
        <f t="shared" si="22"/>
        <v>189.09987078266826</v>
      </c>
      <c r="FI25" s="61">
        <f t="shared" si="23"/>
        <v>472.65542633822383</v>
      </c>
      <c r="FJ25" s="61">
        <f ca="1">AVERAGE(OFFSET($FI$3,0,0,'Données projet'!$E$16+1,1))-AVERAGE(OFFSET($H$3,0,0,'Données projet'!$E$16+1,1))</f>
        <v>292.57482726862594</v>
      </c>
      <c r="FK25" s="61">
        <f t="shared" si="48"/>
        <v>283.48738729114024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5.6</v>
      </c>
      <c r="FZ25" s="13">
        <f>IF('Données projet'!$A$244&gt;35,FZ24+FY25-GH24,IF(A25&lt;'Données projet'!$A$244,$FW$205^A25,IF(A25='Données projet'!$A$244,'Données projet'!$B$244,FZ24+FY25-GH24)))</f>
        <v>53.2</v>
      </c>
      <c r="GA25" s="18">
        <f>FZ25*VLOOKUP('Données projet'!$B$17,Paramètres!$A$1:$I$89,3,0)*VLOOKUP('Données projet'!$B$17,Paramètres!$A$1:$I$89,5,0)</f>
        <v>51.455040000000004</v>
      </c>
      <c r="GB25" s="14">
        <f t="shared" si="49"/>
        <v>14.988900446655085</v>
      </c>
      <c r="GC25" s="22">
        <f t="shared" si="25"/>
        <v>115.72319627792427</v>
      </c>
      <c r="GD25" s="61">
        <f t="shared" si="26"/>
        <v>399.27875183347982</v>
      </c>
      <c r="GE25" s="61">
        <f ca="1">AVERAGE(OFFSET($GD$3,0,0,'Données projet'!$E$17+1,1))-AVERAGE(OFFSET($H$3,0,0,'Données projet'!$E$17+1,1))</f>
        <v>455.50822833641354</v>
      </c>
      <c r="GF25" s="61">
        <f t="shared" si="50"/>
        <v>261.14722581688039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5.6</v>
      </c>
      <c r="GU25" s="13">
        <f>IF('Données projet'!$A$270&gt;35,GU24+GT25-HC24,IF(A25&lt;'Données projet'!$A$270,$GR$205^A25,IF(A25='Données projet'!$A$270,'Données projet'!$B$270,GU24+GT25-HC24)))</f>
        <v>53.2</v>
      </c>
      <c r="GV25" s="18">
        <f>GU25*VLOOKUP('Données projet'!$B$18,Paramètres!$A$1:$I$89,3,0)*VLOOKUP('Données projet'!$B$18,Paramètres!$A$1:$I$89,5,0)</f>
        <v>57.264479999999999</v>
      </c>
      <c r="GW25" s="14">
        <f t="shared" si="51"/>
        <v>16.474776623807379</v>
      </c>
      <c r="GX25" s="22">
        <f t="shared" si="28"/>
        <v>128.42920528646451</v>
      </c>
      <c r="GY25" s="61">
        <f t="shared" si="29"/>
        <v>411.98476084202002</v>
      </c>
      <c r="GZ25" s="61">
        <f ca="1">AVERAGE(OFFSET($GY$3,0,0,'Données projet'!$E$18+1,1))-AVERAGE(OFFSET($H$3,0,0,'Données projet'!$E$18+1,1))</f>
        <v>502.07782026233912</v>
      </c>
      <c r="HA25" s="61">
        <f t="shared" si="52"/>
        <v>285.83623046025156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53.202240000000003</v>
      </c>
      <c r="P26" s="14">
        <f t="shared" si="33"/>
        <v>15.437740642425908</v>
      </c>
      <c r="Q26" s="22">
        <f t="shared" si="2"/>
        <v>119.54796628555846</v>
      </c>
      <c r="R26" s="61">
        <f t="shared" si="0"/>
        <v>404.32574406333623</v>
      </c>
      <c r="S26" s="61">
        <f ca="1">AVERAGE(OFFSET($R$3,0,0,'Données projet'!$E$9+1,1))-AVERAGE(OFFSET($H$3,0,0,'Données projet'!$E$9+1,1))</f>
        <v>428.8489304403459</v>
      </c>
      <c r="T26" s="61">
        <f t="shared" si="34"/>
        <v>247.01165577562966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1">
        <f t="shared" si="5"/>
        <v>418.35693573662502</v>
      </c>
      <c r="AN26" s="61">
        <f ca="1">AVERAGE(OFFSET($AM$3,0,0,'Données projet'!$E$10+1,1))-AVERAGE(OFFSET($H$3,0,0,'Données projet'!$E$10+1,1))</f>
        <v>475.47920969424894</v>
      </c>
      <c r="AO26" s="61">
        <f t="shared" si="36"/>
        <v>271.73544012419364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19</v>
      </c>
      <c r="BD26" s="13">
        <f>IF('Données projet'!$A$88&gt;35,BD25+BC26-BL25,IF(A26&lt;'Données projet'!$A$88,$BA$205^A26,IF(A26='Données projet'!$A$88,'Données projet'!$B$88,BD25+BC26-BL25)))</f>
        <v>185</v>
      </c>
      <c r="BE26" s="14">
        <f>BD26*VLOOKUP('Données projet'!$B$11,Paramètres!$A$1:$I$89,3,0)*VLOOKUP('Données projet'!$B$11,Paramètres!$A$1:$I$89,5,0)</f>
        <v>103.41500000000001</v>
      </c>
      <c r="BF26" s="14">
        <f t="shared" si="37"/>
        <v>27.773977384564439</v>
      </c>
      <c r="BG26" s="22">
        <f t="shared" si="7"/>
        <v>228.48746894478305</v>
      </c>
      <c r="BH26" s="61">
        <f t="shared" si="8"/>
        <v>513.26524672256085</v>
      </c>
      <c r="BI26" s="61">
        <f ca="1">AVERAGE(OFFSET($BH$3,0,0,'Données projet'!$E$11+1,1))-AVERAGE(OFFSET($H$3,0,0,'Données projet'!$E$11+1,1))</f>
        <v>374.79806286316051</v>
      </c>
      <c r="BJ26" s="61">
        <f t="shared" si="38"/>
        <v>350.01856672839466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12.106473334900793</v>
      </c>
      <c r="BR26" s="23">
        <f>EXP(-LN(2)/2)*BR25+(1-EXP(-LN(2)/2))/(LN(2)/2)*BL26*BO26*VLOOKUP('Données projet'!$B$11,Paramètres!$A$1:$I$89,3,0)*0.475*44/12</f>
        <v>9.9684562054973895</v>
      </c>
      <c r="BS26" s="24">
        <f t="shared" si="9"/>
        <v>22.07492954039818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4.9084615384615384</v>
      </c>
      <c r="BY26" s="13">
        <f>IF('Données projet'!$A$114&gt;35,BY25+BX26-CG25,IF(A26&lt;'Données projet'!$A$114,$BV$205^A26,IF(A26='Données projet'!$A$114,'Données projet'!$B$114,BY25+BX26-CG25)))</f>
        <v>45.939305928458197</v>
      </c>
      <c r="BZ26" s="14">
        <f>BY26*VLOOKUP('Données projet'!$B$12,Paramètres!$A$1:$I$89,3,0)*VLOOKUP('Données projet'!$B$12,Paramètres!$A$1:$I$89,5,0)</f>
        <v>21.499595174518436</v>
      </c>
      <c r="CA26" s="14">
        <f t="shared" si="39"/>
        <v>6.9324614376170377</v>
      </c>
      <c r="CB26" s="22">
        <f t="shared" si="10"/>
        <v>49.51916526613595</v>
      </c>
      <c r="CC26" s="61">
        <f t="shared" si="11"/>
        <v>334.2969430439137</v>
      </c>
      <c r="CD26" s="61">
        <f ca="1">AVERAGE(OFFSET($CC$3,0,0,'Données projet'!$E$12+1,1))-AVERAGE(OFFSET($H$3,0,0,'Données projet'!$E$12+1,1))</f>
        <v>285.59863510278109</v>
      </c>
      <c r="CE26" s="61">
        <f t="shared" si="40"/>
        <v>190.4880882944471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3.7333333333333334</v>
      </c>
      <c r="CT26" s="13">
        <f>IF('Données projet'!$A$140&gt;35,CT25+CS26-DB25,IF(A26&lt;'Données projet'!$A$140,$CQ$205^A26,IF(A26='Données projet'!$A$140,'Données projet'!$B$140,CT25+CS26-DB25)))</f>
        <v>37.244928999849584</v>
      </c>
      <c r="CU26" s="18">
        <f>CT26*VLOOKUP('Données projet'!$B$13,Paramètres!$A$1:$I$89,3,0)*VLOOKUP('Données projet'!$B$13,Paramètres!$A$1:$I$89,5,0)</f>
        <v>17.914810848927651</v>
      </c>
      <c r="CV26" s="14">
        <f t="shared" si="41"/>
        <v>5.9005213853686014</v>
      </c>
      <c r="CW26" s="22">
        <f t="shared" si="13"/>
        <v>41.478370308065969</v>
      </c>
      <c r="CX26" s="61">
        <f t="shared" si="14"/>
        <v>326.25614808584373</v>
      </c>
      <c r="CY26" s="61">
        <f ca="1">AVERAGE(OFFSET($CX$3,0,0,'Données projet'!$E$13+1,1))-AVERAGE(OFFSET($H$3,0,0,'Données projet'!$E$13+1,1))</f>
        <v>273.72618036666552</v>
      </c>
      <c r="CZ26" s="61">
        <f t="shared" si="42"/>
        <v>157.67999791700714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8.4615384615384617</v>
      </c>
      <c r="DO26" s="13">
        <f>IF('Données projet'!$A$166&gt;35,DO25+DN26-DW25,IF(A26&lt;'Données projet'!$A$166,$DL$205^A26,IF(A26='Données projet'!$A$166,'Données projet'!$B$166,DO25+DN26-DW25)))</f>
        <v>92.051282051282072</v>
      </c>
      <c r="DP26" s="18">
        <f>DO26*VLOOKUP('Données projet'!$B$14,Paramètres!$A$1:$I$89,3,0)*VLOOKUP('Données projet'!$B$14,Paramètres!$A$1:$I$89,5,0)</f>
        <v>61.748000000000012</v>
      </c>
      <c r="DQ26" s="14">
        <f t="shared" si="43"/>
        <v>17.609476905605174</v>
      </c>
      <c r="DR26" s="22">
        <f t="shared" si="16"/>
        <v>138.21427227726235</v>
      </c>
      <c r="DS26" s="61">
        <f t="shared" si="17"/>
        <v>422.99205005504012</v>
      </c>
      <c r="DT26" s="61">
        <f ca="1">AVERAGE(OFFSET($DS$3,0,0,'Données projet'!$E$14+1,1))-AVERAGE(OFFSET($H$3,0,0,'Données projet'!$E$14+1,1))</f>
        <v>312.06797204903796</v>
      </c>
      <c r="DU26" s="61">
        <f t="shared" si="44"/>
        <v>258.20189001775151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5.0849999999999991</v>
      </c>
      <c r="EJ26" s="13">
        <f>IF('Données projet'!$A$192&gt;35,EJ25+EI26-ER25,IF(A26&lt;'Données projet'!$A$192,$EG$205^A26,IF(A26='Données projet'!$A$192,'Données projet'!$B$192,EJ25+EI26-ER25)))</f>
        <v>66.75</v>
      </c>
      <c r="EK26" s="18">
        <f>EJ26*VLOOKUP('Données projet'!$B$15,Paramètres!$A$1:$I$89,3,0)*VLOOKUP('Données projet'!$B$15,Paramètres!$A$1:$I$89,5,0)</f>
        <v>54.147600000000004</v>
      </c>
      <c r="EL26" s="14">
        <f t="shared" si="45"/>
        <v>15.679877182502338</v>
      </c>
      <c r="EM26" s="22">
        <f t="shared" si="19"/>
        <v>121.61618942619158</v>
      </c>
      <c r="EN26" s="61">
        <f t="shared" si="20"/>
        <v>406.39396720396934</v>
      </c>
      <c r="EO26" s="61">
        <f ca="1">AVERAGE(OFFSET($EN$3,0,0,'Données projet'!$E$15+1,1))-AVERAGE(OFFSET($H$3,0,0,'Données projet'!$E$15+1,1))</f>
        <v>222.15256609836689</v>
      </c>
      <c r="EP26" s="61">
        <f t="shared" si="46"/>
        <v>221.10360210521077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10.6</v>
      </c>
      <c r="FE26" s="13">
        <f>IF('Données projet'!$A$218&gt;35,FE25+FD26-FM25,IF(A26&lt;'Données projet'!$A$218,$FB$205^A26,IF(A26='Données projet'!$A$218,'Données projet'!$B$218,FE25+FD26-FM25)))</f>
        <v>119.79999999999997</v>
      </c>
      <c r="FF26" s="18">
        <f>FE26*VLOOKUP('Données projet'!$B$16,Paramètres!$A$1:$I$89,3,0)*VLOOKUP('Données projet'!$B$16,Paramètres!$A$1:$I$89,5,0)</f>
        <v>93.443999999999974</v>
      </c>
      <c r="FG26" s="14">
        <f t="shared" si="47"/>
        <v>25.394010816431489</v>
      </c>
      <c r="FH26" s="22">
        <f t="shared" si="22"/>
        <v>206.97620217195148</v>
      </c>
      <c r="FI26" s="61">
        <f t="shared" si="23"/>
        <v>491.75397994972923</v>
      </c>
      <c r="FJ26" s="61">
        <f ca="1">AVERAGE(OFFSET($FI$3,0,0,'Données projet'!$E$16+1,1))-AVERAGE(OFFSET($H$3,0,0,'Données projet'!$E$16+1,1))</f>
        <v>292.57482726862594</v>
      </c>
      <c r="FK26" s="61">
        <f t="shared" si="48"/>
        <v>283.48738729114024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5.6</v>
      </c>
      <c r="FZ26" s="13">
        <f>IF('Données projet'!$A$244&gt;35,FZ25+FY26-GH25,IF(A26&lt;'Données projet'!$A$244,$FW$205^A26,IF(A26='Données projet'!$A$244,'Données projet'!$B$244,FZ25+FY26-GH25)))</f>
        <v>58.800000000000004</v>
      </c>
      <c r="GA26" s="18">
        <f>FZ26*VLOOKUP('Données projet'!$B$17,Paramètres!$A$1:$I$89,3,0)*VLOOKUP('Données projet'!$B$17,Paramètres!$A$1:$I$89,5,0)</f>
        <v>56.87136000000001</v>
      </c>
      <c r="GB26" s="14">
        <f t="shared" si="49"/>
        <v>16.374802181791551</v>
      </c>
      <c r="GC26" s="22">
        <f t="shared" si="25"/>
        <v>127.57039913328697</v>
      </c>
      <c r="GD26" s="61">
        <f t="shared" si="26"/>
        <v>412.34817691106474</v>
      </c>
      <c r="GE26" s="61">
        <f ca="1">AVERAGE(OFFSET($GD$3,0,0,'Données projet'!$E$17+1,1))-AVERAGE(OFFSET($H$3,0,0,'Données projet'!$E$17+1,1))</f>
        <v>455.50822833641354</v>
      </c>
      <c r="GF26" s="61">
        <f t="shared" si="50"/>
        <v>261.14722581688039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5.6</v>
      </c>
      <c r="GU26" s="13">
        <f>IF('Données projet'!$A$270&gt;35,GU25+GT26-HC25,IF(A26&lt;'Données projet'!$A$270,$GR$205^A26,IF(A26='Données projet'!$A$270,'Données projet'!$B$270,GU25+GT26-HC25)))</f>
        <v>58.800000000000004</v>
      </c>
      <c r="GV26" s="18">
        <f>GU26*VLOOKUP('Données projet'!$B$18,Paramètres!$A$1:$I$89,3,0)*VLOOKUP('Données projet'!$B$18,Paramètres!$A$1:$I$89,5,0)</f>
        <v>63.292320000000004</v>
      </c>
      <c r="GW26" s="14">
        <f t="shared" si="51"/>
        <v>17.998065245956816</v>
      </c>
      <c r="GX26" s="22">
        <f t="shared" si="28"/>
        <v>141.58075430337479</v>
      </c>
      <c r="GY26" s="61">
        <f t="shared" si="29"/>
        <v>426.35853208115259</v>
      </c>
      <c r="GZ26" s="61">
        <f ca="1">AVERAGE(OFFSET($GY$3,0,0,'Données projet'!$E$18+1,1))-AVERAGE(OFFSET($H$3,0,0,'Données projet'!$E$18+1,1))</f>
        <v>502.07782026233912</v>
      </c>
      <c r="HA26" s="61">
        <f t="shared" si="52"/>
        <v>285.83623046025156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58.269120000000008</v>
      </c>
      <c r="P27" s="14">
        <f t="shared" si="33"/>
        <v>16.729905486873804</v>
      </c>
      <c r="Q27" s="22">
        <f t="shared" si="2"/>
        <v>130.62330272297189</v>
      </c>
      <c r="R27" s="61">
        <f t="shared" si="0"/>
        <v>416.62330272297186</v>
      </c>
      <c r="S27" s="61">
        <f ca="1">AVERAGE(OFFSET($R$3,0,0,'Données projet'!$E$9+1,1))-AVERAGE(OFFSET($H$3,0,0,'Données projet'!$E$9+1,1))</f>
        <v>428.8489304403459</v>
      </c>
      <c r="T27" s="61">
        <f t="shared" si="34"/>
        <v>247.01165577562966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1">
        <f t="shared" si="5"/>
        <v>431.95794243077449</v>
      </c>
      <c r="AN27" s="61">
        <f ca="1">AVERAGE(OFFSET($AM$3,0,0,'Données projet'!$E$10+1,1))-AVERAGE(OFFSET($H$3,0,0,'Données projet'!$E$10+1,1))</f>
        <v>475.47920969424894</v>
      </c>
      <c r="AO27" s="61">
        <f t="shared" si="36"/>
        <v>271.73544012419364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19</v>
      </c>
      <c r="BD27" s="13">
        <f>IF('Données projet'!$A$88&gt;35,BD26+BC27-BL26,IF(A27&lt;'Données projet'!$A$88,$BA$205^A27,IF(A27='Données projet'!$A$88,'Données projet'!$B$88,BD26+BC27-BL26)))</f>
        <v>204</v>
      </c>
      <c r="BE27" s="14">
        <f>BD27*VLOOKUP('Données projet'!$B$11,Paramètres!$A$1:$I$89,3,0)*VLOOKUP('Données projet'!$B$11,Paramètres!$A$1:$I$89,5,0)</f>
        <v>114.036</v>
      </c>
      <c r="BF27" s="14">
        <f t="shared" si="37"/>
        <v>30.279894261296121</v>
      </c>
      <c r="BG27" s="22">
        <f t="shared" si="7"/>
        <v>251.35018250509077</v>
      </c>
      <c r="BH27" s="61">
        <f t="shared" si="8"/>
        <v>537.35018250509074</v>
      </c>
      <c r="BI27" s="61">
        <f ca="1">AVERAGE(OFFSET($BH$3,0,0,'Données projet'!$E$11+1,1))-AVERAGE(OFFSET($H$3,0,0,'Données projet'!$E$11+1,1))</f>
        <v>374.79806286316051</v>
      </c>
      <c r="BJ27" s="61">
        <f t="shared" si="38"/>
        <v>350.01856672839466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11.775421184906168</v>
      </c>
      <c r="BR27" s="23">
        <f>EXP(-LN(2)/2)*BR26+(1-EXP(-LN(2)/2))/(LN(2)/2)*BL27*BO27*VLOOKUP('Données projet'!$B$11,Paramètres!$A$1:$I$89,3,0)*0.475*44/12</f>
        <v>7.0487629808683252</v>
      </c>
      <c r="BS27" s="24">
        <f t="shared" si="9"/>
        <v>18.824184165774493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4.9084615384615384</v>
      </c>
      <c r="BY27" s="13">
        <f>IF('Données projet'!$A$114&gt;35,BY26+BX27-CG26,IF(A27&lt;'Données projet'!$A$114,$BV$205^A27,IF(A27='Données projet'!$A$114,'Données projet'!$B$114,BY26+BX27-CG26)))</f>
        <v>54.256692760299323</v>
      </c>
      <c r="BZ27" s="14">
        <f>BY27*VLOOKUP('Données projet'!$B$12,Paramètres!$A$1:$I$89,3,0)*VLOOKUP('Données projet'!$B$12,Paramètres!$A$1:$I$89,5,0)</f>
        <v>25.392132211820083</v>
      </c>
      <c r="CA27" s="14">
        <f t="shared" si="39"/>
        <v>8.0305307997692346</v>
      </c>
      <c r="CB27" s="22">
        <f t="shared" si="10"/>
        <v>58.211138078518069</v>
      </c>
      <c r="CC27" s="61">
        <f t="shared" si="11"/>
        <v>344.21113807851805</v>
      </c>
      <c r="CD27" s="61">
        <f ca="1">AVERAGE(OFFSET($CC$3,0,0,'Données projet'!$E$12+1,1))-AVERAGE(OFFSET($H$3,0,0,'Données projet'!$E$12+1,1))</f>
        <v>285.59863510278109</v>
      </c>
      <c r="CE27" s="61">
        <f t="shared" si="40"/>
        <v>190.4880882944471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3.7333333333333334</v>
      </c>
      <c r="CT27" s="13">
        <f>IF('Données projet'!$A$140&gt;35,CT26+CS27-DB26,IF(A27&lt;'Données projet'!$A$140,$CQ$205^A27,IF(A27='Données projet'!$A$140,'Données projet'!$B$140,CT26+CS27-DB26)))</f>
        <v>43.588750326865465</v>
      </c>
      <c r="CU27" s="18">
        <f>CT27*VLOOKUP('Données projet'!$B$13,Paramètres!$A$1:$I$89,3,0)*VLOOKUP('Données projet'!$B$13,Paramètres!$A$1:$I$89,5,0)</f>
        <v>20.966188907222293</v>
      </c>
      <c r="CV27" s="14">
        <f t="shared" si="41"/>
        <v>6.7802653441913607</v>
      </c>
      <c r="CW27" s="22">
        <f t="shared" si="13"/>
        <v>48.325074487878773</v>
      </c>
      <c r="CX27" s="61">
        <f t="shared" si="14"/>
        <v>334.32507448787879</v>
      </c>
      <c r="CY27" s="61">
        <f ca="1">AVERAGE(OFFSET($CX$3,0,0,'Données projet'!$E$13+1,1))-AVERAGE(OFFSET($H$3,0,0,'Données projet'!$E$13+1,1))</f>
        <v>273.72618036666552</v>
      </c>
      <c r="CZ27" s="61">
        <f t="shared" si="42"/>
        <v>157.67999791700714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8.4615384615384617</v>
      </c>
      <c r="DO27" s="13">
        <f>IF('Données projet'!$A$166&gt;35,DO26+DN27-DW26,IF(A27&lt;'Données projet'!$A$166,$DL$205^A27,IF(A27='Données projet'!$A$166,'Données projet'!$B$166,DO26+DN27-DW26)))</f>
        <v>100.51282051282054</v>
      </c>
      <c r="DP27" s="18">
        <f>DO27*VLOOKUP('Données projet'!$B$14,Paramètres!$A$1:$I$89,3,0)*VLOOKUP('Données projet'!$B$14,Paramètres!$A$1:$I$89,5,0)</f>
        <v>67.424000000000021</v>
      </c>
      <c r="DQ27" s="14">
        <f t="shared" si="43"/>
        <v>19.032356736143235</v>
      </c>
      <c r="DR27" s="22">
        <f t="shared" si="16"/>
        <v>150.57815464878283</v>
      </c>
      <c r="DS27" s="61">
        <f t="shared" si="17"/>
        <v>436.57815464878286</v>
      </c>
      <c r="DT27" s="61">
        <f ca="1">AVERAGE(OFFSET($DS$3,0,0,'Données projet'!$E$14+1,1))-AVERAGE(OFFSET($H$3,0,0,'Données projet'!$E$14+1,1))</f>
        <v>312.06797204903796</v>
      </c>
      <c r="DU27" s="61">
        <f t="shared" si="44"/>
        <v>258.20189001775151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5.0849999999999991</v>
      </c>
      <c r="EJ27" s="13">
        <f>IF('Données projet'!$A$192&gt;35,EJ26+EI27-ER26,IF(A27&lt;'Données projet'!$A$192,$EG$205^A27,IF(A27='Données projet'!$A$192,'Données projet'!$B$192,EJ26+EI27-ER26)))</f>
        <v>71.834999999999994</v>
      </c>
      <c r="EK27" s="18">
        <f>EJ27*VLOOKUP('Données projet'!$B$15,Paramètres!$A$1:$I$89,3,0)*VLOOKUP('Données projet'!$B$15,Paramètres!$A$1:$I$89,5,0)</f>
        <v>58.272551999999997</v>
      </c>
      <c r="EL27" s="14">
        <f t="shared" si="45"/>
        <v>16.730776162778564</v>
      </c>
      <c r="EM27" s="22">
        <f t="shared" si="19"/>
        <v>130.63079655017262</v>
      </c>
      <c r="EN27" s="61">
        <f t="shared" si="20"/>
        <v>416.63079655017259</v>
      </c>
      <c r="EO27" s="61">
        <f ca="1">AVERAGE(OFFSET($EN$3,0,0,'Données projet'!$E$15+1,1))-AVERAGE(OFFSET($H$3,0,0,'Données projet'!$E$15+1,1))</f>
        <v>222.15256609836689</v>
      </c>
      <c r="EP27" s="61">
        <f t="shared" si="46"/>
        <v>221.10360210521077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10.6</v>
      </c>
      <c r="FE27" s="13">
        <f>IF('Données projet'!$A$218&gt;35,FE26+FD27-FM26,IF(A27&lt;'Données projet'!$A$218,$FB$205^A27,IF(A27='Données projet'!$A$218,'Données projet'!$B$218,FE26+FD27-FM26)))</f>
        <v>130.39999999999998</v>
      </c>
      <c r="FF27" s="18">
        <f>FE27*VLOOKUP('Données projet'!$B$16,Paramètres!$A$1:$I$89,3,0)*VLOOKUP('Données projet'!$B$16,Paramètres!$A$1:$I$89,5,0)</f>
        <v>101.71199999999999</v>
      </c>
      <c r="FG27" s="14">
        <f t="shared" si="47"/>
        <v>27.369454120725656</v>
      </c>
      <c r="FH27" s="22">
        <f t="shared" si="22"/>
        <v>224.81686592693052</v>
      </c>
      <c r="FI27" s="61">
        <f t="shared" si="23"/>
        <v>510.81686592693052</v>
      </c>
      <c r="FJ27" s="61">
        <f ca="1">AVERAGE(OFFSET($FI$3,0,0,'Données projet'!$E$16+1,1))-AVERAGE(OFFSET($H$3,0,0,'Données projet'!$E$16+1,1))</f>
        <v>292.57482726862594</v>
      </c>
      <c r="FK27" s="61">
        <f t="shared" si="48"/>
        <v>283.48738729114024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5.6</v>
      </c>
      <c r="FZ27" s="13">
        <f>IF('Données projet'!$A$244&gt;35,FZ26+FY27-GH26,IF(A27&lt;'Données projet'!$A$244,$FW$205^A27,IF(A27='Données projet'!$A$244,'Données projet'!$B$244,FZ26+FY27-GH26)))</f>
        <v>64.400000000000006</v>
      </c>
      <c r="GA27" s="18">
        <f>FZ27*VLOOKUP('Données projet'!$B$17,Paramètres!$A$1:$I$89,3,0)*VLOOKUP('Données projet'!$B$17,Paramètres!$A$1:$I$89,5,0)</f>
        <v>62.287680000000009</v>
      </c>
      <c r="GB27" s="14">
        <f t="shared" si="49"/>
        <v>17.745400652396182</v>
      </c>
      <c r="GC27" s="22">
        <f t="shared" si="25"/>
        <v>139.39094880292336</v>
      </c>
      <c r="GD27" s="61">
        <f t="shared" si="26"/>
        <v>425.39094880292339</v>
      </c>
      <c r="GE27" s="61">
        <f ca="1">AVERAGE(OFFSET($GD$3,0,0,'Données projet'!$E$17+1,1))-AVERAGE(OFFSET($H$3,0,0,'Données projet'!$E$17+1,1))</f>
        <v>455.50822833641354</v>
      </c>
      <c r="GF27" s="61">
        <f t="shared" si="50"/>
        <v>261.14722581688039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5.6</v>
      </c>
      <c r="GU27" s="13">
        <f>IF('Données projet'!$A$270&gt;35,GU26+GT27-HC26,IF(A27&lt;'Données projet'!$A$270,$GR$205^A27,IF(A27='Données projet'!$A$270,'Données projet'!$B$270,GU26+GT27-HC26)))</f>
        <v>64.400000000000006</v>
      </c>
      <c r="GV27" s="18">
        <f>GU27*VLOOKUP('Données projet'!$B$18,Paramètres!$A$1:$I$89,3,0)*VLOOKUP('Données projet'!$B$18,Paramètres!$A$1:$I$89,5,0)</f>
        <v>69.320160000000001</v>
      </c>
      <c r="GW27" s="14">
        <f t="shared" si="51"/>
        <v>19.50453356393022</v>
      </c>
      <c r="GX27" s="22">
        <f t="shared" si="28"/>
        <v>154.70300795717847</v>
      </c>
      <c r="GY27" s="61">
        <f t="shared" si="29"/>
        <v>440.70300795717844</v>
      </c>
      <c r="GZ27" s="61">
        <f ca="1">AVERAGE(OFFSET($GY$3,0,0,'Données projet'!$E$18+1,1))-AVERAGE(OFFSET($H$3,0,0,'Données projet'!$E$18+1,1))</f>
        <v>502.07782026233912</v>
      </c>
      <c r="HA27" s="61">
        <f t="shared" si="52"/>
        <v>285.83623046025156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63.335999999999991</v>
      </c>
      <c r="P28" s="14">
        <f t="shared" si="33"/>
        <v>18.009040022946227</v>
      </c>
      <c r="Q28" s="22">
        <f t="shared" si="2"/>
        <v>141.67594470663133</v>
      </c>
      <c r="R28" s="61">
        <f t="shared" si="0"/>
        <v>428.89816692885358</v>
      </c>
      <c r="S28" s="61">
        <f ca="1">AVERAGE(OFFSET($R$3,0,0,'Données projet'!$E$9+1,1))-AVERAGE(OFFSET($H$3,0,0,'Données projet'!$E$9+1,1))</f>
        <v>428.8489304403459</v>
      </c>
      <c r="T28" s="61">
        <f t="shared" si="34"/>
        <v>247.01165577562966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1">
        <f t="shared" si="5"/>
        <v>445.53385078478129</v>
      </c>
      <c r="AN28" s="61">
        <f ca="1">AVERAGE(OFFSET($AM$3,0,0,'Données projet'!$E$10+1,1))-AVERAGE(OFFSET($H$3,0,0,'Données projet'!$E$10+1,1))</f>
        <v>475.47920969424894</v>
      </c>
      <c r="AO28" s="61">
        <f t="shared" si="36"/>
        <v>271.73544012419364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19</v>
      </c>
      <c r="BD28" s="13">
        <f>IF('Données projet'!$A$88&gt;35,BD27+BC28-BL27,IF(A28&lt;'Données projet'!$A$88,$BA$205^A28,IF(A28='Données projet'!$A$88,'Données projet'!$B$88,BD27+BC28-BL27)))</f>
        <v>223</v>
      </c>
      <c r="BE28" s="14">
        <f>BD28*VLOOKUP('Données projet'!$B$11,Paramètres!$A$1:$I$89,3,0)*VLOOKUP('Données projet'!$B$11,Paramètres!$A$1:$I$89,5,0)</f>
        <v>124.65700000000001</v>
      </c>
      <c r="BF28" s="14">
        <f t="shared" si="37"/>
        <v>32.758749517288294</v>
      </c>
      <c r="BG28" s="22">
        <f t="shared" si="7"/>
        <v>274.16576374261041</v>
      </c>
      <c r="BH28" s="61">
        <f t="shared" si="8"/>
        <v>561.38798596483264</v>
      </c>
      <c r="BI28" s="61">
        <f ca="1">AVERAGE(OFFSET($BH$3,0,0,'Données projet'!$E$11+1,1))-AVERAGE(OFFSET($H$3,0,0,'Données projet'!$E$11+1,1))</f>
        <v>374.79806286316051</v>
      </c>
      <c r="BJ28" s="61">
        <f t="shared" si="38"/>
        <v>350.01856672839466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11.453421673362422</v>
      </c>
      <c r="BR28" s="23">
        <f>EXP(-LN(2)/2)*BR27+(1-EXP(-LN(2)/2))/(LN(2)/2)*BL28*BO28*VLOOKUP('Données projet'!$B$11,Paramètres!$A$1:$I$89,3,0)*0.475*44/12</f>
        <v>4.9842281027486957</v>
      </c>
      <c r="BS28" s="24">
        <f t="shared" si="9"/>
        <v>16.437649776111119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4.9084615384615384</v>
      </c>
      <c r="BY28" s="13">
        <f>IF('Données projet'!$A$114&gt;35,BY27+BX28-CG27,IF(A28&lt;'Données projet'!$A$114,$BV$205^A28,IF(A28='Données projet'!$A$114,'Données projet'!$B$114,BY27+BX28-CG27)))</f>
        <v>64.079956146266369</v>
      </c>
      <c r="BZ28" s="14">
        <f>BY28*VLOOKUP('Données projet'!$B$12,Paramètres!$A$1:$I$89,3,0)*VLOOKUP('Données projet'!$B$12,Paramètres!$A$1:$I$89,5,0)</f>
        <v>29.98941947645266</v>
      </c>
      <c r="CA28" s="14">
        <f t="shared" si="39"/>
        <v>9.3025291963556676</v>
      </c>
      <c r="CB28" s="22">
        <f t="shared" si="10"/>
        <v>68.433477271807831</v>
      </c>
      <c r="CC28" s="61">
        <f t="shared" si="11"/>
        <v>355.65569949403005</v>
      </c>
      <c r="CD28" s="61">
        <f ca="1">AVERAGE(OFFSET($CC$3,0,0,'Données projet'!$E$12+1,1))-AVERAGE(OFFSET($H$3,0,0,'Données projet'!$E$12+1,1))</f>
        <v>285.59863510278109</v>
      </c>
      <c r="CE28" s="61">
        <f t="shared" si="40"/>
        <v>190.4880882944471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3.7333333333333334</v>
      </c>
      <c r="CT28" s="13">
        <f>IF('Données projet'!$A$140&gt;35,CT27+CS28-DB27,IF(A28&lt;'Données projet'!$A$140,$CQ$205^A28,IF(A28='Données projet'!$A$140,'Données projet'!$B$140,CT27+CS28-DB27)))</f>
        <v>51.013096442350239</v>
      </c>
      <c r="CU28" s="18">
        <f>CT28*VLOOKUP('Données projet'!$B$13,Paramètres!$A$1:$I$89,3,0)*VLOOKUP('Données projet'!$B$13,Paramètres!$A$1:$I$89,5,0)</f>
        <v>24.537299388770464</v>
      </c>
      <c r="CV28" s="14">
        <f t="shared" si="41"/>
        <v>7.7911755818118369</v>
      </c>
      <c r="CW28" s="22">
        <f t="shared" si="13"/>
        <v>56.305427240430838</v>
      </c>
      <c r="CX28" s="61">
        <f t="shared" si="14"/>
        <v>343.52764946265307</v>
      </c>
      <c r="CY28" s="61">
        <f ca="1">AVERAGE(OFFSET($CX$3,0,0,'Données projet'!$E$13+1,1))-AVERAGE(OFFSET($H$3,0,0,'Données projet'!$E$13+1,1))</f>
        <v>273.72618036666552</v>
      </c>
      <c r="CZ28" s="61">
        <f t="shared" si="42"/>
        <v>157.67999791700714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108.97435897435896</v>
      </c>
      <c r="DM28" s="13">
        <f>VLOOKUP(A28,'Données projet'!$A$165:$I$185,9,0)</f>
        <v>8.4615384615384617</v>
      </c>
      <c r="DN28" s="13">
        <f t="array" ref="DN28">INDEX(DM:DM,MIN(IF(ISNUMBER(DM28:DM224),ROW(DM28:DM224),"")))</f>
        <v>8.4615384615384617</v>
      </c>
      <c r="DO28" s="13">
        <f>IF('Données projet'!$A$166&gt;35,DO27+DN28-DW27,IF(A28&lt;'Données projet'!$A$166,$DL$205^A28,IF(A28='Données projet'!$A$166,'Données projet'!$B$166,DO27+DN28-DW27)))</f>
        <v>108.97435897435901</v>
      </c>
      <c r="DP28" s="18">
        <f>DO28*VLOOKUP('Données projet'!$B$14,Paramètres!$A$1:$I$89,3,0)*VLOOKUP('Données projet'!$B$14,Paramètres!$A$1:$I$89,5,0)</f>
        <v>73.100000000000023</v>
      </c>
      <c r="DQ28" s="14">
        <f t="shared" si="43"/>
        <v>20.44134457781275</v>
      </c>
      <c r="DR28" s="22">
        <f t="shared" si="16"/>
        <v>162.91784180635725</v>
      </c>
      <c r="DS28" s="61">
        <f t="shared" si="17"/>
        <v>450.14006402857945</v>
      </c>
      <c r="DT28" s="61">
        <f ca="1">AVERAGE(OFFSET($DS$3,0,0,'Données projet'!$E$14+1,1))-AVERAGE(OFFSET($H$3,0,0,'Données projet'!$E$14+1,1))</f>
        <v>312.06797204903796</v>
      </c>
      <c r="DU28" s="61">
        <f t="shared" si="44"/>
        <v>258.20189001775151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5.0849999999999991</v>
      </c>
      <c r="EJ28" s="13">
        <f>IF('Données projet'!$A$192&gt;35,EJ27+EI28-ER27,IF(A28&lt;'Données projet'!$A$192,$EG$205^A28,IF(A28='Données projet'!$A$192,'Données projet'!$B$192,EJ27+EI28-ER27)))</f>
        <v>76.919999999999987</v>
      </c>
      <c r="EK28" s="18">
        <f>EJ28*VLOOKUP('Données projet'!$B$15,Paramètres!$A$1:$I$89,3,0)*VLOOKUP('Données projet'!$B$15,Paramètres!$A$1:$I$89,5,0)</f>
        <v>62.397503999999998</v>
      </c>
      <c r="EL28" s="14">
        <f t="shared" si="45"/>
        <v>17.773044091969517</v>
      </c>
      <c r="EM28" s="22">
        <f t="shared" si="19"/>
        <v>139.63037126018023</v>
      </c>
      <c r="EN28" s="61">
        <f t="shared" si="20"/>
        <v>426.85259348240243</v>
      </c>
      <c r="EO28" s="61">
        <f ca="1">AVERAGE(OFFSET($EN$3,0,0,'Données projet'!$E$15+1,1))-AVERAGE(OFFSET($H$3,0,0,'Données projet'!$E$15+1,1))</f>
        <v>222.15256609836689</v>
      </c>
      <c r="EP28" s="61">
        <f t="shared" si="46"/>
        <v>221.10360210521077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141</v>
      </c>
      <c r="FC28" s="13">
        <f>VLOOKUP(A28,'Données projet'!$A$217:$I$237,9,0)</f>
        <v>10.6</v>
      </c>
      <c r="FD28" s="13">
        <f t="array" ref="FD28">INDEX(FC:FC,MIN(IF(ISNUMBER(FC28:FC224),ROW(FC28:FC224),"")))</f>
        <v>10.6</v>
      </c>
      <c r="FE28" s="13">
        <f>IF('Données projet'!$A$218&gt;35,FE27+FD28-FM27,IF(A28&lt;'Données projet'!$A$218,$FB$205^A28,IF(A28='Données projet'!$A$218,'Données projet'!$B$218,FE27+FD28-FM27)))</f>
        <v>140.99999999999997</v>
      </c>
      <c r="FF28" s="18">
        <f>FE28*VLOOKUP('Données projet'!$B$16,Paramètres!$A$1:$I$89,3,0)*VLOOKUP('Données projet'!$B$16,Paramètres!$A$1:$I$89,5,0)</f>
        <v>109.97999999999998</v>
      </c>
      <c r="FG28" s="14">
        <f t="shared" si="47"/>
        <v>29.326272366698234</v>
      </c>
      <c r="FH28" s="22">
        <f t="shared" si="22"/>
        <v>242.62509103866606</v>
      </c>
      <c r="FI28" s="61">
        <f t="shared" si="23"/>
        <v>529.84731326088831</v>
      </c>
      <c r="FJ28" s="61">
        <f ca="1">AVERAGE(OFFSET($FI$3,0,0,'Données projet'!$E$16+1,1))-AVERAGE(OFFSET($H$3,0,0,'Données projet'!$E$16+1,1))</f>
        <v>292.57482726862594</v>
      </c>
      <c r="FK28" s="61">
        <f t="shared" si="48"/>
        <v>283.48738729114024</v>
      </c>
      <c r="FL28" s="16">
        <f>IF(ISNA(VLOOKUP(A28,'Données projet'!$A$217:$I$237,3,0)),0,VLOOKUP(A28,'Données projet'!$A$217:$I$237,3,0))</f>
        <v>1</v>
      </c>
      <c r="FM28" s="16">
        <f>IF(ISNA(VLOOKUP(A28,'Données projet'!$A$217:$I$237,4,0)),0,VLOOKUP(A28,'Données projet'!$A$217:$I$237,4,0))</f>
        <v>55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70</v>
      </c>
      <c r="FX28" s="13">
        <f>VLOOKUP(A28,'Données projet'!$A$243:$I$263,9,0)</f>
        <v>5.6</v>
      </c>
      <c r="FY28" s="13">
        <f t="array" ref="FY28">INDEX(FX:FX,MIN(IF(ISNUMBER(FX28:FX224),ROW(FX28:FX224),"")))</f>
        <v>5.6</v>
      </c>
      <c r="FZ28" s="13">
        <f>IF('Données projet'!$A$244&gt;35,FZ27+FY28-GH27,IF(A28&lt;'Données projet'!$A$244,$FW$205^A28,IF(A28='Données projet'!$A$244,'Données projet'!$B$244,FZ27+FY28-GH27)))</f>
        <v>70</v>
      </c>
      <c r="GA28" s="18">
        <f>FZ28*VLOOKUP('Données projet'!$B$17,Paramètres!$A$1:$I$89,3,0)*VLOOKUP('Données projet'!$B$17,Paramètres!$A$1:$I$89,5,0)</f>
        <v>67.703999999999994</v>
      </c>
      <c r="GB28" s="14">
        <f t="shared" si="49"/>
        <v>19.102177882771514</v>
      </c>
      <c r="GC28" s="22">
        <f t="shared" si="25"/>
        <v>151.18742647916039</v>
      </c>
      <c r="GD28" s="61">
        <f t="shared" si="26"/>
        <v>438.40964870138259</v>
      </c>
      <c r="GE28" s="61">
        <f ca="1">AVERAGE(OFFSET($GD$3,0,0,'Données projet'!$E$17+1,1))-AVERAGE(OFFSET($H$3,0,0,'Données projet'!$E$17+1,1))</f>
        <v>455.50822833641354</v>
      </c>
      <c r="GF28" s="61">
        <f t="shared" si="50"/>
        <v>261.14722581688039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70</v>
      </c>
      <c r="GS28" s="13">
        <f>VLOOKUP(A28,'Données projet'!$A$269:$I$289,9,0)</f>
        <v>5.6</v>
      </c>
      <c r="GT28" s="13">
        <f t="array" ref="GT28">INDEX(GS:GS,MIN(IF(ISNUMBER(GS28:GS224),ROW(GS28:GS224),"")))</f>
        <v>5.6</v>
      </c>
      <c r="GU28" s="13">
        <f>IF('Données projet'!$A$270&gt;35,GU27+GT28-HC27,IF(A28&lt;'Données projet'!$A$270,$GR$205^A28,IF(A28='Données projet'!$A$270,'Données projet'!$B$270,GU27+GT28-HC27)))</f>
        <v>70</v>
      </c>
      <c r="GV28" s="18">
        <f>GU28*VLOOKUP('Données projet'!$B$18,Paramètres!$A$1:$I$89,3,0)*VLOOKUP('Données projet'!$B$18,Paramètres!$A$1:$I$89,5,0)</f>
        <v>75.347999999999999</v>
      </c>
      <c r="GW28" s="14">
        <f t="shared" si="51"/>
        <v>20.99581051771704</v>
      </c>
      <c r="GX28" s="22">
        <f t="shared" si="28"/>
        <v>167.79880331835713</v>
      </c>
      <c r="GY28" s="61">
        <f t="shared" si="29"/>
        <v>455.02102554057933</v>
      </c>
      <c r="GZ28" s="61">
        <f ca="1">AVERAGE(OFFSET($GY$3,0,0,'Données projet'!$E$18+1,1))-AVERAGE(OFFSET($H$3,0,0,'Données projet'!$E$18+1,1))</f>
        <v>502.07782026233912</v>
      </c>
      <c r="HA28" s="61">
        <f t="shared" si="52"/>
        <v>285.83623046025156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69.669600000000003</v>
      </c>
      <c r="P29" s="14">
        <f t="shared" si="33"/>
        <v>19.591385027476957</v>
      </c>
      <c r="Q29" s="22">
        <f t="shared" si="2"/>
        <v>155.46288225618903</v>
      </c>
      <c r="R29" s="61">
        <f t="shared" si="0"/>
        <v>443.90732670063346</v>
      </c>
      <c r="S29" s="61">
        <f ca="1">AVERAGE(OFFSET($R$3,0,0,'Données projet'!$E$9+1,1))-AVERAGE(OFFSET($H$3,0,0,'Données projet'!$E$9+1,1))</f>
        <v>428.8489304403459</v>
      </c>
      <c r="T29" s="61">
        <f t="shared" si="34"/>
        <v>247.01165577562966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1">
        <f t="shared" si="5"/>
        <v>462.16625825405436</v>
      </c>
      <c r="AN29" s="61">
        <f ca="1">AVERAGE(OFFSET($AM$3,0,0,'Données projet'!$E$10+1,1))-AVERAGE(OFFSET($H$3,0,0,'Données projet'!$E$10+1,1))</f>
        <v>475.47920969424894</v>
      </c>
      <c r="AO29" s="61">
        <f t="shared" si="36"/>
        <v>271.73544012419364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19</v>
      </c>
      <c r="BD29" s="13">
        <f>IF('Données projet'!$A$88&gt;35,BD28+BC29-BL28,IF(A29&lt;'Données projet'!$A$88,$BA$205^A29,IF(A29='Données projet'!$A$88,'Données projet'!$B$88,BD28+BC29-BL28)))</f>
        <v>242</v>
      </c>
      <c r="BE29" s="14">
        <f>BD29*VLOOKUP('Données projet'!$B$11,Paramètres!$A$1:$I$89,3,0)*VLOOKUP('Données projet'!$B$11,Paramètres!$A$1:$I$89,5,0)</f>
        <v>135.27800000000002</v>
      </c>
      <c r="BF29" s="14">
        <f t="shared" si="37"/>
        <v>35.213110998543605</v>
      </c>
      <c r="BG29" s="22">
        <f t="shared" si="7"/>
        <v>296.93868498913014</v>
      </c>
      <c r="BH29" s="61">
        <f t="shared" si="8"/>
        <v>585.3831294335746</v>
      </c>
      <c r="BI29" s="61">
        <f ca="1">AVERAGE(OFFSET($BH$3,0,0,'Données projet'!$E$11+1,1))-AVERAGE(OFFSET($H$3,0,0,'Données projet'!$E$11+1,1))</f>
        <v>374.79806286316051</v>
      </c>
      <c r="BJ29" s="61">
        <f t="shared" si="38"/>
        <v>350.01856672839466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11.140227255395057</v>
      </c>
      <c r="BR29" s="23">
        <f>EXP(-LN(2)/2)*BR28+(1-EXP(-LN(2)/2))/(LN(2)/2)*BL29*BO29*VLOOKUP('Données projet'!$B$11,Paramètres!$A$1:$I$89,3,0)*0.475*44/12</f>
        <v>3.524381490434163</v>
      </c>
      <c r="BS29" s="24">
        <f t="shared" si="9"/>
        <v>14.66460874582922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4.9084615384615384</v>
      </c>
      <c r="BY29" s="13">
        <f>IF('Données projet'!$A$114&gt;35,BY28+BX29-CG28,IF(A29&lt;'Données projet'!$A$114,$BV$205^A29,IF(A29='Données projet'!$A$114,'Données projet'!$B$114,BY28+BX29-CG28)))</f>
        <v>75.681737511137769</v>
      </c>
      <c r="BZ29" s="14">
        <f>BY29*VLOOKUP('Données projet'!$B$12,Paramètres!$A$1:$I$89,3,0)*VLOOKUP('Données projet'!$B$12,Paramètres!$A$1:$I$89,5,0)</f>
        <v>35.419053155212474</v>
      </c>
      <c r="CA29" s="14">
        <f t="shared" si="39"/>
        <v>10.776006170294048</v>
      </c>
      <c r="CB29" s="22">
        <f t="shared" si="10"/>
        <v>80.456394991923858</v>
      </c>
      <c r="CC29" s="61">
        <f t="shared" si="11"/>
        <v>368.9008394363683</v>
      </c>
      <c r="CD29" s="61">
        <f ca="1">AVERAGE(OFFSET($CC$3,0,0,'Données projet'!$E$12+1,1))-AVERAGE(OFFSET($H$3,0,0,'Données projet'!$E$12+1,1))</f>
        <v>285.59863510278109</v>
      </c>
      <c r="CE29" s="61">
        <f t="shared" si="40"/>
        <v>190.4880882944471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3.7333333333333334</v>
      </c>
      <c r="CT29" s="13">
        <f>IF('Données projet'!$A$140&gt;35,CT28+CS29-DB28,IF(A29&lt;'Données projet'!$A$140,$CQ$205^A29,IF(A29='Données projet'!$A$140,'Données projet'!$B$140,CT28+CS29-DB28)))</f>
        <v>59.702010016850721</v>
      </c>
      <c r="CU29" s="18">
        <f>CT29*VLOOKUP('Données projet'!$B$13,Paramètres!$A$1:$I$89,3,0)*VLOOKUP('Données projet'!$B$13,Paramètres!$A$1:$I$89,5,0)</f>
        <v>28.7166668181052</v>
      </c>
      <c r="CV29" s="14">
        <f t="shared" si="41"/>
        <v>8.9528084617845618</v>
      </c>
      <c r="CW29" s="22">
        <f t="shared" si="13"/>
        <v>65.607669445808</v>
      </c>
      <c r="CX29" s="61">
        <f t="shared" si="14"/>
        <v>354.05211389025249</v>
      </c>
      <c r="CY29" s="61">
        <f ca="1">AVERAGE(OFFSET($CX$3,0,0,'Données projet'!$E$13+1,1))-AVERAGE(OFFSET($H$3,0,0,'Données projet'!$E$13+1,1))</f>
        <v>273.72618036666552</v>
      </c>
      <c r="CZ29" s="61">
        <f t="shared" si="42"/>
        <v>157.67999791700714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8.0769230769230802</v>
      </c>
      <c r="DO29" s="13">
        <f>IF('Données projet'!$A$166&gt;35,DO28+DN29-DW28,IF(A29&lt;'Données projet'!$A$166,$DL$205^A29,IF(A29='Données projet'!$A$166,'Données projet'!$B$166,DO28+DN29-DW28)))</f>
        <v>117.05128205128209</v>
      </c>
      <c r="DP29" s="18">
        <f>DO29*VLOOKUP('Données projet'!$B$14,Paramètres!$A$1:$I$89,3,0)*VLOOKUP('Données projet'!$B$14,Paramètres!$A$1:$I$89,5,0)</f>
        <v>78.518000000000029</v>
      </c>
      <c r="DQ29" s="14">
        <f t="shared" si="43"/>
        <v>21.774434027551713</v>
      </c>
      <c r="DR29" s="22">
        <f t="shared" si="16"/>
        <v>174.6759892646526</v>
      </c>
      <c r="DS29" s="61">
        <f t="shared" si="17"/>
        <v>463.12043370909703</v>
      </c>
      <c r="DT29" s="61">
        <f ca="1">AVERAGE(OFFSET($DS$3,0,0,'Données projet'!$E$14+1,1))-AVERAGE(OFFSET($H$3,0,0,'Données projet'!$E$14+1,1))</f>
        <v>312.06797204903796</v>
      </c>
      <c r="DU29" s="61">
        <f t="shared" si="44"/>
        <v>258.20189001775151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5.0849999999999991</v>
      </c>
      <c r="EJ29" s="13">
        <f>IF('Données projet'!$A$192&gt;35,EJ28+EI29-ER28,IF(A29&lt;'Données projet'!$A$192,$EG$205^A29,IF(A29='Données projet'!$A$192,'Données projet'!$B$192,EJ28+EI29-ER28)))</f>
        <v>82.004999999999981</v>
      </c>
      <c r="EK29" s="18">
        <f>EJ29*VLOOKUP('Données projet'!$B$15,Paramètres!$A$1:$I$89,3,0)*VLOOKUP('Données projet'!$B$15,Paramètres!$A$1:$I$89,5,0)</f>
        <v>66.522455999999991</v>
      </c>
      <c r="EL29" s="14">
        <f t="shared" si="45"/>
        <v>18.807316475481652</v>
      </c>
      <c r="EM29" s="22">
        <f t="shared" si="19"/>
        <v>148.6160203947972</v>
      </c>
      <c r="EN29" s="61">
        <f t="shared" si="20"/>
        <v>437.06046483924166</v>
      </c>
      <c r="EO29" s="61">
        <f ca="1">AVERAGE(OFFSET($EN$3,0,0,'Données projet'!$E$15+1,1))-AVERAGE(OFFSET($H$3,0,0,'Données projet'!$E$15+1,1))</f>
        <v>222.15256609836689</v>
      </c>
      <c r="EP29" s="61">
        <f t="shared" si="46"/>
        <v>221.10360210521077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11.5</v>
      </c>
      <c r="FE29" s="13">
        <f>IF('Données projet'!$A$218&gt;35,FE28+FD29-FM28,IF(A29&lt;'Données projet'!$A$218,$FB$205^A29,IF(A29='Données projet'!$A$218,'Données projet'!$B$218,FE28+FD29-FM28)))</f>
        <v>97.499999999999972</v>
      </c>
      <c r="FF29" s="18">
        <f>FE29*VLOOKUP('Données projet'!$B$16,Paramètres!$A$1:$I$89,3,0)*VLOOKUP('Données projet'!$B$16,Paramètres!$A$1:$I$89,5,0)</f>
        <v>76.049999999999983</v>
      </c>
      <c r="FG29" s="14">
        <f t="shared" si="47"/>
        <v>21.168560890749262</v>
      </c>
      <c r="FH29" s="22">
        <f t="shared" si="22"/>
        <v>169.32232688472158</v>
      </c>
      <c r="FI29" s="61">
        <f t="shared" si="23"/>
        <v>457.76677132916603</v>
      </c>
      <c r="FJ29" s="61">
        <f ca="1">AVERAGE(OFFSET($FI$3,0,0,'Données projet'!$E$16+1,1))-AVERAGE(OFFSET($H$3,0,0,'Données projet'!$E$16+1,1))</f>
        <v>292.57482726862594</v>
      </c>
      <c r="FK29" s="61">
        <f t="shared" si="48"/>
        <v>283.48738729114024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7</v>
      </c>
      <c r="FZ29" s="13">
        <f>IF('Données projet'!$A$244&gt;35,FZ28+FY29-GH28,IF(A29&lt;'Données projet'!$A$244,$FW$205^A29,IF(A29='Données projet'!$A$244,'Données projet'!$B$244,FZ28+FY29-GH28)))</f>
        <v>77</v>
      </c>
      <c r="GA29" s="18">
        <f>FZ29*VLOOKUP('Données projet'!$B$17,Paramètres!$A$1:$I$89,3,0)*VLOOKUP('Données projet'!$B$17,Paramètres!$A$1:$I$89,5,0)</f>
        <v>74.474400000000003</v>
      </c>
      <c r="GB29" s="14">
        <f t="shared" si="49"/>
        <v>20.780570274034375</v>
      </c>
      <c r="GC29" s="22">
        <f t="shared" si="25"/>
        <v>165.90240656060988</v>
      </c>
      <c r="GD29" s="61">
        <f t="shared" si="26"/>
        <v>454.3468510050543</v>
      </c>
      <c r="GE29" s="61">
        <f ca="1">AVERAGE(OFFSET($GD$3,0,0,'Données projet'!$E$17+1,1))-AVERAGE(OFFSET($H$3,0,0,'Données projet'!$E$17+1,1))</f>
        <v>455.50822833641354</v>
      </c>
      <c r="GF29" s="61">
        <f t="shared" si="50"/>
        <v>261.14722581688039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7</v>
      </c>
      <c r="GU29" s="13">
        <f>IF('Données projet'!$A$270&gt;35,GU28+GT29-HC28,IF(A29&lt;'Données projet'!$A$270,$GR$205^A29,IF(A29='Données projet'!$A$270,'Données projet'!$B$270,GU28+GT29-HC28)))</f>
        <v>77</v>
      </c>
      <c r="GV29" s="18">
        <f>GU29*VLOOKUP('Données projet'!$B$18,Paramètres!$A$1:$I$89,3,0)*VLOOKUP('Données projet'!$B$18,Paramètres!$A$1:$I$89,5,0)</f>
        <v>82.882799999999989</v>
      </c>
      <c r="GW29" s="14">
        <f t="shared" si="51"/>
        <v>22.840584911380041</v>
      </c>
      <c r="GX29" s="22">
        <f t="shared" si="28"/>
        <v>184.1348953873202</v>
      </c>
      <c r="GY29" s="61">
        <f t="shared" si="29"/>
        <v>472.57933983176463</v>
      </c>
      <c r="GZ29" s="61">
        <f ca="1">AVERAGE(OFFSET($GY$3,0,0,'Données projet'!$E$18+1,1))-AVERAGE(OFFSET($H$3,0,0,'Données projet'!$E$18+1,1))</f>
        <v>502.07782026233912</v>
      </c>
      <c r="HA29" s="61">
        <f t="shared" si="52"/>
        <v>285.83623046025156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76.003200000000007</v>
      </c>
      <c r="P30" s="14">
        <f t="shared" si="33"/>
        <v>21.157049992000456</v>
      </c>
      <c r="Q30" s="22">
        <f t="shared" si="2"/>
        <v>169.22076873606747</v>
      </c>
      <c r="R30" s="61">
        <f t="shared" si="0"/>
        <v>458.88743540273413</v>
      </c>
      <c r="S30" s="61">
        <f ca="1">AVERAGE(OFFSET($R$3,0,0,'Données projet'!$E$9+1,1))-AVERAGE(OFFSET($H$3,0,0,'Données projet'!$E$9+1,1))</f>
        <v>428.8489304403459</v>
      </c>
      <c r="T30" s="61">
        <f t="shared" si="34"/>
        <v>247.01165577562966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1">
        <f t="shared" si="5"/>
        <v>478.76653744933498</v>
      </c>
      <c r="AN30" s="61">
        <f ca="1">AVERAGE(OFFSET($AM$3,0,0,'Données projet'!$E$10+1,1))-AVERAGE(OFFSET($H$3,0,0,'Données projet'!$E$10+1,1))</f>
        <v>475.47920969424894</v>
      </c>
      <c r="AO30" s="61">
        <f t="shared" si="36"/>
        <v>271.73544012419364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19</v>
      </c>
      <c r="BD30" s="13">
        <f>IF('Données projet'!$A$88&gt;35,BD29+BC30-BL29,IF(A30&lt;'Données projet'!$A$88,$BA$205^A30,IF(A30='Données projet'!$A$88,'Données projet'!$B$88,BD29+BC30-BL29)))</f>
        <v>261</v>
      </c>
      <c r="BE30" s="14">
        <f>BD30*VLOOKUP('Données projet'!$B$11,Paramètres!$A$1:$I$89,3,0)*VLOOKUP('Données projet'!$B$11,Paramètres!$A$1:$I$89,5,0)</f>
        <v>145.899</v>
      </c>
      <c r="BF30" s="14">
        <f t="shared" si="37"/>
        <v>37.645120410716935</v>
      </c>
      <c r="BG30" s="22">
        <f t="shared" si="7"/>
        <v>319.67267638199866</v>
      </c>
      <c r="BH30" s="61">
        <f t="shared" si="8"/>
        <v>609.33934304866534</v>
      </c>
      <c r="BI30" s="61">
        <f ca="1">AVERAGE(OFFSET($BH$3,0,0,'Données projet'!$E$11+1,1))-AVERAGE(OFFSET($H$3,0,0,'Données projet'!$E$11+1,1))</f>
        <v>374.79806286316051</v>
      </c>
      <c r="BJ30" s="61">
        <f t="shared" si="38"/>
        <v>350.01856672839466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10.83559715525719</v>
      </c>
      <c r="BR30" s="23">
        <f>EXP(-LN(2)/2)*BR29+(1-EXP(-LN(2)/2))/(LN(2)/2)*BL30*BO30*VLOOKUP('Données projet'!$B$11,Paramètres!$A$1:$I$89,3,0)*0.475*44/12</f>
        <v>2.4921140513743483</v>
      </c>
      <c r="BS30" s="24">
        <f t="shared" si="9"/>
        <v>13.327711206631538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4.9084615384615384</v>
      </c>
      <c r="BY30" s="13">
        <f>IF('Données projet'!$A$114&gt;35,BY29+BX30-CG29,IF(A30&lt;'Données projet'!$A$114,$BV$205^A30,IF(A30='Données projet'!$A$114,'Données projet'!$B$114,BY29+BX30-CG29)))</f>
        <v>89.384040457688172</v>
      </c>
      <c r="BZ30" s="14">
        <f>BY30*VLOOKUP('Données projet'!$B$12,Paramètres!$A$1:$I$89,3,0)*VLOOKUP('Données projet'!$B$12,Paramètres!$A$1:$I$89,5,0)</f>
        <v>41.831730934198063</v>
      </c>
      <c r="CA30" s="14">
        <f t="shared" si="39"/>
        <v>12.482874982828019</v>
      </c>
      <c r="CB30" s="22">
        <f t="shared" si="10"/>
        <v>94.597938638820423</v>
      </c>
      <c r="CC30" s="61">
        <f t="shared" si="11"/>
        <v>384.26460530548712</v>
      </c>
      <c r="CD30" s="61">
        <f ca="1">AVERAGE(OFFSET($CC$3,0,0,'Données projet'!$E$12+1,1))-AVERAGE(OFFSET($H$3,0,0,'Données projet'!$E$12+1,1))</f>
        <v>285.59863510278109</v>
      </c>
      <c r="CE30" s="61">
        <f t="shared" si="40"/>
        <v>190.4880882944471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3.7333333333333334</v>
      </c>
      <c r="CT30" s="13">
        <f>IF('Données projet'!$A$140&gt;35,CT29+CS30-DB29,IF(A30&lt;'Données projet'!$A$140,$CQ$205^A30,IF(A30='Données projet'!$A$140,'Données projet'!$B$140,CT29+CS30-DB29)))</f>
        <v>69.870881178133999</v>
      </c>
      <c r="CU30" s="18">
        <f>CT30*VLOOKUP('Données projet'!$B$13,Paramètres!$A$1:$I$89,3,0)*VLOOKUP('Données projet'!$B$13,Paramètres!$A$1:$I$89,5,0)</f>
        <v>33.607893846682458</v>
      </c>
      <c r="CV30" s="14">
        <f t="shared" si="41"/>
        <v>10.287636122655798</v>
      </c>
      <c r="CW30" s="22">
        <f t="shared" si="13"/>
        <v>76.451381363264133</v>
      </c>
      <c r="CX30" s="61">
        <f t="shared" si="14"/>
        <v>366.11804802993083</v>
      </c>
      <c r="CY30" s="61">
        <f ca="1">AVERAGE(OFFSET($CX$3,0,0,'Données projet'!$E$13+1,1))-AVERAGE(OFFSET($H$3,0,0,'Données projet'!$E$13+1,1))</f>
        <v>273.72618036666552</v>
      </c>
      <c r="CZ30" s="61">
        <f t="shared" si="42"/>
        <v>157.67999791700714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8.0769230769230802</v>
      </c>
      <c r="DO30" s="13">
        <f>IF('Données projet'!$A$166&gt;35,DO29+DN30-DW29,IF(A30&lt;'Données projet'!$A$166,$DL$205^A30,IF(A30='Données projet'!$A$166,'Données projet'!$B$166,DO29+DN30-DW29)))</f>
        <v>125.12820512820517</v>
      </c>
      <c r="DP30" s="18">
        <f>DO30*VLOOKUP('Données projet'!$B$14,Paramètres!$A$1:$I$89,3,0)*VLOOKUP('Données projet'!$B$14,Paramètres!$A$1:$I$89,5,0)</f>
        <v>83.936000000000021</v>
      </c>
      <c r="DQ30" s="14">
        <f t="shared" si="43"/>
        <v>23.096850074431298</v>
      </c>
      <c r="DR30" s="22">
        <f t="shared" si="16"/>
        <v>186.41554721296791</v>
      </c>
      <c r="DS30" s="61">
        <f t="shared" si="17"/>
        <v>476.08221387963459</v>
      </c>
      <c r="DT30" s="61">
        <f ca="1">AVERAGE(OFFSET($DS$3,0,0,'Données projet'!$E$14+1,1))-AVERAGE(OFFSET($H$3,0,0,'Données projet'!$E$14+1,1))</f>
        <v>312.06797204903796</v>
      </c>
      <c r="DU30" s="61">
        <f t="shared" si="44"/>
        <v>258.20189001775151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5.0849999999999991</v>
      </c>
      <c r="EJ30" s="13">
        <f>IF('Données projet'!$A$192&gt;35,EJ29+EI30-ER29,IF(A30&lt;'Données projet'!$A$192,$EG$205^A30,IF(A30='Données projet'!$A$192,'Données projet'!$B$192,EJ29+EI30-ER29)))</f>
        <v>87.089999999999975</v>
      </c>
      <c r="EK30" s="18">
        <f>EJ30*VLOOKUP('Données projet'!$B$15,Paramètres!$A$1:$I$89,3,0)*VLOOKUP('Données projet'!$B$15,Paramètres!$A$1:$I$89,5,0)</f>
        <v>70.647407999999984</v>
      </c>
      <c r="EL30" s="14">
        <f t="shared" si="45"/>
        <v>19.834145551200205</v>
      </c>
      <c r="EM30" s="22">
        <f t="shared" si="19"/>
        <v>157.58870576834033</v>
      </c>
      <c r="EN30" s="61">
        <f t="shared" si="20"/>
        <v>447.25537243500702</v>
      </c>
      <c r="EO30" s="61">
        <f ca="1">AVERAGE(OFFSET($EN$3,0,0,'Données projet'!$E$15+1,1))-AVERAGE(OFFSET($H$3,0,0,'Données projet'!$E$15+1,1))</f>
        <v>222.15256609836689</v>
      </c>
      <c r="EP30" s="61">
        <f t="shared" si="46"/>
        <v>221.10360210521077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11.5</v>
      </c>
      <c r="FE30" s="13">
        <f>IF('Données projet'!$A$218&gt;35,FE29+FD30-FM29,IF(A30&lt;'Données projet'!$A$218,$FB$205^A30,IF(A30='Données projet'!$A$218,'Données projet'!$B$218,FE29+FD30-FM29)))</f>
        <v>108.99999999999997</v>
      </c>
      <c r="FF30" s="18">
        <f>FE30*VLOOKUP('Données projet'!$B$16,Paramètres!$A$1:$I$89,3,0)*VLOOKUP('Données projet'!$B$16,Paramètres!$A$1:$I$89,5,0)</f>
        <v>85.019999999999982</v>
      </c>
      <c r="FG30" s="14">
        <f t="shared" si="47"/>
        <v>23.360218970693108</v>
      </c>
      <c r="FH30" s="22">
        <f t="shared" si="22"/>
        <v>188.76221470729047</v>
      </c>
      <c r="FI30" s="61">
        <f t="shared" si="23"/>
        <v>478.42888137395715</v>
      </c>
      <c r="FJ30" s="61">
        <f ca="1">AVERAGE(OFFSET($FI$3,0,0,'Données projet'!$E$16+1,1))-AVERAGE(OFFSET($H$3,0,0,'Données projet'!$E$16+1,1))</f>
        <v>292.57482726862594</v>
      </c>
      <c r="FK30" s="61">
        <f t="shared" si="48"/>
        <v>283.48738729114024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7</v>
      </c>
      <c r="FZ30" s="13">
        <f>IF('Données projet'!$A$244&gt;35,FZ29+FY30-GH29,IF(A30&lt;'Données projet'!$A$244,$FW$205^A30,IF(A30='Données projet'!$A$244,'Données projet'!$B$244,FZ29+FY30-GH29)))</f>
        <v>84</v>
      </c>
      <c r="GA30" s="18">
        <f>FZ30*VLOOKUP('Données projet'!$B$17,Paramètres!$A$1:$I$89,3,0)*VLOOKUP('Données projet'!$B$17,Paramètres!$A$1:$I$89,5,0)</f>
        <v>81.244799999999998</v>
      </c>
      <c r="GB30" s="14">
        <f t="shared" si="49"/>
        <v>22.441270156928962</v>
      </c>
      <c r="GC30" s="22">
        <f t="shared" si="25"/>
        <v>180.58657218998462</v>
      </c>
      <c r="GD30" s="61">
        <f t="shared" si="26"/>
        <v>470.25323885665131</v>
      </c>
      <c r="GE30" s="61">
        <f ca="1">AVERAGE(OFFSET($GD$3,0,0,'Données projet'!$E$17+1,1))-AVERAGE(OFFSET($H$3,0,0,'Données projet'!$E$17+1,1))</f>
        <v>455.50822833641354</v>
      </c>
      <c r="GF30" s="61">
        <f t="shared" si="50"/>
        <v>261.14722581688039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7</v>
      </c>
      <c r="GU30" s="13">
        <f>IF('Données projet'!$A$270&gt;35,GU29+GT30-HC29,IF(A30&lt;'Données projet'!$A$270,$GR$205^A30,IF(A30='Données projet'!$A$270,'Données projet'!$B$270,GU29+GT30-HC29)))</f>
        <v>84</v>
      </c>
      <c r="GV30" s="18">
        <f>GU30*VLOOKUP('Données projet'!$B$18,Paramètres!$A$1:$I$89,3,0)*VLOOKUP('Données projet'!$B$18,Paramètres!$A$1:$I$89,5,0)</f>
        <v>90.417599999999993</v>
      </c>
      <c r="GW30" s="14">
        <f t="shared" si="51"/>
        <v>24.665912907068826</v>
      </c>
      <c r="GX30" s="22">
        <f t="shared" si="28"/>
        <v>200.43711831314488</v>
      </c>
      <c r="GY30" s="61">
        <f t="shared" si="29"/>
        <v>490.10378497981156</v>
      </c>
      <c r="GZ30" s="61">
        <f ca="1">AVERAGE(OFFSET($GY$3,0,0,'Données projet'!$E$18+1,1))-AVERAGE(OFFSET($H$3,0,0,'Données projet'!$E$18+1,1))</f>
        <v>502.07782026233912</v>
      </c>
      <c r="HA30" s="61">
        <f t="shared" si="52"/>
        <v>285.83623046025156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82.336799999999997</v>
      </c>
      <c r="P31" s="14">
        <f t="shared" si="33"/>
        <v>22.707582950885364</v>
      </c>
      <c r="Q31" s="22">
        <f t="shared" si="2"/>
        <v>182.95230030612535</v>
      </c>
      <c r="R31" s="61">
        <f t="shared" si="0"/>
        <v>473.84118919501418</v>
      </c>
      <c r="S31" s="61">
        <f ca="1">AVERAGE(OFFSET($R$3,0,0,'Données projet'!$E$9+1,1))-AVERAGE(OFFSET($H$3,0,0,'Données projet'!$E$9+1,1))</f>
        <v>428.8489304403459</v>
      </c>
      <c r="T31" s="61">
        <f t="shared" si="34"/>
        <v>247.01165577562966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1">
        <f t="shared" si="5"/>
        <v>495.33767011840803</v>
      </c>
      <c r="AN31" s="61">
        <f ca="1">AVERAGE(OFFSET($AM$3,0,0,'Données projet'!$E$10+1,1))-AVERAGE(OFFSET($H$3,0,0,'Données projet'!$E$10+1,1))</f>
        <v>475.47920969424894</v>
      </c>
      <c r="AO31" s="61">
        <f t="shared" si="36"/>
        <v>271.73544012419364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>
        <f>VLOOKUP(A31,'Données projet'!$A$87:$I$107,2,0)</f>
        <v>280</v>
      </c>
      <c r="BB31" s="13">
        <f>VLOOKUP(A31,'Données projet'!$A$87:$I$107,9,0)</f>
        <v>19</v>
      </c>
      <c r="BC31" s="13">
        <f t="array" ref="BC31">INDEX(BB:BB,MIN(IF(ISNUMBER(BB31:BB227),ROW(BB31:BB227),"")))</f>
        <v>19</v>
      </c>
      <c r="BD31" s="13">
        <f>IF('Données projet'!$A$88&gt;35,BD30+BC31-BL30,IF(A31&lt;'Données projet'!$A$88,$BA$205^A31,IF(A31='Données projet'!$A$88,'Données projet'!$B$88,BD30+BC31-BL30)))</f>
        <v>280</v>
      </c>
      <c r="BE31" s="14">
        <f>BD31*VLOOKUP('Données projet'!$B$11,Paramètres!$A$1:$I$89,3,0)*VLOOKUP('Données projet'!$B$11,Paramètres!$A$1:$I$89,5,0)</f>
        <v>156.51999999999998</v>
      </c>
      <c r="BF31" s="14">
        <f t="shared" si="37"/>
        <v>40.056589961286939</v>
      </c>
      <c r="BG31" s="22">
        <f t="shared" si="7"/>
        <v>342.37089418257466</v>
      </c>
      <c r="BH31" s="61">
        <f t="shared" si="8"/>
        <v>633.25978307146352</v>
      </c>
      <c r="BI31" s="61">
        <f ca="1">AVERAGE(OFFSET($BH$3,0,0,'Données projet'!$E$11+1,1))-AVERAGE(OFFSET($H$3,0,0,'Données projet'!$E$11+1,1))</f>
        <v>374.79806286316051</v>
      </c>
      <c r="BJ31" s="61">
        <f t="shared" si="38"/>
        <v>350.01856672839466</v>
      </c>
      <c r="BK31" s="16">
        <f>IF(ISNA(VLOOKUP(A31,'Données projet'!$A$87:$I$107,3,0)),0,VLOOKUP(A31,'Données projet'!$A$87:$I$107,3,0))</f>
        <v>2</v>
      </c>
      <c r="BL31" s="16">
        <f>IF(ISNA(VLOOKUP(A31,'Données projet'!$A$87:$I$107,4,0)),0,VLOOKUP(A31,'Données projet'!$A$87:$I$107,4,0))</f>
        <v>64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0.27500000000000002</v>
      </c>
      <c r="BO31" s="17">
        <f>IF(ISNA(VLOOKUP(A31,'Données projet'!$A$87:$I$107,7,0)),0%,VLOOKUP(A31,'Données projet'!$A$87:$I$107,7,0))</f>
        <v>0.5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23.539181089865295</v>
      </c>
      <c r="BR31" s="23">
        <f>EXP(-LN(2)/2)*BR30+(1-EXP(-LN(2)/2))/(LN(2)/2)*BL31*BO31*VLOOKUP('Données projet'!$B$11,Paramètres!$A$1:$I$89,3,0)*0.475*44/12</f>
        <v>22.015562083370504</v>
      </c>
      <c r="BS31" s="24">
        <f t="shared" si="9"/>
        <v>45.554743173235799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4.9084615384615384</v>
      </c>
      <c r="BY31" s="13">
        <f>IF('Données projet'!$A$114&gt;35,BY30+BX31-CG30,IF(A31&lt;'Données projet'!$A$114,$BV$205^A31,IF(A31='Données projet'!$A$114,'Données projet'!$B$114,BY30+BX31-CG30)))</f>
        <v>105.56716787013318</v>
      </c>
      <c r="BZ31" s="14">
        <f>BY31*VLOOKUP('Données projet'!$B$12,Paramètres!$A$1:$I$89,3,0)*VLOOKUP('Données projet'!$B$12,Paramètres!$A$1:$I$89,5,0)</f>
        <v>49.405434563222322</v>
      </c>
      <c r="CA31" s="14">
        <f t="shared" si="39"/>
        <v>14.46010380603388</v>
      </c>
      <c r="CB31" s="22">
        <f t="shared" si="10"/>
        <v>111.23247932645454</v>
      </c>
      <c r="CC31" s="61">
        <f t="shared" si="11"/>
        <v>402.12136821534341</v>
      </c>
      <c r="CD31" s="61">
        <f ca="1">AVERAGE(OFFSET($CC$3,0,0,'Données projet'!$E$12+1,1))-AVERAGE(OFFSET($H$3,0,0,'Données projet'!$E$12+1,1))</f>
        <v>285.59863510278109</v>
      </c>
      <c r="CE31" s="61">
        <f t="shared" si="40"/>
        <v>190.4880882944471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3.7333333333333334</v>
      </c>
      <c r="CT31" s="13">
        <f>IF('Données projet'!$A$140&gt;35,CT30+CS31-DB30,IF(A31&lt;'Données projet'!$A$140,$CQ$205^A31,IF(A31='Données projet'!$A$140,'Données projet'!$B$140,CT30+CS31-DB30)))</f>
        <v>81.771786833156952</v>
      </c>
      <c r="CU31" s="18">
        <f>CT31*VLOOKUP('Données projet'!$B$13,Paramètres!$A$1:$I$89,3,0)*VLOOKUP('Données projet'!$B$13,Paramètres!$A$1:$I$89,5,0)</f>
        <v>39.332229466748494</v>
      </c>
      <c r="CV31" s="14">
        <f t="shared" si="41"/>
        <v>11.821481208263915</v>
      </c>
      <c r="CW31" s="22">
        <f t="shared" si="13"/>
        <v>89.092712758979928</v>
      </c>
      <c r="CX31" s="61">
        <f t="shared" si="14"/>
        <v>379.98160164786879</v>
      </c>
      <c r="CY31" s="61">
        <f ca="1">AVERAGE(OFFSET($CX$3,0,0,'Données projet'!$E$13+1,1))-AVERAGE(OFFSET($H$3,0,0,'Données projet'!$E$13+1,1))</f>
        <v>273.72618036666552</v>
      </c>
      <c r="CZ31" s="61">
        <f t="shared" si="42"/>
        <v>157.67999791700714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8.0769230769230802</v>
      </c>
      <c r="DO31" s="13">
        <f>IF('Données projet'!$A$166&gt;35,DO30+DN31-DW30,IF(A31&lt;'Données projet'!$A$166,$DL$205^A31,IF(A31='Données projet'!$A$166,'Données projet'!$B$166,DO30+DN31-DW30)))</f>
        <v>133.20512820512823</v>
      </c>
      <c r="DP31" s="18">
        <f>DO31*VLOOKUP('Données projet'!$B$14,Paramètres!$A$1:$I$89,3,0)*VLOOKUP('Données projet'!$B$14,Paramètres!$A$1:$I$89,5,0)</f>
        <v>89.354000000000013</v>
      </c>
      <c r="DQ31" s="14">
        <f t="shared" si="43"/>
        <v>24.40936009026365</v>
      </c>
      <c r="DR31" s="22">
        <f t="shared" si="16"/>
        <v>198.13785215720918</v>
      </c>
      <c r="DS31" s="61">
        <f t="shared" si="17"/>
        <v>489.02674104609804</v>
      </c>
      <c r="DT31" s="61">
        <f ca="1">AVERAGE(OFFSET($DS$3,0,0,'Données projet'!$E$14+1,1))-AVERAGE(OFFSET($H$3,0,0,'Données projet'!$E$14+1,1))</f>
        <v>312.06797204903796</v>
      </c>
      <c r="DU31" s="61">
        <f t="shared" si="44"/>
        <v>258.20189001775151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5.0849999999999991</v>
      </c>
      <c r="EJ31" s="13">
        <f>IF('Données projet'!$A$192&gt;35,EJ30+EI31-ER30,IF(A31&lt;'Données projet'!$A$192,$EG$205^A31,IF(A31='Données projet'!$A$192,'Données projet'!$B$192,EJ30+EI31-ER30)))</f>
        <v>92.174999999999969</v>
      </c>
      <c r="EK31" s="18">
        <f>EJ31*VLOOKUP('Données projet'!$B$15,Paramètres!$A$1:$I$89,3,0)*VLOOKUP('Données projet'!$B$15,Paramètres!$A$1:$I$89,5,0)</f>
        <v>74.772359999999978</v>
      </c>
      <c r="EL31" s="14">
        <f t="shared" si="45"/>
        <v>20.854015426195389</v>
      </c>
      <c r="EM31" s="22">
        <f t="shared" si="19"/>
        <v>166.54927053395693</v>
      </c>
      <c r="EN31" s="61">
        <f t="shared" si="20"/>
        <v>457.43815942284579</v>
      </c>
      <c r="EO31" s="61">
        <f ca="1">AVERAGE(OFFSET($EN$3,0,0,'Données projet'!$E$15+1,1))-AVERAGE(OFFSET($H$3,0,0,'Données projet'!$E$15+1,1))</f>
        <v>222.15256609836689</v>
      </c>
      <c r="EP31" s="61">
        <f t="shared" si="46"/>
        <v>221.10360210521077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11.5</v>
      </c>
      <c r="FE31" s="13">
        <f>IF('Données projet'!$A$218&gt;35,FE30+FD31-FM30,IF(A31&lt;'Données projet'!$A$218,$FB$205^A31,IF(A31='Données projet'!$A$218,'Données projet'!$B$218,FE30+FD31-FM30)))</f>
        <v>120.49999999999997</v>
      </c>
      <c r="FF31" s="18">
        <f>FE31*VLOOKUP('Données projet'!$B$16,Paramètres!$A$1:$I$89,3,0)*VLOOKUP('Données projet'!$B$16,Paramètres!$A$1:$I$89,5,0)</f>
        <v>93.989999999999981</v>
      </c>
      <c r="FG31" s="14">
        <f t="shared" si="47"/>
        <v>25.525074036970079</v>
      </c>
      <c r="FH31" s="22">
        <f t="shared" si="22"/>
        <v>208.15542061438953</v>
      </c>
      <c r="FI31" s="61">
        <f t="shared" si="23"/>
        <v>499.04430950327838</v>
      </c>
      <c r="FJ31" s="61">
        <f ca="1">AVERAGE(OFFSET($FI$3,0,0,'Données projet'!$E$16+1,1))-AVERAGE(OFFSET($H$3,0,0,'Données projet'!$E$16+1,1))</f>
        <v>292.57482726862594</v>
      </c>
      <c r="FK31" s="61">
        <f t="shared" si="48"/>
        <v>283.48738729114024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7</v>
      </c>
      <c r="FZ31" s="13">
        <f>IF('Données projet'!$A$244&gt;35,FZ30+FY31-GH30,IF(A31&lt;'Données projet'!$A$244,$FW$205^A31,IF(A31='Données projet'!$A$244,'Données projet'!$B$244,FZ30+FY31-GH30)))</f>
        <v>91</v>
      </c>
      <c r="GA31" s="18">
        <f>FZ31*VLOOKUP('Données projet'!$B$17,Paramètres!$A$1:$I$89,3,0)*VLOOKUP('Données projet'!$B$17,Paramètres!$A$1:$I$89,5,0)</f>
        <v>88.015200000000007</v>
      </c>
      <c r="GB31" s="14">
        <f t="shared" si="49"/>
        <v>24.085919530575829</v>
      </c>
      <c r="GC31" s="22">
        <f t="shared" si="25"/>
        <v>195.24278318241954</v>
      </c>
      <c r="GD31" s="61">
        <f t="shared" si="26"/>
        <v>486.1316720713084</v>
      </c>
      <c r="GE31" s="61">
        <f ca="1">AVERAGE(OFFSET($GD$3,0,0,'Données projet'!$E$17+1,1))-AVERAGE(OFFSET($H$3,0,0,'Données projet'!$E$17+1,1))</f>
        <v>455.50822833641354</v>
      </c>
      <c r="GF31" s="61">
        <f t="shared" si="50"/>
        <v>261.14722581688039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7</v>
      </c>
      <c r="GU31" s="13">
        <f>IF('Données projet'!$A$270&gt;35,GU30+GT31-HC30,IF(A31&lt;'Données projet'!$A$270,$GR$205^A31,IF(A31='Données projet'!$A$270,'Données projet'!$B$270,GU30+GT31-HC30)))</f>
        <v>91</v>
      </c>
      <c r="GV31" s="18">
        <f>GU31*VLOOKUP('Données projet'!$B$18,Paramètres!$A$1:$I$89,3,0)*VLOOKUP('Données projet'!$B$18,Paramètres!$A$1:$I$89,5,0)</f>
        <v>97.952399999999997</v>
      </c>
      <c r="GW31" s="14">
        <f t="shared" si="51"/>
        <v>26.473599278177087</v>
      </c>
      <c r="GX31" s="22">
        <f t="shared" si="28"/>
        <v>216.70861540949173</v>
      </c>
      <c r="GY31" s="61">
        <f t="shared" si="29"/>
        <v>507.59750429838061</v>
      </c>
      <c r="GZ31" s="61">
        <f ca="1">AVERAGE(OFFSET($GY$3,0,0,'Données projet'!$E$18+1,1))-AVERAGE(OFFSET($H$3,0,0,'Données projet'!$E$18+1,1))</f>
        <v>502.07782026233912</v>
      </c>
      <c r="HA31" s="61">
        <f t="shared" si="52"/>
        <v>285.83623046025156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88.670400000000001</v>
      </c>
      <c r="P32" s="14">
        <f t="shared" si="33"/>
        <v>24.244280250395512</v>
      </c>
      <c r="Q32" s="22">
        <f t="shared" si="2"/>
        <v>196.65973476943884</v>
      </c>
      <c r="R32" s="61">
        <f t="shared" si="0"/>
        <v>488.77084588054998</v>
      </c>
      <c r="S32" s="61">
        <f ca="1">AVERAGE(OFFSET($R$3,0,0,'Données projet'!$E$9+1,1))-AVERAGE(OFFSET($H$3,0,0,'Données projet'!$E$9+1,1))</f>
        <v>428.8489304403459</v>
      </c>
      <c r="T32" s="61">
        <f t="shared" si="34"/>
        <v>247.01165577562966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1">
        <f t="shared" si="5"/>
        <v>511.88215321979021</v>
      </c>
      <c r="AN32" s="61">
        <f ca="1">AVERAGE(OFFSET($AM$3,0,0,'Données projet'!$E$10+1,1))-AVERAGE(OFFSET($H$3,0,0,'Données projet'!$E$10+1,1))</f>
        <v>475.47920969424894</v>
      </c>
      <c r="AO32" s="61">
        <f t="shared" si="36"/>
        <v>271.73544012419364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19.857142857142858</v>
      </c>
      <c r="BD32" s="13">
        <f>IF('Données projet'!$A$88&gt;35,BD31+BC32-BL31,IF(A32&lt;'Données projet'!$A$88,$BA$205^A32,IF(A32='Données projet'!$A$88,'Données projet'!$B$88,BD31+BC32-BL31)))</f>
        <v>235.85714285714283</v>
      </c>
      <c r="BE32" s="14">
        <f>BD32*VLOOKUP('Données projet'!$B$11,Paramètres!$A$1:$I$89,3,0)*VLOOKUP('Données projet'!$B$11,Paramètres!$A$1:$I$89,5,0)</f>
        <v>131.84414285714283</v>
      </c>
      <c r="BF32" s="14">
        <f t="shared" si="37"/>
        <v>34.422136630345072</v>
      </c>
      <c r="BG32" s="22">
        <f t="shared" si="7"/>
        <v>289.5804367740414</v>
      </c>
      <c r="BH32" s="61">
        <f t="shared" si="8"/>
        <v>581.69154788515254</v>
      </c>
      <c r="BI32" s="61">
        <f ca="1">AVERAGE(OFFSET($BH$3,0,0,'Données projet'!$E$11+1,1))-AVERAGE(OFFSET($H$3,0,0,'Données projet'!$E$11+1,1))</f>
        <v>374.79806286316051</v>
      </c>
      <c r="BJ32" s="61">
        <f t="shared" si="38"/>
        <v>350.01856672839466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22.895500945091193</v>
      </c>
      <c r="BR32" s="23">
        <f>EXP(-LN(2)/2)*BR31+(1-EXP(-LN(2)/2))/(LN(2)/2)*BL32*BO32*VLOOKUP('Données projet'!$B$11,Paramètres!$A$1:$I$89,3,0)*0.475*44/12</f>
        <v>15.567353240784721</v>
      </c>
      <c r="BS32" s="24">
        <f t="shared" si="9"/>
        <v>38.462854185875912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4.9084615384615384</v>
      </c>
      <c r="BY32" s="13">
        <f>IF('Données projet'!$A$114&gt;35,BY31+BX32-CG31,IF(A32&lt;'Données projet'!$A$114,$BV$205^A32,IF(A32='Données projet'!$A$114,'Données projet'!$B$114,BY31+BX32-CG31)))</f>
        <v>124.68027709483918</v>
      </c>
      <c r="BZ32" s="14">
        <f>BY32*VLOOKUP('Données projet'!$B$12,Paramètres!$A$1:$I$89,3,0)*VLOOKUP('Données projet'!$B$12,Paramètres!$A$1:$I$89,5,0)</f>
        <v>58.350369680384738</v>
      </c>
      <c r="CA32" s="14">
        <f t="shared" si="39"/>
        <v>16.750516396977062</v>
      </c>
      <c r="CB32" s="22">
        <f t="shared" si="10"/>
        <v>130.80070991807179</v>
      </c>
      <c r="CC32" s="61">
        <f t="shared" si="11"/>
        <v>422.91182102918293</v>
      </c>
      <c r="CD32" s="61">
        <f ca="1">AVERAGE(OFFSET($CC$3,0,0,'Données projet'!$E$12+1,1))-AVERAGE(OFFSET($H$3,0,0,'Données projet'!$E$12+1,1))</f>
        <v>285.59863510278109</v>
      </c>
      <c r="CE32" s="61">
        <f t="shared" si="40"/>
        <v>190.4880882944471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3.7333333333333334</v>
      </c>
      <c r="CT32" s="13">
        <f>IF('Données projet'!$A$140&gt;35,CT31+CS32-DB31,IF(A32&lt;'Données projet'!$A$140,$CQ$205^A32,IF(A32='Données projet'!$A$140,'Données projet'!$B$140,CT31+CS32-DB31)))</f>
        <v>95.699739421346123</v>
      </c>
      <c r="CU32" s="18">
        <f>CT32*VLOOKUP('Données projet'!$B$13,Paramètres!$A$1:$I$89,3,0)*VLOOKUP('Données projet'!$B$13,Paramètres!$A$1:$I$89,5,0)</f>
        <v>46.031574661667491</v>
      </c>
      <c r="CV32" s="14">
        <f t="shared" si="41"/>
        <v>13.58401641457557</v>
      </c>
      <c r="CW32" s="22">
        <f t="shared" si="13"/>
        <v>103.83048779112333</v>
      </c>
      <c r="CX32" s="61">
        <f t="shared" si="14"/>
        <v>395.94159890223449</v>
      </c>
      <c r="CY32" s="61">
        <f ca="1">AVERAGE(OFFSET($CX$3,0,0,'Données projet'!$E$13+1,1))-AVERAGE(OFFSET($H$3,0,0,'Données projet'!$E$13+1,1))</f>
        <v>273.72618036666552</v>
      </c>
      <c r="CZ32" s="61">
        <f t="shared" si="42"/>
        <v>157.67999791700714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8.0769230769230802</v>
      </c>
      <c r="DO32" s="13">
        <f>IF('Données projet'!$A$166&gt;35,DO31+DN32-DW31,IF(A32&lt;'Données projet'!$A$166,$DL$205^A32,IF(A32='Données projet'!$A$166,'Données projet'!$B$166,DO31+DN32-DW31)))</f>
        <v>141.28205128205133</v>
      </c>
      <c r="DP32" s="18">
        <f>DO32*VLOOKUP('Données projet'!$B$14,Paramètres!$A$1:$I$89,3,0)*VLOOKUP('Données projet'!$B$14,Paramètres!$A$1:$I$89,5,0)</f>
        <v>94.772000000000034</v>
      </c>
      <c r="DQ32" s="14">
        <f t="shared" si="43"/>
        <v>25.712633129183839</v>
      </c>
      <c r="DR32" s="22">
        <f t="shared" si="16"/>
        <v>209.8440693666619</v>
      </c>
      <c r="DS32" s="61">
        <f t="shared" si="17"/>
        <v>501.95518047777307</v>
      </c>
      <c r="DT32" s="61">
        <f ca="1">AVERAGE(OFFSET($DS$3,0,0,'Données projet'!$E$14+1,1))-AVERAGE(OFFSET($H$3,0,0,'Données projet'!$E$14+1,1))</f>
        <v>312.06797204903796</v>
      </c>
      <c r="DU32" s="61">
        <f t="shared" si="44"/>
        <v>258.20189001775151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5.0849999999999991</v>
      </c>
      <c r="EJ32" s="13">
        <f>IF('Données projet'!$A$192&gt;35,EJ31+EI32-ER31,IF(A32&lt;'Données projet'!$A$192,$EG$205^A32,IF(A32='Données projet'!$A$192,'Données projet'!$B$192,EJ31+EI32-ER31)))</f>
        <v>97.259999999999962</v>
      </c>
      <c r="EK32" s="18">
        <f>EJ32*VLOOKUP('Données projet'!$B$15,Paramètres!$A$1:$I$89,3,0)*VLOOKUP('Données projet'!$B$15,Paramètres!$A$1:$I$89,5,0)</f>
        <v>78.897311999999971</v>
      </c>
      <c r="EL32" s="14">
        <f t="shared" si="45"/>
        <v>21.867353777560936</v>
      </c>
      <c r="EM32" s="22">
        <f t="shared" si="19"/>
        <v>175.49845956258525</v>
      </c>
      <c r="EN32" s="61">
        <f t="shared" si="20"/>
        <v>467.6095706736964</v>
      </c>
      <c r="EO32" s="61">
        <f ca="1">AVERAGE(OFFSET($EN$3,0,0,'Données projet'!$E$15+1,1))-AVERAGE(OFFSET($H$3,0,0,'Données projet'!$E$15+1,1))</f>
        <v>222.15256609836689</v>
      </c>
      <c r="EP32" s="61">
        <f t="shared" si="46"/>
        <v>221.10360210521077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11.5</v>
      </c>
      <c r="FE32" s="13">
        <f>IF('Données projet'!$A$218&gt;35,FE31+FD32-FM31,IF(A32&lt;'Données projet'!$A$218,$FB$205^A32,IF(A32='Données projet'!$A$218,'Données projet'!$B$218,FE31+FD32-FM31)))</f>
        <v>131.99999999999997</v>
      </c>
      <c r="FF32" s="18">
        <f>FE32*VLOOKUP('Données projet'!$B$16,Paramètres!$A$1:$I$89,3,0)*VLOOKUP('Données projet'!$B$16,Paramètres!$A$1:$I$89,5,0)</f>
        <v>102.95999999999998</v>
      </c>
      <c r="FG32" s="14">
        <f t="shared" si="47"/>
        <v>27.665975080374633</v>
      </c>
      <c r="FH32" s="22">
        <f t="shared" si="22"/>
        <v>227.50690659831912</v>
      </c>
      <c r="FI32" s="61">
        <f t="shared" si="23"/>
        <v>519.61801770943021</v>
      </c>
      <c r="FJ32" s="61">
        <f ca="1">AVERAGE(OFFSET($FI$3,0,0,'Données projet'!$E$16+1,1))-AVERAGE(OFFSET($H$3,0,0,'Données projet'!$E$16+1,1))</f>
        <v>292.57482726862594</v>
      </c>
      <c r="FK32" s="61">
        <f t="shared" si="48"/>
        <v>283.48738729114024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7</v>
      </c>
      <c r="FZ32" s="13">
        <f>IF('Données projet'!$A$244&gt;35,FZ31+FY32-GH31,IF(A32&lt;'Données projet'!$A$244,$FW$205^A32,IF(A32='Données projet'!$A$244,'Données projet'!$B$244,FZ31+FY32-GH31)))</f>
        <v>98</v>
      </c>
      <c r="GA32" s="18">
        <f>FZ32*VLOOKUP('Données projet'!$B$17,Paramètres!$A$1:$I$89,3,0)*VLOOKUP('Données projet'!$B$17,Paramètres!$A$1:$I$89,5,0)</f>
        <v>94.785600000000002</v>
      </c>
      <c r="GB32" s="14">
        <f t="shared" si="49"/>
        <v>25.715893428674526</v>
      </c>
      <c r="GC32" s="22">
        <f t="shared" si="25"/>
        <v>209.87343438827483</v>
      </c>
      <c r="GD32" s="61">
        <f t="shared" si="26"/>
        <v>501.98454549938594</v>
      </c>
      <c r="GE32" s="61">
        <f ca="1">AVERAGE(OFFSET($GD$3,0,0,'Données projet'!$E$17+1,1))-AVERAGE(OFFSET($H$3,0,0,'Données projet'!$E$17+1,1))</f>
        <v>455.50822833641354</v>
      </c>
      <c r="GF32" s="61">
        <f t="shared" si="50"/>
        <v>261.14722581688039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7</v>
      </c>
      <c r="GU32" s="13">
        <f>IF('Données projet'!$A$270&gt;35,GU31+GT32-HC31,IF(A32&lt;'Données projet'!$A$270,$GR$205^A32,IF(A32='Données projet'!$A$270,'Données projet'!$B$270,GU31+GT32-HC31)))</f>
        <v>98</v>
      </c>
      <c r="GV32" s="18">
        <f>GU32*VLOOKUP('Données projet'!$B$18,Paramètres!$A$1:$I$89,3,0)*VLOOKUP('Données projet'!$B$18,Paramètres!$A$1:$I$89,5,0)</f>
        <v>105.48719999999999</v>
      </c>
      <c r="GW32" s="14">
        <f t="shared" si="51"/>
        <v>28.265155367923839</v>
      </c>
      <c r="GX32" s="22">
        <f t="shared" si="28"/>
        <v>232.95201893246733</v>
      </c>
      <c r="GY32" s="61">
        <f t="shared" si="29"/>
        <v>525.06313004357844</v>
      </c>
      <c r="GZ32" s="61">
        <f ca="1">AVERAGE(OFFSET($GY$3,0,0,'Données projet'!$E$18+1,1))-AVERAGE(OFFSET($H$3,0,0,'Données projet'!$E$18+1,1))</f>
        <v>502.07782026233912</v>
      </c>
      <c r="HA32" s="61">
        <f t="shared" si="52"/>
        <v>285.83623046025156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95.004000000000005</v>
      </c>
      <c r="P33" s="14">
        <f t="shared" si="33"/>
        <v>25.768242550600785</v>
      </c>
      <c r="Q33" s="22">
        <f t="shared" si="2"/>
        <v>210.34498910896306</v>
      </c>
      <c r="R33" s="61">
        <f t="shared" si="0"/>
        <v>503.67832244229635</v>
      </c>
      <c r="S33" s="61">
        <f ca="1">AVERAGE(OFFSET($R$3,0,0,'Données projet'!$E$9+1,1))-AVERAGE(OFFSET($H$3,0,0,'Données projet'!$E$9+1,1))</f>
        <v>428.8489304403459</v>
      </c>
      <c r="T33" s="61">
        <f t="shared" si="34"/>
        <v>247.01165577562966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1">
        <f t="shared" si="5"/>
        <v>528.40210679086033</v>
      </c>
      <c r="AN33" s="61">
        <f ca="1">AVERAGE(OFFSET($AM$3,0,0,'Données projet'!$E$10+1,1))-AVERAGE(OFFSET($H$3,0,0,'Données projet'!$E$10+1,1))</f>
        <v>475.47920969424894</v>
      </c>
      <c r="AO33" s="61">
        <f t="shared" si="36"/>
        <v>271.73544012419364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19.857142857142858</v>
      </c>
      <c r="BD33" s="13">
        <f>IF('Données projet'!$A$88&gt;35,BD32+BC33-BL32,IF(A33&lt;'Données projet'!$A$88,$BA$205^A33,IF(A33='Données projet'!$A$88,'Données projet'!$B$88,BD32+BC33-BL32)))</f>
        <v>255.71428571428569</v>
      </c>
      <c r="BE33" s="14">
        <f>BD33*VLOOKUP('Données projet'!$B$11,Paramètres!$A$1:$I$89,3,0)*VLOOKUP('Données projet'!$B$11,Paramètres!$A$1:$I$89,5,0)</f>
        <v>142.94428571428571</v>
      </c>
      <c r="BF33" s="14">
        <f t="shared" si="37"/>
        <v>36.970680828333286</v>
      </c>
      <c r="BG33" s="22">
        <f t="shared" si="7"/>
        <v>313.35190006172803</v>
      </c>
      <c r="BH33" s="61">
        <f t="shared" si="8"/>
        <v>606.68523339506135</v>
      </c>
      <c r="BI33" s="61">
        <f ca="1">AVERAGE(OFFSET($BH$3,0,0,'Données projet'!$E$11+1,1))-AVERAGE(OFFSET($H$3,0,0,'Données projet'!$E$11+1,1))</f>
        <v>374.79806286316051</v>
      </c>
      <c r="BJ33" s="61">
        <f t="shared" si="38"/>
        <v>350.01856672839466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22.269422267725609</v>
      </c>
      <c r="BR33" s="23">
        <f>EXP(-LN(2)/2)*BR32+(1-EXP(-LN(2)/2))/(LN(2)/2)*BL33*BO33*VLOOKUP('Données projet'!$B$11,Paramètres!$A$1:$I$89,3,0)*0.475*44/12</f>
        <v>11.007781041685254</v>
      </c>
      <c r="BS33" s="24">
        <f t="shared" si="9"/>
        <v>33.277203309410865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147.25384615384615</v>
      </c>
      <c r="BW33" s="13">
        <f>VLOOKUP(A33,'Données projet'!$A$113:$I$133,9,0)</f>
        <v>4.9084615384615384</v>
      </c>
      <c r="BX33" s="13">
        <f t="array" ref="BX33">INDEX(BW:BW,MIN(IF(ISNUMBER(BW33:BW229),ROW(BW33:BW229),"")))</f>
        <v>4.9084615384615384</v>
      </c>
      <c r="BY33" s="13">
        <f>IF('Données projet'!$A$114&gt;35,BY32+BX33-CG32,IF(A33&lt;'Données projet'!$A$114,$BV$205^A33,IF(A33='Données projet'!$A$114,'Données projet'!$B$114,BY32+BX33-CG32)))</f>
        <v>147.25384615384615</v>
      </c>
      <c r="BZ33" s="14">
        <f>BY33*VLOOKUP('Données projet'!$B$12,Paramètres!$A$1:$I$89,3,0)*VLOOKUP('Données projet'!$B$12,Paramètres!$A$1:$I$89,5,0)</f>
        <v>68.9148</v>
      </c>
      <c r="CA33" s="14">
        <f t="shared" si="39"/>
        <v>19.403719594897876</v>
      </c>
      <c r="CB33" s="22">
        <f t="shared" si="10"/>
        <v>153.82142162778047</v>
      </c>
      <c r="CC33" s="61">
        <f t="shared" si="11"/>
        <v>447.15475496111378</v>
      </c>
      <c r="CD33" s="61">
        <f ca="1">AVERAGE(OFFSET($CC$3,0,0,'Données projet'!$E$12+1,1))-AVERAGE(OFFSET($H$3,0,0,'Données projet'!$E$12+1,1))</f>
        <v>285.59863510278109</v>
      </c>
      <c r="CE33" s="61">
        <f t="shared" si="40"/>
        <v>190.4880882944471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112</v>
      </c>
      <c r="CR33" s="13">
        <f>VLOOKUP(A33,'Données projet'!$A$139:$I$159,9,0)</f>
        <v>3.7333333333333334</v>
      </c>
      <c r="CS33" s="13">
        <f t="array" ref="CS33">INDEX(CR:CR,MIN(IF(ISNUMBER(CR33:CR229),ROW(CR33:CR229),"")))</f>
        <v>3.7333333333333334</v>
      </c>
      <c r="CT33" s="13">
        <f>IF('Données projet'!$A$140&gt;35,CT32+CS33-DB32,IF(A33&lt;'Données projet'!$A$140,$CQ$205^A33,IF(A33='Données projet'!$A$140,'Données projet'!$B$140,CT32+CS33-DB32)))</f>
        <v>112</v>
      </c>
      <c r="CU33" s="18">
        <f>CT33*VLOOKUP('Données projet'!$B$13,Paramètres!$A$1:$I$89,3,0)*VLOOKUP('Données projet'!$B$13,Paramètres!$A$1:$I$89,5,0)</f>
        <v>53.872</v>
      </c>
      <c r="CV33" s="14">
        <f t="shared" si="41"/>
        <v>15.609338516941918</v>
      </c>
      <c r="CW33" s="22">
        <f t="shared" si="13"/>
        <v>121.0133312503405</v>
      </c>
      <c r="CX33" s="61">
        <f t="shared" si="14"/>
        <v>414.34666458367383</v>
      </c>
      <c r="CY33" s="61">
        <f ca="1">AVERAGE(OFFSET($CX$3,0,0,'Données projet'!$E$13+1,1))-AVERAGE(OFFSET($H$3,0,0,'Données projet'!$E$13+1,1))</f>
        <v>273.72618036666552</v>
      </c>
      <c r="CZ33" s="61">
        <f t="shared" si="42"/>
        <v>157.67999791700714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149.35897435897436</v>
      </c>
      <c r="DM33" s="13">
        <f>VLOOKUP(A33,'Données projet'!$A$165:$I$185,9,0)</f>
        <v>8.0769230769230802</v>
      </c>
      <c r="DN33" s="13">
        <f t="array" ref="DN33">INDEX(DM:DM,MIN(IF(ISNUMBER(DM33:DM229),ROW(DM33:DM229),"")))</f>
        <v>8.0769230769230802</v>
      </c>
      <c r="DO33" s="13">
        <f>IF('Données projet'!$A$166&gt;35,DO32+DN33-DW32,IF(A33&lt;'Données projet'!$A$166,$DL$205^A33,IF(A33='Données projet'!$A$166,'Données projet'!$B$166,DO32+DN33-DW32)))</f>
        <v>149.35897435897442</v>
      </c>
      <c r="DP33" s="18">
        <f>DO33*VLOOKUP('Données projet'!$B$14,Paramètres!$A$1:$I$89,3,0)*VLOOKUP('Données projet'!$B$14,Paramètres!$A$1:$I$89,5,0)</f>
        <v>100.19000000000005</v>
      </c>
      <c r="DQ33" s="14">
        <f t="shared" si="43"/>
        <v>27.007257426460161</v>
      </c>
      <c r="DR33" s="22">
        <f t="shared" si="16"/>
        <v>221.53522335108485</v>
      </c>
      <c r="DS33" s="61">
        <f t="shared" si="17"/>
        <v>514.86855668441819</v>
      </c>
      <c r="DT33" s="61">
        <f ca="1">AVERAGE(OFFSET($DS$3,0,0,'Données projet'!$E$14+1,1))-AVERAGE(OFFSET($H$3,0,0,'Données projet'!$E$14+1,1))</f>
        <v>312.06797204903796</v>
      </c>
      <c r="DU33" s="61">
        <f t="shared" si="44"/>
        <v>258.20189001775151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32.692307692307693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5.0849999999999991</v>
      </c>
      <c r="EJ33" s="13">
        <f>IF('Données projet'!$A$192&gt;35,EJ32+EI33-ER32,IF(A33&lt;'Données projet'!$A$192,$EG$205^A33,IF(A33='Données projet'!$A$192,'Données projet'!$B$192,EJ32+EI33-ER32)))</f>
        <v>102.34499999999996</v>
      </c>
      <c r="EK33" s="18">
        <f>EJ33*VLOOKUP('Données projet'!$B$15,Paramètres!$A$1:$I$89,3,0)*VLOOKUP('Données projet'!$B$15,Paramètres!$A$1:$I$89,5,0)</f>
        <v>83.022263999999964</v>
      </c>
      <c r="EL33" s="14">
        <f t="shared" si="45"/>
        <v>22.874541036484707</v>
      </c>
      <c r="EM33" s="22">
        <f t="shared" si="19"/>
        <v>184.43693543854411</v>
      </c>
      <c r="EN33" s="61">
        <f t="shared" si="20"/>
        <v>477.77026877187745</v>
      </c>
      <c r="EO33" s="61">
        <f ca="1">AVERAGE(OFFSET($EN$3,0,0,'Données projet'!$E$15+1,1))-AVERAGE(OFFSET($H$3,0,0,'Données projet'!$E$15+1,1))</f>
        <v>222.15256609836689</v>
      </c>
      <c r="EP33" s="61">
        <f t="shared" si="46"/>
        <v>221.10360210521077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11.5</v>
      </c>
      <c r="FE33" s="13">
        <f>IF('Données projet'!$A$218&gt;35,FE32+FD33-FM32,IF(A33&lt;'Données projet'!$A$218,$FB$205^A33,IF(A33='Données projet'!$A$218,'Données projet'!$B$218,FE32+FD33-FM32)))</f>
        <v>143.49999999999997</v>
      </c>
      <c r="FF33" s="18">
        <f>FE33*VLOOKUP('Données projet'!$B$16,Paramètres!$A$1:$I$89,3,0)*VLOOKUP('Données projet'!$B$16,Paramètres!$A$1:$I$89,5,0)</f>
        <v>111.92999999999998</v>
      </c>
      <c r="FG33" s="14">
        <f t="shared" si="47"/>
        <v>29.785246291563833</v>
      </c>
      <c r="FH33" s="22">
        <f t="shared" si="22"/>
        <v>246.82072062447358</v>
      </c>
      <c r="FI33" s="61">
        <f t="shared" si="23"/>
        <v>540.15405395780692</v>
      </c>
      <c r="FJ33" s="61">
        <f ca="1">AVERAGE(OFFSET($FI$3,0,0,'Données projet'!$E$16+1,1))-AVERAGE(OFFSET($H$3,0,0,'Données projet'!$E$16+1,1))</f>
        <v>292.57482726862594</v>
      </c>
      <c r="FK33" s="61">
        <f t="shared" si="48"/>
        <v>283.48738729114024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>
        <f>VLOOKUP(A33,'Données projet'!$A$243:$I$263,2,0)</f>
        <v>105</v>
      </c>
      <c r="FX33" s="13">
        <f>VLOOKUP(A33,'Données projet'!$A$243:$I$263,9,0)</f>
        <v>7</v>
      </c>
      <c r="FY33" s="13">
        <f t="array" ref="FY33">INDEX(FX:FX,MIN(IF(ISNUMBER(FX33:FX229),ROW(FX33:FX229),"")))</f>
        <v>7</v>
      </c>
      <c r="FZ33" s="13">
        <f>IF('Données projet'!$A$244&gt;35,FZ32+FY33-GH32,IF(A33&lt;'Données projet'!$A$244,$FW$205^A33,IF(A33='Données projet'!$A$244,'Données projet'!$B$244,FZ32+FY33-GH32)))</f>
        <v>105</v>
      </c>
      <c r="GA33" s="18">
        <f>FZ33*VLOOKUP('Données projet'!$B$17,Paramètres!$A$1:$I$89,3,0)*VLOOKUP('Données projet'!$B$17,Paramètres!$A$1:$I$89,5,0)</f>
        <v>101.556</v>
      </c>
      <c r="GB33" s="14">
        <f t="shared" si="49"/>
        <v>27.332359320696909</v>
      </c>
      <c r="GC33" s="22">
        <f t="shared" si="25"/>
        <v>224.48055915021379</v>
      </c>
      <c r="GD33" s="61">
        <f t="shared" si="26"/>
        <v>517.81389248354708</v>
      </c>
      <c r="GE33" s="61">
        <f ca="1">AVERAGE(OFFSET($GD$3,0,0,'Données projet'!$E$17+1,1))-AVERAGE(OFFSET($H$3,0,0,'Données projet'!$E$17+1,1))</f>
        <v>455.50822833641354</v>
      </c>
      <c r="GF33" s="61">
        <f t="shared" si="50"/>
        <v>261.14722581688039</v>
      </c>
      <c r="GG33" s="16">
        <f>IF(ISNA(VLOOKUP(A33,'Données projet'!$A$243:$I$263,3,0)),0,VLOOKUP(A33,'Données projet'!$A$243:$I$263,3,0))</f>
        <v>1</v>
      </c>
      <c r="GH33" s="16">
        <f>IF(ISNA(VLOOKUP(A33,'Données projet'!$A$243:$I$263,4,0)),0,VLOOKUP(A33,'Données projet'!$A$243:$I$263,4,0))</f>
        <v>29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>
        <f>VLOOKUP(A33,'Données projet'!$A$269:$I$289,2,0)</f>
        <v>105</v>
      </c>
      <c r="GS33" s="13">
        <f>VLOOKUP(A33,'Données projet'!$A$269:$I$289,9,0)</f>
        <v>7</v>
      </c>
      <c r="GT33" s="13">
        <f t="array" ref="GT33">INDEX(GS:GS,MIN(IF(ISNUMBER(GS33:GS229),ROW(GS33:GS229),"")))</f>
        <v>7</v>
      </c>
      <c r="GU33" s="13">
        <f>IF('Données projet'!$A$270&gt;35,GU32+GT33-HC32,IF(A33&lt;'Données projet'!$A$270,$GR$205^A33,IF(A33='Données projet'!$A$270,'Données projet'!$B$270,GU32+GT33-HC32)))</f>
        <v>105</v>
      </c>
      <c r="GV33" s="18">
        <f>GU33*VLOOKUP('Données projet'!$B$18,Paramètres!$A$1:$I$89,3,0)*VLOOKUP('Données projet'!$B$18,Paramètres!$A$1:$I$89,5,0)</f>
        <v>113.02199999999999</v>
      </c>
      <c r="GW33" s="14">
        <f t="shared" si="51"/>
        <v>30.041864379091852</v>
      </c>
      <c r="GX33" s="22">
        <f t="shared" si="28"/>
        <v>249.16956379358496</v>
      </c>
      <c r="GY33" s="61">
        <f t="shared" si="29"/>
        <v>542.50289712691824</v>
      </c>
      <c r="GZ33" s="61">
        <f ca="1">AVERAGE(OFFSET($GY$3,0,0,'Données projet'!$E$18+1,1))-AVERAGE(OFFSET($H$3,0,0,'Données projet'!$E$18+1,1))</f>
        <v>502.07782026233912</v>
      </c>
      <c r="HA33" s="61">
        <f t="shared" si="52"/>
        <v>285.83623046025156</v>
      </c>
      <c r="HB33" s="16">
        <f>IF(ISNA(VLOOKUP(A33,'Données projet'!$A$269:$I$289,3,0)),0,VLOOKUP(A33,'Données projet'!$A$269:$I$289,3,0))</f>
        <v>1</v>
      </c>
      <c r="HC33" s="16">
        <f>IF(ISNA(VLOOKUP(A33,'Données projet'!$A$269:$I$289,4,0)),0,VLOOKUP(A33,'Données projet'!$A$269:$I$289,4,0))</f>
        <v>29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76.003200000000007</v>
      </c>
      <c r="P34" s="14">
        <f t="shared" si="33"/>
        <v>21.157049992000456</v>
      </c>
      <c r="Q34" s="22">
        <f t="shared" si="2"/>
        <v>169.22076873606747</v>
      </c>
      <c r="R34" s="61">
        <f t="shared" si="0"/>
        <v>462.55410206940076</v>
      </c>
      <c r="S34" s="61">
        <f ca="1">AVERAGE(OFFSET($R$3,0,0,'Données projet'!$E$9+1,1))-AVERAGE(OFFSET($H$3,0,0,'Données projet'!$E$9+1,1))</f>
        <v>428.8489304403459</v>
      </c>
      <c r="T34" s="61">
        <f t="shared" si="34"/>
        <v>247.01165577562966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1">
        <f t="shared" si="5"/>
        <v>482.4332041160016</v>
      </c>
      <c r="AN34" s="61">
        <f ca="1">AVERAGE(OFFSET($AM$3,0,0,'Données projet'!$E$10+1,1))-AVERAGE(OFFSET($H$3,0,0,'Données projet'!$E$10+1,1))</f>
        <v>475.47920969424894</v>
      </c>
      <c r="AO34" s="61">
        <f t="shared" si="36"/>
        <v>271.73544012419364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19.857142857142858</v>
      </c>
      <c r="BD34" s="13">
        <f>IF('Données projet'!$A$88&gt;35,BD33+BC34-BL33,IF(A34&lt;'Données projet'!$A$88,$BA$205^A34,IF(A34='Données projet'!$A$88,'Données projet'!$B$88,BD33+BC34-BL33)))</f>
        <v>275.57142857142856</v>
      </c>
      <c r="BE34" s="14">
        <f>BD34*VLOOKUP('Données projet'!$B$11,Paramètres!$A$1:$I$89,3,0)*VLOOKUP('Données projet'!$B$11,Paramètres!$A$1:$I$89,5,0)</f>
        <v>154.04442857142857</v>
      </c>
      <c r="BF34" s="14">
        <f t="shared" si="37"/>
        <v>39.496268491280283</v>
      </c>
      <c r="BG34" s="22">
        <f t="shared" si="7"/>
        <v>337.08338071755128</v>
      </c>
      <c r="BH34" s="61">
        <f t="shared" si="8"/>
        <v>630.41671405088459</v>
      </c>
      <c r="BI34" s="61">
        <f ca="1">AVERAGE(OFFSET($BH$3,0,0,'Données projet'!$E$11+1,1))-AVERAGE(OFFSET($H$3,0,0,'Données projet'!$E$11+1,1))</f>
        <v>374.79806286316051</v>
      </c>
      <c r="BJ34" s="61">
        <f t="shared" si="38"/>
        <v>350.01856672839466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21.660463744716633</v>
      </c>
      <c r="BR34" s="23">
        <f>EXP(-LN(2)/2)*BR33+(1-EXP(-LN(2)/2))/(LN(2)/2)*BL34*BO34*VLOOKUP('Données projet'!$B$11,Paramètres!$A$1:$I$89,3,0)*0.475*44/12</f>
        <v>7.7836766203923613</v>
      </c>
      <c r="BS34" s="24">
        <f t="shared" si="9"/>
        <v>29.444140365108993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11.443589743589742</v>
      </c>
      <c r="BY34" s="13">
        <f>IF('Données projet'!$A$114&gt;35,BY33+BX34-CG33,IF(A34&lt;'Données projet'!$A$114,$BV$205^A34,IF(A34='Données projet'!$A$114,'Données projet'!$B$114,BY33+BX34-CG33)))</f>
        <v>158.69743589743589</v>
      </c>
      <c r="BZ34" s="14">
        <f>BY34*VLOOKUP('Données projet'!$B$12,Paramètres!$A$1:$I$89,3,0)*VLOOKUP('Données projet'!$B$12,Paramètres!$A$1:$I$89,5,0)</f>
        <v>74.270399999999995</v>
      </c>
      <c r="CA34" s="14">
        <f t="shared" si="39"/>
        <v>20.730265914492005</v>
      </c>
      <c r="CB34" s="22">
        <f t="shared" si="10"/>
        <v>165.4594931344069</v>
      </c>
      <c r="CC34" s="61">
        <f t="shared" si="11"/>
        <v>458.79282646774021</v>
      </c>
      <c r="CD34" s="61">
        <f ca="1">AVERAGE(OFFSET($CC$3,0,0,'Données projet'!$E$12+1,1))-AVERAGE(OFFSET($H$3,0,0,'Données projet'!$E$12+1,1))</f>
        <v>285.59863510278109</v>
      </c>
      <c r="CE34" s="61">
        <f t="shared" si="40"/>
        <v>190.4880882944471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9</v>
      </c>
      <c r="CT34" s="13">
        <f>IF('Données projet'!$A$140&gt;35,CT33+CS34-DB33,IF(A34&lt;'Données projet'!$A$140,$CQ$205^A34,IF(A34='Données projet'!$A$140,'Données projet'!$B$140,CT33+CS34-DB33)))</f>
        <v>121</v>
      </c>
      <c r="CU34" s="18">
        <f>CT34*VLOOKUP('Données projet'!$B$13,Paramètres!$A$1:$I$89,3,0)*VLOOKUP('Données projet'!$B$13,Paramètres!$A$1:$I$89,5,0)</f>
        <v>58.200999999999993</v>
      </c>
      <c r="CV34" s="14">
        <f t="shared" si="41"/>
        <v>16.712622653789289</v>
      </c>
      <c r="CW34" s="22">
        <f t="shared" si="13"/>
        <v>130.47455945534963</v>
      </c>
      <c r="CX34" s="61">
        <f t="shared" si="14"/>
        <v>423.80789278868292</v>
      </c>
      <c r="CY34" s="61">
        <f ca="1">AVERAGE(OFFSET($CX$3,0,0,'Données projet'!$E$13+1,1))-AVERAGE(OFFSET($H$3,0,0,'Données projet'!$E$13+1,1))</f>
        <v>273.72618036666552</v>
      </c>
      <c r="CZ34" s="61">
        <f t="shared" si="42"/>
        <v>157.67999791700714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7.6923076923076881</v>
      </c>
      <c r="DO34" s="13">
        <f>IF('Données projet'!$A$166&gt;35,DO33+DN34-DW33,IF(A34&lt;'Données projet'!$A$166,$DL$205^A34,IF(A34='Données projet'!$A$166,'Données projet'!$B$166,DO33+DN34-DW33)))</f>
        <v>124.35897435897441</v>
      </c>
      <c r="DP34" s="18">
        <f>DO34*VLOOKUP('Données projet'!$B$14,Paramètres!$A$1:$I$89,3,0)*VLOOKUP('Données projet'!$B$14,Paramètres!$A$1:$I$89,5,0)</f>
        <v>83.42000000000003</v>
      </c>
      <c r="DQ34" s="14">
        <f t="shared" si="43"/>
        <v>22.971343750654679</v>
      </c>
      <c r="DR34" s="22">
        <f t="shared" si="16"/>
        <v>185.2982570323903</v>
      </c>
      <c r="DS34" s="61">
        <f t="shared" si="17"/>
        <v>478.63159036572358</v>
      </c>
      <c r="DT34" s="61">
        <f ca="1">AVERAGE(OFFSET($DS$3,0,0,'Données projet'!$E$14+1,1))-AVERAGE(OFFSET($H$3,0,0,'Données projet'!$E$14+1,1))</f>
        <v>312.06797204903796</v>
      </c>
      <c r="DU34" s="61">
        <f t="shared" si="44"/>
        <v>258.20189001775151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5.0849999999999991</v>
      </c>
      <c r="EJ34" s="13">
        <f>IF('Données projet'!$A$192&gt;35,EJ33+EI34-ER33,IF(A34&lt;'Données projet'!$A$192,$EG$205^A34,IF(A34='Données projet'!$A$192,'Données projet'!$B$192,EJ33+EI34-ER33)))</f>
        <v>107.42999999999995</v>
      </c>
      <c r="EK34" s="18">
        <f>EJ34*VLOOKUP('Données projet'!$B$15,Paramètres!$A$1:$I$89,3,0)*VLOOKUP('Données projet'!$B$15,Paramètres!$A$1:$I$89,5,0)</f>
        <v>87.147215999999972</v>
      </c>
      <c r="EL34" s="14">
        <f t="shared" si="45"/>
        <v>23.875917695233046</v>
      </c>
      <c r="EM34" s="22">
        <f t="shared" si="19"/>
        <v>193.36529118586418</v>
      </c>
      <c r="EN34" s="61">
        <f t="shared" si="20"/>
        <v>486.69862451919749</v>
      </c>
      <c r="EO34" s="61">
        <f ca="1">AVERAGE(OFFSET($EN$3,0,0,'Données projet'!$E$15+1,1))-AVERAGE(OFFSET($H$3,0,0,'Données projet'!$E$15+1,1))</f>
        <v>222.15256609836689</v>
      </c>
      <c r="EP34" s="61">
        <f t="shared" si="46"/>
        <v>221.10360210521077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>
        <f>VLOOKUP(A34,'Données projet'!$A$217:$I$237,2,0)</f>
        <v>155</v>
      </c>
      <c r="FC34" s="13">
        <f>VLOOKUP(A34,'Données projet'!$A$217:$I$237,9,0)</f>
        <v>11.5</v>
      </c>
      <c r="FD34" s="13">
        <f t="array" ref="FD34">INDEX(FC:FC,MIN(IF(ISNUMBER(FC34:FC230),ROW(FC34:FC230),"")))</f>
        <v>11.5</v>
      </c>
      <c r="FE34" s="13">
        <f>IF('Données projet'!$A$218&gt;35,FE33+FD34-FM33,IF(A34&lt;'Données projet'!$A$218,$FB$205^A34,IF(A34='Données projet'!$A$218,'Données projet'!$B$218,FE33+FD34-FM33)))</f>
        <v>154.99999999999997</v>
      </c>
      <c r="FF34" s="18">
        <f>FE34*VLOOKUP('Données projet'!$B$16,Paramètres!$A$1:$I$89,3,0)*VLOOKUP('Données projet'!$B$16,Paramètres!$A$1:$I$89,5,0)</f>
        <v>120.89999999999998</v>
      </c>
      <c r="FG34" s="14">
        <f t="shared" si="47"/>
        <v>31.884818143351602</v>
      </c>
      <c r="FH34" s="22">
        <f t="shared" si="22"/>
        <v>266.10022493300397</v>
      </c>
      <c r="FI34" s="61">
        <f t="shared" si="23"/>
        <v>559.43355826633729</v>
      </c>
      <c r="FJ34" s="61">
        <f ca="1">AVERAGE(OFFSET($FI$3,0,0,'Données projet'!$E$16+1,1))-AVERAGE(OFFSET($H$3,0,0,'Données projet'!$E$16+1,1))</f>
        <v>292.57482726862594</v>
      </c>
      <c r="FK34" s="61">
        <f t="shared" si="48"/>
        <v>283.48738729114024</v>
      </c>
      <c r="FL34" s="16">
        <f>IF(ISNA(VLOOKUP(A34,'Données projet'!$A$217:$I$237,3,0)),0,VLOOKUP(A34,'Données projet'!$A$217:$I$237,3,0))</f>
        <v>2</v>
      </c>
      <c r="FM34" s="16">
        <f>IF(ISNA(VLOOKUP(A34,'Données projet'!$A$217:$I$237,4,0)),0,VLOOKUP(A34,'Données projet'!$A$217:$I$237,4,0))</f>
        <v>36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8</v>
      </c>
      <c r="FZ34" s="13">
        <f>IF('Données projet'!$A$244&gt;35,FZ33+FY34-GH33,IF(A34&lt;'Données projet'!$A$244,$FW$205^A34,IF(A34='Données projet'!$A$244,'Données projet'!$B$244,FZ33+FY34-GH33)))</f>
        <v>84</v>
      </c>
      <c r="GA34" s="18">
        <f>FZ34*VLOOKUP('Données projet'!$B$17,Paramètres!$A$1:$I$89,3,0)*VLOOKUP('Données projet'!$B$17,Paramètres!$A$1:$I$89,5,0)</f>
        <v>81.244799999999998</v>
      </c>
      <c r="GB34" s="14">
        <f t="shared" si="49"/>
        <v>22.441270156928962</v>
      </c>
      <c r="GC34" s="22">
        <f t="shared" si="25"/>
        <v>180.58657218998462</v>
      </c>
      <c r="GD34" s="61">
        <f t="shared" si="26"/>
        <v>473.91990552331794</v>
      </c>
      <c r="GE34" s="61">
        <f ca="1">AVERAGE(OFFSET($GD$3,0,0,'Données projet'!$E$17+1,1))-AVERAGE(OFFSET($H$3,0,0,'Données projet'!$E$17+1,1))</f>
        <v>455.50822833641354</v>
      </c>
      <c r="GF34" s="61">
        <f t="shared" si="50"/>
        <v>261.14722581688039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8</v>
      </c>
      <c r="GU34" s="13">
        <f>IF('Données projet'!$A$270&gt;35,GU33+GT34-HC33,IF(A34&lt;'Données projet'!$A$270,$GR$205^A34,IF(A34='Données projet'!$A$270,'Données projet'!$B$270,GU33+GT34-HC33)))</f>
        <v>84</v>
      </c>
      <c r="GV34" s="18">
        <f>GU34*VLOOKUP('Données projet'!$B$18,Paramètres!$A$1:$I$89,3,0)*VLOOKUP('Données projet'!$B$18,Paramètres!$A$1:$I$89,5,0)</f>
        <v>90.417599999999993</v>
      </c>
      <c r="GW34" s="14">
        <f t="shared" si="51"/>
        <v>24.665912907068826</v>
      </c>
      <c r="GX34" s="22">
        <f t="shared" si="28"/>
        <v>200.43711831314488</v>
      </c>
      <c r="GY34" s="61">
        <f t="shared" si="29"/>
        <v>493.77045164647819</v>
      </c>
      <c r="GZ34" s="61">
        <f ca="1">AVERAGE(OFFSET($GY$3,0,0,'Données projet'!$E$18+1,1))-AVERAGE(OFFSET($H$3,0,0,'Données projet'!$E$18+1,1))</f>
        <v>502.07782026233912</v>
      </c>
      <c r="HA34" s="61">
        <f t="shared" si="52"/>
        <v>285.83623046025156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83.241600000000005</v>
      </c>
      <c r="P35" s="14">
        <f t="shared" si="33"/>
        <v>22.927930643846508</v>
      </c>
      <c r="Q35" s="22">
        <f t="shared" ref="Q35:Q66" si="53">(O35+P35)*0.475*44/12</f>
        <v>184.91193253803269</v>
      </c>
      <c r="R35" s="61">
        <f t="shared" si="0"/>
        <v>478.24526587136597</v>
      </c>
      <c r="S35" s="61">
        <f ca="1">AVERAGE(OFFSET($R$3,0,0,'Données projet'!$E$9+1,1))-AVERAGE(OFFSET($H$3,0,0,'Données projet'!$E$9+1,1))</f>
        <v>428.8489304403459</v>
      </c>
      <c r="T35" s="61">
        <f t="shared" si="34"/>
        <v>247.01165577562966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1">
        <f t="shared" si="5"/>
        <v>499.97258746891305</v>
      </c>
      <c r="AN35" s="61">
        <f ca="1">AVERAGE(OFFSET($AM$3,0,0,'Données projet'!$E$10+1,1))-AVERAGE(OFFSET($H$3,0,0,'Données projet'!$E$10+1,1))</f>
        <v>475.47920969424894</v>
      </c>
      <c r="AO35" s="61">
        <f t="shared" si="36"/>
        <v>271.73544012419364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19.857142857142858</v>
      </c>
      <c r="BD35" s="13">
        <f>IF('Données projet'!$A$88&gt;35,BD34+BC35-BL34,IF(A35&lt;'Données projet'!$A$88,$BA$205^A35,IF(A35='Données projet'!$A$88,'Données projet'!$B$88,BD34+BC35-BL34)))</f>
        <v>295.42857142857139</v>
      </c>
      <c r="BE35" s="14">
        <f>BD35*VLOOKUP('Données projet'!$B$11,Paramètres!$A$1:$I$89,3,0)*VLOOKUP('Données projet'!$B$11,Paramètres!$A$1:$I$89,5,0)</f>
        <v>165.14457142857142</v>
      </c>
      <c r="BF35" s="14">
        <f t="shared" si="37"/>
        <v>42.000741952671746</v>
      </c>
      <c r="BG35" s="22">
        <f t="shared" si="7"/>
        <v>360.77808747233183</v>
      </c>
      <c r="BH35" s="61">
        <f t="shared" si="8"/>
        <v>654.11142080566515</v>
      </c>
      <c r="BI35" s="61">
        <f ca="1">AVERAGE(OFFSET($BH$3,0,0,'Données projet'!$E$11+1,1))-AVERAGE(OFFSET($H$3,0,0,'Données projet'!$E$11+1,1))</f>
        <v>374.79806286316051</v>
      </c>
      <c r="BJ35" s="61">
        <f t="shared" si="38"/>
        <v>350.01856672839466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21.068157224543075</v>
      </c>
      <c r="BR35" s="23">
        <f>EXP(-LN(2)/2)*BR34+(1-EXP(-LN(2)/2))/(LN(2)/2)*BL35*BO35*VLOOKUP('Données projet'!$B$11,Paramètres!$A$1:$I$89,3,0)*0.475*44/12</f>
        <v>5.5038905208426279</v>
      </c>
      <c r="BS35" s="24">
        <f t="shared" si="9"/>
        <v>26.572047745385703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11.443589743589742</v>
      </c>
      <c r="BY35" s="13">
        <f>IF('Données projet'!$A$114&gt;35,BY34+BX35-CG34,IF(A35&lt;'Données projet'!$A$114,$BV$205^A35,IF(A35='Données projet'!$A$114,'Données projet'!$B$114,BY34+BX35-CG34)))</f>
        <v>170.14102564102564</v>
      </c>
      <c r="BZ35" s="14">
        <f>BY35*VLOOKUP('Données projet'!$B$12,Paramètres!$A$1:$I$89,3,0)*VLOOKUP('Données projet'!$B$12,Paramètres!$A$1:$I$89,5,0)</f>
        <v>79.626000000000005</v>
      </c>
      <c r="CA35" s="14">
        <f t="shared" si="39"/>
        <v>22.045714260156384</v>
      </c>
      <c r="CB35" s="22">
        <f t="shared" si="10"/>
        <v>177.0782356697724</v>
      </c>
      <c r="CC35" s="61">
        <f t="shared" si="11"/>
        <v>470.41156900310568</v>
      </c>
      <c r="CD35" s="61">
        <f ca="1">AVERAGE(OFFSET($CC$3,0,0,'Données projet'!$E$12+1,1))-AVERAGE(OFFSET($H$3,0,0,'Données projet'!$E$12+1,1))</f>
        <v>285.59863510278109</v>
      </c>
      <c r="CE35" s="61">
        <f t="shared" si="40"/>
        <v>190.4880882944471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9</v>
      </c>
      <c r="CT35" s="13">
        <f>IF('Données projet'!$A$140&gt;35,CT34+CS35-DB34,IF(A35&lt;'Données projet'!$A$140,$CQ$205^A35,IF(A35='Données projet'!$A$140,'Données projet'!$B$140,CT34+CS35-DB34)))</f>
        <v>130</v>
      </c>
      <c r="CU35" s="18">
        <f>CT35*VLOOKUP('Données projet'!$B$13,Paramètres!$A$1:$I$89,3,0)*VLOOKUP('Données projet'!$B$13,Paramètres!$A$1:$I$89,5,0)</f>
        <v>62.53</v>
      </c>
      <c r="CV35" s="14">
        <f t="shared" si="41"/>
        <v>17.806386690475314</v>
      </c>
      <c r="CW35" s="22">
        <f t="shared" si="13"/>
        <v>139.91920681924447</v>
      </c>
      <c r="CX35" s="61">
        <f t="shared" si="14"/>
        <v>433.25254015257781</v>
      </c>
      <c r="CY35" s="61">
        <f ca="1">AVERAGE(OFFSET($CX$3,0,0,'Données projet'!$E$13+1,1))-AVERAGE(OFFSET($H$3,0,0,'Données projet'!$E$13+1,1))</f>
        <v>273.72618036666552</v>
      </c>
      <c r="CZ35" s="61">
        <f t="shared" si="42"/>
        <v>157.67999791700714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7.6923076923076881</v>
      </c>
      <c r="DO35" s="13">
        <f>IF('Données projet'!$A$166&gt;35,DO34+DN35-DW34,IF(A35&lt;'Données projet'!$A$166,$DL$205^A35,IF(A35='Données projet'!$A$166,'Données projet'!$B$166,DO34+DN35-DW34)))</f>
        <v>132.0512820512821</v>
      </c>
      <c r="DP35" s="18">
        <f>DO35*VLOOKUP('Données projet'!$B$14,Paramètres!$A$1:$I$89,3,0)*VLOOKUP('Données projet'!$B$14,Paramètres!$A$1:$I$89,5,0)</f>
        <v>88.580000000000041</v>
      </c>
      <c r="DQ35" s="14">
        <f t="shared" si="43"/>
        <v>24.222438846820232</v>
      </c>
      <c r="DR35" s="22">
        <f t="shared" si="16"/>
        <v>196.46424765821197</v>
      </c>
      <c r="DS35" s="61">
        <f t="shared" si="17"/>
        <v>489.79758099154526</v>
      </c>
      <c r="DT35" s="61">
        <f ca="1">AVERAGE(OFFSET($DS$3,0,0,'Données projet'!$E$14+1,1))-AVERAGE(OFFSET($H$3,0,0,'Données projet'!$E$14+1,1))</f>
        <v>312.06797204903796</v>
      </c>
      <c r="DU35" s="61">
        <f t="shared" si="44"/>
        <v>258.20189001775151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5.0849999999999991</v>
      </c>
      <c r="EJ35" s="13">
        <f>IF('Données projet'!$A$192&gt;35,EJ34+EI35-ER34,IF(A35&lt;'Données projet'!$A$192,$EG$205^A35,IF(A35='Données projet'!$A$192,'Données projet'!$B$192,EJ34+EI35-ER34)))</f>
        <v>112.51499999999994</v>
      </c>
      <c r="EK35" s="18">
        <f>EJ35*VLOOKUP('Données projet'!$B$15,Paramètres!$A$1:$I$89,3,0)*VLOOKUP('Données projet'!$B$15,Paramètres!$A$1:$I$89,5,0)</f>
        <v>91.272167999999965</v>
      </c>
      <c r="EL35" s="14">
        <f t="shared" si="45"/>
        <v>24.871790191499791</v>
      </c>
      <c r="EM35" s="22">
        <f t="shared" si="19"/>
        <v>202.28406051686207</v>
      </c>
      <c r="EN35" s="61">
        <f t="shared" si="20"/>
        <v>495.61739385019541</v>
      </c>
      <c r="EO35" s="61">
        <f ca="1">AVERAGE(OFFSET($EN$3,0,0,'Données projet'!$E$15+1,1))-AVERAGE(OFFSET($H$3,0,0,'Données projet'!$E$15+1,1))</f>
        <v>222.15256609836689</v>
      </c>
      <c r="EP35" s="61">
        <f t="shared" si="46"/>
        <v>221.10360210521077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11.5</v>
      </c>
      <c r="FE35" s="13">
        <f>IF('Données projet'!$A$218&gt;35,FE34+FD35-FM34,IF(A35&lt;'Données projet'!$A$218,$FB$205^A35,IF(A35='Données projet'!$A$218,'Données projet'!$B$218,FE34+FD35-FM34)))</f>
        <v>130.49999999999997</v>
      </c>
      <c r="FF35" s="18">
        <f>FE35*VLOOKUP('Données projet'!$B$16,Paramètres!$A$1:$I$89,3,0)*VLOOKUP('Données projet'!$B$16,Paramètres!$A$1:$I$89,5,0)</f>
        <v>101.78999999999998</v>
      </c>
      <c r="FG35" s="14">
        <f t="shared" si="47"/>
        <v>27.38799903683508</v>
      </c>
      <c r="FH35" s="22">
        <f t="shared" si="22"/>
        <v>224.98501498915437</v>
      </c>
      <c r="FI35" s="61">
        <f t="shared" si="23"/>
        <v>518.31834832248774</v>
      </c>
      <c r="FJ35" s="61">
        <f ca="1">AVERAGE(OFFSET($FI$3,0,0,'Données projet'!$E$16+1,1))-AVERAGE(OFFSET($H$3,0,0,'Données projet'!$E$16+1,1))</f>
        <v>292.57482726862594</v>
      </c>
      <c r="FK35" s="61">
        <f t="shared" si="48"/>
        <v>283.48738729114024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8</v>
      </c>
      <c r="FZ35" s="13">
        <f>IF('Données projet'!$A$244&gt;35,FZ34+FY35-GH34,IF(A35&lt;'Données projet'!$A$244,$FW$205^A35,IF(A35='Données projet'!$A$244,'Données projet'!$B$244,FZ34+FY35-GH34)))</f>
        <v>92</v>
      </c>
      <c r="GA35" s="18">
        <f>FZ35*VLOOKUP('Données projet'!$B$17,Paramètres!$A$1:$I$89,3,0)*VLOOKUP('Données projet'!$B$17,Paramètres!$A$1:$I$89,5,0)</f>
        <v>88.982399999999998</v>
      </c>
      <c r="GB35" s="14">
        <f t="shared" si="49"/>
        <v>24.31964219550628</v>
      </c>
      <c r="GC35" s="22">
        <f t="shared" si="25"/>
        <v>197.3343901571734</v>
      </c>
      <c r="GD35" s="61">
        <f t="shared" si="26"/>
        <v>490.66772349050672</v>
      </c>
      <c r="GE35" s="61">
        <f ca="1">AVERAGE(OFFSET($GD$3,0,0,'Données projet'!$E$17+1,1))-AVERAGE(OFFSET($H$3,0,0,'Données projet'!$E$17+1,1))</f>
        <v>455.50822833641354</v>
      </c>
      <c r="GF35" s="61">
        <f t="shared" si="50"/>
        <v>261.14722581688039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8</v>
      </c>
      <c r="GU35" s="13">
        <f>IF('Données projet'!$A$270&gt;35,GU34+GT35-HC34,IF(A35&lt;'Données projet'!$A$270,$GR$205^A35,IF(A35='Données projet'!$A$270,'Données projet'!$B$270,GU34+GT35-HC34)))</f>
        <v>92</v>
      </c>
      <c r="GV35" s="18">
        <f>GU35*VLOOKUP('Données projet'!$B$18,Paramètres!$A$1:$I$89,3,0)*VLOOKUP('Données projet'!$B$18,Paramètres!$A$1:$I$89,5,0)</f>
        <v>99.028800000000004</v>
      </c>
      <c r="GW35" s="14">
        <f t="shared" si="51"/>
        <v>26.730491283721712</v>
      </c>
      <c r="GX35" s="22">
        <f t="shared" si="28"/>
        <v>219.03076565248196</v>
      </c>
      <c r="GY35" s="61">
        <f t="shared" si="29"/>
        <v>512.3640989858153</v>
      </c>
      <c r="GZ35" s="61">
        <f ca="1">AVERAGE(OFFSET($GY$3,0,0,'Données projet'!$E$18+1,1))-AVERAGE(OFFSET($H$3,0,0,'Données projet'!$E$18+1,1))</f>
        <v>502.07782026233912</v>
      </c>
      <c r="HA35" s="61">
        <f t="shared" si="52"/>
        <v>285.83623046025156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90.47999999999999</v>
      </c>
      <c r="P36" s="14">
        <f t="shared" si="33"/>
        <v>24.680953573367994</v>
      </c>
      <c r="Q36" s="22">
        <f t="shared" si="53"/>
        <v>200.57199414028256</v>
      </c>
      <c r="R36" s="61">
        <f t="shared" si="0"/>
        <v>493.9053274736159</v>
      </c>
      <c r="S36" s="61">
        <f ca="1">AVERAGE(OFFSET($R$3,0,0,'Données projet'!$E$9+1,1))-AVERAGE(OFFSET($H$3,0,0,'Données projet'!$E$9+1,1))</f>
        <v>428.8489304403459</v>
      </c>
      <c r="T36" s="61">
        <f t="shared" si="34"/>
        <v>247.01165577562966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1">
        <f t="shared" si="5"/>
        <v>517.477574153982</v>
      </c>
      <c r="AN36" s="61">
        <f ca="1">AVERAGE(OFFSET($AM$3,0,0,'Données projet'!$E$10+1,1))-AVERAGE(OFFSET($H$3,0,0,'Données projet'!$E$10+1,1))</f>
        <v>475.47920969424894</v>
      </c>
      <c r="AO36" s="61">
        <f t="shared" si="36"/>
        <v>271.73544012419364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19.857142857142858</v>
      </c>
      <c r="BD36" s="13">
        <f>IF('Données projet'!$A$88&gt;35,BD35+BC36-BL35,IF(A36&lt;'Données projet'!$A$88,$BA$205^A36,IF(A36='Données projet'!$A$88,'Données projet'!$B$88,BD35+BC36-BL35)))</f>
        <v>315.28571428571422</v>
      </c>
      <c r="BE36" s="14">
        <f>BD36*VLOOKUP('Données projet'!$B$11,Paramètres!$A$1:$I$89,3,0)*VLOOKUP('Données projet'!$B$11,Paramètres!$A$1:$I$89,5,0)</f>
        <v>176.24471428571425</v>
      </c>
      <c r="BF36" s="14">
        <f t="shared" si="37"/>
        <v>44.485681868533291</v>
      </c>
      <c r="BG36" s="22">
        <f t="shared" si="7"/>
        <v>384.43877330198114</v>
      </c>
      <c r="BH36" s="61">
        <f t="shared" si="8"/>
        <v>677.77210663531446</v>
      </c>
      <c r="BI36" s="61">
        <f ca="1">AVERAGE(OFFSET($BH$3,0,0,'Données projet'!$E$11+1,1))-AVERAGE(OFFSET($H$3,0,0,'Données projet'!$E$11+1,1))</f>
        <v>374.79806286316051</v>
      </c>
      <c r="BJ36" s="61">
        <f t="shared" si="38"/>
        <v>350.01856672839466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20.492047357311709</v>
      </c>
      <c r="BR36" s="23">
        <f>EXP(-LN(2)/2)*BR35+(1-EXP(-LN(2)/2))/(LN(2)/2)*BL36*BO36*VLOOKUP('Données projet'!$B$11,Paramètres!$A$1:$I$89,3,0)*0.475*44/12</f>
        <v>3.8918383101961815</v>
      </c>
      <c r="BS36" s="24">
        <f t="shared" si="9"/>
        <v>24.38388566750789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11.443589743589742</v>
      </c>
      <c r="BY36" s="13">
        <f>IF('Données projet'!$A$114&gt;35,BY35+BX36-CG35,IF(A36&lt;'Données projet'!$A$114,$BV$205^A36,IF(A36='Données projet'!$A$114,'Données projet'!$B$114,BY35+BX36-CG35)))</f>
        <v>181.58461538461538</v>
      </c>
      <c r="BZ36" s="14">
        <f>BY36*VLOOKUP('Données projet'!$B$12,Paramètres!$A$1:$I$89,3,0)*VLOOKUP('Données projet'!$B$12,Paramètres!$A$1:$I$89,5,0)</f>
        <v>84.981599999999986</v>
      </c>
      <c r="CA36" s="14">
        <f t="shared" si="39"/>
        <v>23.350896003452508</v>
      </c>
      <c r="CB36" s="22">
        <f t="shared" si="10"/>
        <v>188.6790972060131</v>
      </c>
      <c r="CC36" s="61">
        <f t="shared" si="11"/>
        <v>482.01243053934638</v>
      </c>
      <c r="CD36" s="61">
        <f ca="1">AVERAGE(OFFSET($CC$3,0,0,'Données projet'!$E$12+1,1))-AVERAGE(OFFSET($H$3,0,0,'Données projet'!$E$12+1,1))</f>
        <v>285.59863510278109</v>
      </c>
      <c r="CE36" s="61">
        <f t="shared" si="40"/>
        <v>190.4880882944471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9</v>
      </c>
      <c r="CT36" s="13">
        <f>IF('Données projet'!$A$140&gt;35,CT35+CS36-DB35,IF(A36&lt;'Données projet'!$A$140,$CQ$205^A36,IF(A36='Données projet'!$A$140,'Données projet'!$B$140,CT35+CS36-DB35)))</f>
        <v>139</v>
      </c>
      <c r="CU36" s="18">
        <f>CT36*VLOOKUP('Données projet'!$B$13,Paramètres!$A$1:$I$89,3,0)*VLOOKUP('Données projet'!$B$13,Paramètres!$A$1:$I$89,5,0)</f>
        <v>66.859000000000009</v>
      </c>
      <c r="CV36" s="14">
        <f t="shared" si="41"/>
        <v>18.89136468476147</v>
      </c>
      <c r="CW36" s="22">
        <f t="shared" si="13"/>
        <v>149.34855182595956</v>
      </c>
      <c r="CX36" s="61">
        <f t="shared" si="14"/>
        <v>442.68188515929285</v>
      </c>
      <c r="CY36" s="61">
        <f ca="1">AVERAGE(OFFSET($CX$3,0,0,'Données projet'!$E$13+1,1))-AVERAGE(OFFSET($H$3,0,0,'Données projet'!$E$13+1,1))</f>
        <v>273.72618036666552</v>
      </c>
      <c r="CZ36" s="61">
        <f t="shared" si="42"/>
        <v>157.67999791700714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7.6923076923076881</v>
      </c>
      <c r="DO36" s="13">
        <f>IF('Données projet'!$A$166&gt;35,DO35+DN36-DW35,IF(A36&lt;'Données projet'!$A$166,$DL$205^A36,IF(A36='Données projet'!$A$166,'Données projet'!$B$166,DO35+DN36-DW35)))</f>
        <v>139.74358974358978</v>
      </c>
      <c r="DP36" s="18">
        <f>DO36*VLOOKUP('Données projet'!$B$14,Paramètres!$A$1:$I$89,3,0)*VLOOKUP('Données projet'!$B$14,Paramètres!$A$1:$I$89,5,0)</f>
        <v>93.740000000000023</v>
      </c>
      <c r="DQ36" s="14">
        <f t="shared" si="43"/>
        <v>25.465074435109123</v>
      </c>
      <c r="DR36" s="22">
        <f t="shared" si="16"/>
        <v>207.61550464114839</v>
      </c>
      <c r="DS36" s="61">
        <f t="shared" si="17"/>
        <v>500.94883797448171</v>
      </c>
      <c r="DT36" s="61">
        <f ca="1">AVERAGE(OFFSET($DS$3,0,0,'Données projet'!$E$14+1,1))-AVERAGE(OFFSET($H$3,0,0,'Données projet'!$E$14+1,1))</f>
        <v>312.06797204903796</v>
      </c>
      <c r="DU36" s="61">
        <f t="shared" si="44"/>
        <v>258.20189001775151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>
        <f>VLOOKUP(A36,'Données projet'!$A$191:$I$211,2,0)</f>
        <v>117.6</v>
      </c>
      <c r="EH36" s="13">
        <f>VLOOKUP(A36,'Données projet'!$A$191:$I$211,9,0)</f>
        <v>5.0849999999999991</v>
      </c>
      <c r="EI36" s="13">
        <f t="array" ref="EI36">INDEX(EH:EH,MIN(IF(ISNUMBER(EH36:EH232),ROW(EH36:EH232),"")))</f>
        <v>5.0849999999999991</v>
      </c>
      <c r="EJ36" s="13">
        <f>IF('Données projet'!$A$192&gt;35,EJ35+EI36-ER35,IF(A36&lt;'Données projet'!$A$192,$EG$205^A36,IF(A36='Données projet'!$A$192,'Données projet'!$B$192,EJ35+EI36-ER35)))</f>
        <v>117.59999999999994</v>
      </c>
      <c r="EK36" s="18">
        <f>EJ36*VLOOKUP('Données projet'!$B$15,Paramètres!$A$1:$I$89,3,0)*VLOOKUP('Données projet'!$B$15,Paramètres!$A$1:$I$89,5,0)</f>
        <v>95.397119999999958</v>
      </c>
      <c r="EL36" s="14">
        <f t="shared" si="45"/>
        <v>25.86243569894479</v>
      </c>
      <c r="EM36" s="22">
        <f t="shared" si="19"/>
        <v>211.19372617566214</v>
      </c>
      <c r="EN36" s="61">
        <f t="shared" si="20"/>
        <v>504.52705950899542</v>
      </c>
      <c r="EO36" s="61">
        <f ca="1">AVERAGE(OFFSET($EN$3,0,0,'Données projet'!$E$15+1,1))-AVERAGE(OFFSET($H$3,0,0,'Données projet'!$E$15+1,1))</f>
        <v>222.15256609836689</v>
      </c>
      <c r="EP36" s="61">
        <f t="shared" si="46"/>
        <v>221.10360210521077</v>
      </c>
      <c r="EQ36" s="16">
        <f>IF(ISNA(VLOOKUP(A36,'Données projet'!$A$191:$I$211,3,0)),0,VLOOKUP(A36,'Données projet'!$A$191:$I$211,3,0))</f>
        <v>2</v>
      </c>
      <c r="ER36" s="16">
        <f>IF(ISNA(VLOOKUP(A36,'Données projet'!$A$191:$I$211,4,0)),0,VLOOKUP(A36,'Données projet'!$A$191:$I$211,4,0))</f>
        <v>39.200000000000003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11.5</v>
      </c>
      <c r="FE36" s="13">
        <f>IF('Données projet'!$A$218&gt;35,FE35+FD36-FM35,IF(A36&lt;'Données projet'!$A$218,$FB$205^A36,IF(A36='Données projet'!$A$218,'Données projet'!$B$218,FE35+FD36-FM35)))</f>
        <v>141.99999999999997</v>
      </c>
      <c r="FF36" s="18">
        <f>FE36*VLOOKUP('Données projet'!$B$16,Paramètres!$A$1:$I$89,3,0)*VLOOKUP('Données projet'!$B$16,Paramètres!$A$1:$I$89,5,0)</f>
        <v>110.75999999999998</v>
      </c>
      <c r="FG36" s="14">
        <f t="shared" si="47"/>
        <v>29.509974682362923</v>
      </c>
      <c r="FH36" s="22">
        <f t="shared" si="22"/>
        <v>244.30353923844871</v>
      </c>
      <c r="FI36" s="61">
        <f t="shared" si="23"/>
        <v>537.63687257178208</v>
      </c>
      <c r="FJ36" s="61">
        <f ca="1">AVERAGE(OFFSET($FI$3,0,0,'Données projet'!$E$16+1,1))-AVERAGE(OFFSET($H$3,0,0,'Données projet'!$E$16+1,1))</f>
        <v>292.57482726862594</v>
      </c>
      <c r="FK36" s="61">
        <f t="shared" si="48"/>
        <v>283.48738729114024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8</v>
      </c>
      <c r="FZ36" s="13">
        <f>IF('Données projet'!$A$244&gt;35,FZ35+FY36-GH35,IF(A36&lt;'Données projet'!$A$244,$FW$205^A36,IF(A36='Données projet'!$A$244,'Données projet'!$B$244,FZ35+FY36-GH35)))</f>
        <v>100</v>
      </c>
      <c r="GA36" s="18">
        <f>FZ36*VLOOKUP('Données projet'!$B$17,Paramètres!$A$1:$I$89,3,0)*VLOOKUP('Données projet'!$B$17,Paramètres!$A$1:$I$89,5,0)</f>
        <v>96.72</v>
      </c>
      <c r="GB36" s="14">
        <f t="shared" si="49"/>
        <v>26.179072558792139</v>
      </c>
      <c r="GC36" s="22">
        <f t="shared" si="25"/>
        <v>214.04921803989632</v>
      </c>
      <c r="GD36" s="61">
        <f t="shared" si="26"/>
        <v>507.3825513732296</v>
      </c>
      <c r="GE36" s="61">
        <f ca="1">AVERAGE(OFFSET($GD$3,0,0,'Données projet'!$E$17+1,1))-AVERAGE(OFFSET($H$3,0,0,'Données projet'!$E$17+1,1))</f>
        <v>455.50822833641354</v>
      </c>
      <c r="GF36" s="61">
        <f t="shared" si="50"/>
        <v>261.14722581688039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8</v>
      </c>
      <c r="GU36" s="13">
        <f>IF('Données projet'!$A$270&gt;35,GU35+GT36-HC35,IF(A36&lt;'Données projet'!$A$270,$GR$205^A36,IF(A36='Données projet'!$A$270,'Données projet'!$B$270,GU35+GT36-HC35)))</f>
        <v>100</v>
      </c>
      <c r="GV36" s="18">
        <f>GU36*VLOOKUP('Données projet'!$B$18,Paramètres!$A$1:$I$89,3,0)*VLOOKUP('Données projet'!$B$18,Paramètres!$A$1:$I$89,5,0)</f>
        <v>107.64</v>
      </c>
      <c r="GW36" s="14">
        <f t="shared" si="51"/>
        <v>28.774250263353583</v>
      </c>
      <c r="GX36" s="22">
        <f t="shared" si="28"/>
        <v>237.58815254200749</v>
      </c>
      <c r="GY36" s="61">
        <f t="shared" si="29"/>
        <v>530.92148587534075</v>
      </c>
      <c r="GZ36" s="61">
        <f ca="1">AVERAGE(OFFSET($GY$3,0,0,'Données projet'!$E$18+1,1))-AVERAGE(OFFSET($H$3,0,0,'Données projet'!$E$18+1,1))</f>
        <v>502.07782026233912</v>
      </c>
      <c r="HA36" s="61">
        <f t="shared" si="52"/>
        <v>285.83623046025156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97.718399999999988</v>
      </c>
      <c r="P37" s="14">
        <f t="shared" si="33"/>
        <v>26.417709819192194</v>
      </c>
      <c r="Q37" s="22">
        <f t="shared" si="53"/>
        <v>216.20372460175972</v>
      </c>
      <c r="R37" s="61">
        <f t="shared" si="0"/>
        <v>509.537057935093</v>
      </c>
      <c r="S37" s="61">
        <f ca="1">AVERAGE(OFFSET($R$3,0,0,'Données projet'!$E$9+1,1))-AVERAGE(OFFSET($H$3,0,0,'Données projet'!$E$9+1,1))</f>
        <v>428.8489304403459</v>
      </c>
      <c r="T37" s="61">
        <f t="shared" si="34"/>
        <v>247.01165577562966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1">
        <f t="shared" si="5"/>
        <v>534.95122875168499</v>
      </c>
      <c r="AN37" s="61">
        <f ca="1">AVERAGE(OFFSET($AM$3,0,0,'Données projet'!$E$10+1,1))-AVERAGE(OFFSET($H$3,0,0,'Données projet'!$E$10+1,1))</f>
        <v>475.47920969424894</v>
      </c>
      <c r="AO37" s="61">
        <f t="shared" si="36"/>
        <v>271.73544012419364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19.857142857142858</v>
      </c>
      <c r="BD37" s="13">
        <f>IF('Données projet'!$A$88&gt;35,BD36+BC37-BL36,IF(A37&lt;'Données projet'!$A$88,$BA$205^A37,IF(A37='Données projet'!$A$88,'Données projet'!$B$88,BD36+BC37-BL36)))</f>
        <v>335.14285714285705</v>
      </c>
      <c r="BE37" s="14">
        <f>BD37*VLOOKUP('Données projet'!$B$11,Paramètres!$A$1:$I$89,3,0)*VLOOKUP('Données projet'!$B$11,Paramètres!$A$1:$I$89,5,0)</f>
        <v>187.34485714285708</v>
      </c>
      <c r="BF37" s="14">
        <f t="shared" si="37"/>
        <v>46.95245853654621</v>
      </c>
      <c r="BG37" s="22">
        <f t="shared" si="7"/>
        <v>408.06782480829406</v>
      </c>
      <c r="BH37" s="61">
        <f t="shared" si="8"/>
        <v>701.40115814162732</v>
      </c>
      <c r="BI37" s="61">
        <f ca="1">AVERAGE(OFFSET($BH$3,0,0,'Données projet'!$E$11+1,1))-AVERAGE(OFFSET($H$3,0,0,'Données projet'!$E$11+1,1))</f>
        <v>374.79806286316051</v>
      </c>
      <c r="BJ37" s="61">
        <f t="shared" si="38"/>
        <v>350.01856672839466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19.931691244696086</v>
      </c>
      <c r="BR37" s="23">
        <f>EXP(-LN(2)/2)*BR36+(1-EXP(-LN(2)/2))/(LN(2)/2)*BL37*BO37*VLOOKUP('Données projet'!$B$11,Paramètres!$A$1:$I$89,3,0)*0.475*44/12</f>
        <v>2.7519452604213144</v>
      </c>
      <c r="BS37" s="24">
        <f t="shared" si="9"/>
        <v>22.683636505117402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11.443589743589742</v>
      </c>
      <c r="BY37" s="13">
        <f>IF('Données projet'!$A$114&gt;35,BY36+BX37-CG36,IF(A37&lt;'Données projet'!$A$114,$BV$205^A37,IF(A37='Données projet'!$A$114,'Données projet'!$B$114,BY36+BX37-CG36)))</f>
        <v>193.02820512820512</v>
      </c>
      <c r="BZ37" s="14">
        <f>BY37*VLOOKUP('Données projet'!$B$12,Paramètres!$A$1:$I$89,3,0)*VLOOKUP('Données projet'!$B$12,Paramètres!$A$1:$I$89,5,0)</f>
        <v>90.337199999999996</v>
      </c>
      <c r="CA37" s="14">
        <f t="shared" si="39"/>
        <v>24.646531805527069</v>
      </c>
      <c r="CB37" s="22">
        <f t="shared" si="10"/>
        <v>200.2633328946263</v>
      </c>
      <c r="CC37" s="61">
        <f t="shared" si="11"/>
        <v>493.59666622795964</v>
      </c>
      <c r="CD37" s="61">
        <f ca="1">AVERAGE(OFFSET($CC$3,0,0,'Données projet'!$E$12+1,1))-AVERAGE(OFFSET($H$3,0,0,'Données projet'!$E$12+1,1))</f>
        <v>285.59863510278109</v>
      </c>
      <c r="CE37" s="61">
        <f t="shared" si="40"/>
        <v>190.4880882944471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9</v>
      </c>
      <c r="CT37" s="13">
        <f>IF('Données projet'!$A$140&gt;35,CT36+CS37-DB36,IF(A37&lt;'Données projet'!$A$140,$CQ$205^A37,IF(A37='Données projet'!$A$140,'Données projet'!$B$140,CT36+CS37-DB36)))</f>
        <v>148</v>
      </c>
      <c r="CU37" s="18">
        <f>CT37*VLOOKUP('Données projet'!$B$13,Paramètres!$A$1:$I$89,3,0)*VLOOKUP('Données projet'!$B$13,Paramètres!$A$1:$I$89,5,0)</f>
        <v>71.188000000000002</v>
      </c>
      <c r="CV37" s="14">
        <f t="shared" si="41"/>
        <v>19.968190261357641</v>
      </c>
      <c r="CW37" s="22">
        <f t="shared" si="13"/>
        <v>158.7636980385312</v>
      </c>
      <c r="CX37" s="61">
        <f t="shared" si="14"/>
        <v>452.09703137186455</v>
      </c>
      <c r="CY37" s="61">
        <f ca="1">AVERAGE(OFFSET($CX$3,0,0,'Données projet'!$E$13+1,1))-AVERAGE(OFFSET($H$3,0,0,'Données projet'!$E$13+1,1))</f>
        <v>273.72618036666552</v>
      </c>
      <c r="CZ37" s="61">
        <f t="shared" si="42"/>
        <v>157.67999791700714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7.6923076923076881</v>
      </c>
      <c r="DO37" s="13">
        <f>IF('Données projet'!$A$166&gt;35,DO36+DN37-DW36,IF(A37&lt;'Données projet'!$A$166,$DL$205^A37,IF(A37='Données projet'!$A$166,'Données projet'!$B$166,DO36+DN37-DW36)))</f>
        <v>147.43589743589746</v>
      </c>
      <c r="DP37" s="18">
        <f>DO37*VLOOKUP('Données projet'!$B$14,Paramètres!$A$1:$I$89,3,0)*VLOOKUP('Données projet'!$B$14,Paramètres!$A$1:$I$89,5,0)</f>
        <v>98.90000000000002</v>
      </c>
      <c r="DQ37" s="14">
        <f t="shared" si="43"/>
        <v>26.699769255487553</v>
      </c>
      <c r="DR37" s="22">
        <f t="shared" si="16"/>
        <v>218.7529314533075</v>
      </c>
      <c r="DS37" s="61">
        <f t="shared" si="17"/>
        <v>512.08626478664087</v>
      </c>
      <c r="DT37" s="61">
        <f ca="1">AVERAGE(OFFSET($DS$3,0,0,'Données projet'!$E$14+1,1))-AVERAGE(OFFSET($H$3,0,0,'Données projet'!$E$14+1,1))</f>
        <v>312.06797204903796</v>
      </c>
      <c r="DU37" s="61">
        <f t="shared" si="44"/>
        <v>258.20189001775151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6.6866666666666665</v>
      </c>
      <c r="EJ37" s="13">
        <f>IF('Données projet'!$A$192&gt;35,EJ36+EI37-ER36,IF(A37&lt;'Données projet'!$A$192,$EG$205^A37,IF(A37='Données projet'!$A$192,'Données projet'!$B$192,EJ36+EI37-ER36)))</f>
        <v>85.086666666666602</v>
      </c>
      <c r="EK37" s="18">
        <f>EJ37*VLOOKUP('Données projet'!$B$15,Paramètres!$A$1:$I$89,3,0)*VLOOKUP('Données projet'!$B$15,Paramètres!$A$1:$I$89,5,0)</f>
        <v>69.022303999999963</v>
      </c>
      <c r="EL37" s="14">
        <f t="shared" si="45"/>
        <v>19.430462797380851</v>
      </c>
      <c r="EM37" s="22">
        <f t="shared" si="19"/>
        <v>154.05523550543828</v>
      </c>
      <c r="EN37" s="61">
        <f t="shared" si="20"/>
        <v>447.38856883877156</v>
      </c>
      <c r="EO37" s="61">
        <f ca="1">AVERAGE(OFFSET($EN$3,0,0,'Données projet'!$E$15+1,1))-AVERAGE(OFFSET($H$3,0,0,'Données projet'!$E$15+1,1))</f>
        <v>222.15256609836689</v>
      </c>
      <c r="EP37" s="61">
        <f t="shared" si="46"/>
        <v>221.10360210521077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11.5</v>
      </c>
      <c r="FE37" s="13">
        <f>IF('Données projet'!$A$218&gt;35,FE36+FD37-FM36,IF(A37&lt;'Données projet'!$A$218,$FB$205^A37,IF(A37='Données projet'!$A$218,'Données projet'!$B$218,FE36+FD37-FM36)))</f>
        <v>153.49999999999997</v>
      </c>
      <c r="FF37" s="18">
        <f>FE37*VLOOKUP('Données projet'!$B$16,Paramètres!$A$1:$I$89,3,0)*VLOOKUP('Données projet'!$B$16,Paramètres!$A$1:$I$89,5,0)</f>
        <v>119.72999999999998</v>
      </c>
      <c r="FG37" s="14">
        <f t="shared" si="47"/>
        <v>31.612017974790529</v>
      </c>
      <c r="FH37" s="22">
        <f t="shared" si="22"/>
        <v>263.58734797276014</v>
      </c>
      <c r="FI37" s="61">
        <f t="shared" si="23"/>
        <v>556.92068130609346</v>
      </c>
      <c r="FJ37" s="61">
        <f ca="1">AVERAGE(OFFSET($FI$3,0,0,'Données projet'!$E$16+1,1))-AVERAGE(OFFSET($H$3,0,0,'Données projet'!$E$16+1,1))</f>
        <v>292.57482726862594</v>
      </c>
      <c r="FK37" s="61">
        <f t="shared" si="48"/>
        <v>283.48738729114024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8</v>
      </c>
      <c r="FZ37" s="13">
        <f>IF('Données projet'!$A$244&gt;35,FZ36+FY37-GH36,IF(A37&lt;'Données projet'!$A$244,$FW$205^A37,IF(A37='Données projet'!$A$244,'Données projet'!$B$244,FZ36+FY37-GH36)))</f>
        <v>108</v>
      </c>
      <c r="GA37" s="18">
        <f>FZ37*VLOOKUP('Données projet'!$B$17,Paramètres!$A$1:$I$89,3,0)*VLOOKUP('Données projet'!$B$17,Paramètres!$A$1:$I$89,5,0)</f>
        <v>104.4576</v>
      </c>
      <c r="GB37" s="14">
        <f t="shared" si="49"/>
        <v>28.021248860498272</v>
      </c>
      <c r="GC37" s="22">
        <f t="shared" si="25"/>
        <v>230.73399509870114</v>
      </c>
      <c r="GD37" s="61">
        <f t="shared" si="26"/>
        <v>524.0673284320344</v>
      </c>
      <c r="GE37" s="61">
        <f ca="1">AVERAGE(OFFSET($GD$3,0,0,'Données projet'!$E$17+1,1))-AVERAGE(OFFSET($H$3,0,0,'Données projet'!$E$17+1,1))</f>
        <v>455.50822833641354</v>
      </c>
      <c r="GF37" s="61">
        <f t="shared" si="50"/>
        <v>261.14722581688039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8</v>
      </c>
      <c r="GU37" s="13">
        <f>IF('Données projet'!$A$270&gt;35,GU36+GT37-HC36,IF(A37&lt;'Données projet'!$A$270,$GR$205^A37,IF(A37='Données projet'!$A$270,'Données projet'!$B$270,GU36+GT37-HC36)))</f>
        <v>108</v>
      </c>
      <c r="GV37" s="18">
        <f>GU37*VLOOKUP('Données projet'!$B$18,Paramètres!$A$1:$I$89,3,0)*VLOOKUP('Données projet'!$B$18,Paramètres!$A$1:$I$89,5,0)</f>
        <v>116.2512</v>
      </c>
      <c r="GW37" s="14">
        <f t="shared" si="51"/>
        <v>30.799044755804328</v>
      </c>
      <c r="GX37" s="22">
        <f t="shared" si="28"/>
        <v>256.1125096163592</v>
      </c>
      <c r="GY37" s="61">
        <f t="shared" si="29"/>
        <v>549.44584294969252</v>
      </c>
      <c r="GZ37" s="61">
        <f ca="1">AVERAGE(OFFSET($GY$3,0,0,'Données projet'!$E$18+1,1))-AVERAGE(OFFSET($H$3,0,0,'Données projet'!$E$18+1,1))</f>
        <v>502.07782026233912</v>
      </c>
      <c r="HA37" s="61">
        <f t="shared" si="52"/>
        <v>285.83623046025156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104.9568</v>
      </c>
      <c r="P38" s="14">
        <f t="shared" si="33"/>
        <v>28.139541339232373</v>
      </c>
      <c r="Q38" s="22">
        <f t="shared" si="53"/>
        <v>231.8094611658297</v>
      </c>
      <c r="R38" s="61">
        <f t="shared" si="0"/>
        <v>525.14279449916307</v>
      </c>
      <c r="S38" s="61">
        <f ca="1">AVERAGE(OFFSET($R$3,0,0,'Données projet'!$E$9+1,1))-AVERAGE(OFFSET($H$3,0,0,'Données projet'!$E$9+1,1))</f>
        <v>428.8489304403459</v>
      </c>
      <c r="T38" s="61">
        <f t="shared" si="34"/>
        <v>247.01165577562966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1">
        <f t="shared" si="5"/>
        <v>552.39613607545789</v>
      </c>
      <c r="AN38" s="61">
        <f ca="1">AVERAGE(OFFSET($AM$3,0,0,'Données projet'!$E$10+1,1))-AVERAGE(OFFSET($H$3,0,0,'Données projet'!$E$10+1,1))</f>
        <v>475.47920969424894</v>
      </c>
      <c r="AO38" s="61">
        <f t="shared" si="36"/>
        <v>271.73544012419364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355</v>
      </c>
      <c r="BB38" s="13">
        <f>VLOOKUP(A38,'Données projet'!$A$87:$I$107,9,0)</f>
        <v>19.857142857142858</v>
      </c>
      <c r="BC38" s="13">
        <f t="array" ref="BC38">INDEX(BB:BB,MIN(IF(ISNUMBER(BB38:BB234),ROW(BB38:BB234),"")))</f>
        <v>19.857142857142858</v>
      </c>
      <c r="BD38" s="13">
        <f>IF('Données projet'!$A$88&gt;35,BD37+BC38-BL37,IF(A38&lt;'Données projet'!$A$88,$BA$205^A38,IF(A38='Données projet'!$A$88,'Données projet'!$B$88,BD37+BC38-BL37)))</f>
        <v>354.99999999999989</v>
      </c>
      <c r="BE38" s="14">
        <f>BD38*VLOOKUP('Données projet'!$B$11,Paramètres!$A$1:$I$89,3,0)*VLOOKUP('Données projet'!$B$11,Paramètres!$A$1:$I$89,5,0)</f>
        <v>198.44499999999994</v>
      </c>
      <c r="BF38" s="14">
        <f t="shared" si="37"/>
        <v>49.40227070134226</v>
      </c>
      <c r="BG38" s="22">
        <f t="shared" si="7"/>
        <v>431.66732980483766</v>
      </c>
      <c r="BH38" s="61">
        <f t="shared" si="8"/>
        <v>725.00066313817092</v>
      </c>
      <c r="BI38" s="61">
        <f ca="1">AVERAGE(OFFSET($BH$3,0,0,'Données projet'!$E$11+1,1))-AVERAGE(OFFSET($H$3,0,0,'Données projet'!$E$11+1,1))</f>
        <v>374.79806286316051</v>
      </c>
      <c r="BJ38" s="61">
        <f t="shared" si="38"/>
        <v>350.01856672839466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73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19.386658099447782</v>
      </c>
      <c r="BR38" s="23">
        <f>EXP(-LN(2)/2)*BR37+(1-EXP(-LN(2)/2))/(LN(2)/2)*BL38*BO38*VLOOKUP('Données projet'!$B$11,Paramètres!$A$1:$I$89,3,0)*0.475*44/12</f>
        <v>1.945919155098091</v>
      </c>
      <c r="BS38" s="24">
        <f t="shared" si="9"/>
        <v>21.332577254545875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11.443589743589742</v>
      </c>
      <c r="BY38" s="13">
        <f>IF('Données projet'!$A$114&gt;35,BY37+BX38-CG37,IF(A38&lt;'Données projet'!$A$114,$BV$205^A38,IF(A38='Données projet'!$A$114,'Données projet'!$B$114,BY37+BX38-CG37)))</f>
        <v>204.47179487179486</v>
      </c>
      <c r="BZ38" s="14">
        <f>BY38*VLOOKUP('Données projet'!$B$12,Paramètres!$A$1:$I$89,3,0)*VLOOKUP('Données projet'!$B$12,Paramètres!$A$1:$I$89,5,0)</f>
        <v>95.692799999999991</v>
      </c>
      <c r="CA38" s="14">
        <f t="shared" si="39"/>
        <v>25.93325205212474</v>
      </c>
      <c r="CB38" s="22">
        <f t="shared" si="10"/>
        <v>211.83204065745056</v>
      </c>
      <c r="CC38" s="61">
        <f t="shared" si="11"/>
        <v>505.16537399078391</v>
      </c>
      <c r="CD38" s="61">
        <f ca="1">AVERAGE(OFFSET($CC$3,0,0,'Données projet'!$E$12+1,1))-AVERAGE(OFFSET($H$3,0,0,'Données projet'!$E$12+1,1))</f>
        <v>285.59863510278109</v>
      </c>
      <c r="CE38" s="61">
        <f t="shared" si="40"/>
        <v>190.4880882944471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9</v>
      </c>
      <c r="CT38" s="13">
        <f>IF('Données projet'!$A$140&gt;35,CT37+CS38-DB37,IF(A38&lt;'Données projet'!$A$140,$CQ$205^A38,IF(A38='Données projet'!$A$140,'Données projet'!$B$140,CT37+CS38-DB37)))</f>
        <v>157</v>
      </c>
      <c r="CU38" s="18">
        <f>CT38*VLOOKUP('Données projet'!$B$13,Paramètres!$A$1:$I$89,3,0)*VLOOKUP('Données projet'!$B$13,Paramètres!$A$1:$I$89,5,0)</f>
        <v>75.516999999999996</v>
      </c>
      <c r="CV38" s="14">
        <f t="shared" si="41"/>
        <v>21.037415628132575</v>
      </c>
      <c r="CW38" s="22">
        <f t="shared" si="13"/>
        <v>168.16560721899756</v>
      </c>
      <c r="CX38" s="61">
        <f t="shared" si="14"/>
        <v>461.49894055233085</v>
      </c>
      <c r="CY38" s="61">
        <f ca="1">AVERAGE(OFFSET($CX$3,0,0,'Données projet'!$E$13+1,1))-AVERAGE(OFFSET($H$3,0,0,'Données projet'!$E$13+1,1))</f>
        <v>273.72618036666552</v>
      </c>
      <c r="CZ38" s="61">
        <f t="shared" si="42"/>
        <v>157.67999791700714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155.12820512820511</v>
      </c>
      <c r="DM38" s="13">
        <f>VLOOKUP(A38,'Données projet'!$A$165:$I$185,9,0)</f>
        <v>7.6923076923076881</v>
      </c>
      <c r="DN38" s="13">
        <f t="array" ref="DN38">INDEX(DM:DM,MIN(IF(ISNUMBER(DM38:DM234),ROW(DM38:DM234),"")))</f>
        <v>7.6923076923076881</v>
      </c>
      <c r="DO38" s="13">
        <f>IF('Données projet'!$A$166&gt;35,DO37+DN38-DW37,IF(A38&lt;'Données projet'!$A$166,$DL$205^A38,IF(A38='Données projet'!$A$166,'Données projet'!$B$166,DO37+DN38-DW37)))</f>
        <v>155.12820512820514</v>
      </c>
      <c r="DP38" s="18">
        <f>DO38*VLOOKUP('Données projet'!$B$14,Paramètres!$A$1:$I$89,3,0)*VLOOKUP('Données projet'!$B$14,Paramètres!$A$1:$I$89,5,0)</f>
        <v>104.06</v>
      </c>
      <c r="DQ38" s="14">
        <f t="shared" si="43"/>
        <v>27.926984861261673</v>
      </c>
      <c r="DR38" s="22">
        <f t="shared" si="16"/>
        <v>229.8773319666974</v>
      </c>
      <c r="DS38" s="61">
        <f t="shared" si="17"/>
        <v>523.21066530003077</v>
      </c>
      <c r="DT38" s="61">
        <f ca="1">AVERAGE(OFFSET($DS$3,0,0,'Données projet'!$E$14+1,1))-AVERAGE(OFFSET($H$3,0,0,'Données projet'!$E$14+1,1))</f>
        <v>312.06797204903796</v>
      </c>
      <c r="DU38" s="61">
        <f t="shared" si="44"/>
        <v>258.20189001775151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6.6866666666666665</v>
      </c>
      <c r="EJ38" s="13">
        <f>IF('Données projet'!$A$192&gt;35,EJ37+EI38-ER37,IF(A38&lt;'Données projet'!$A$192,$EG$205^A38,IF(A38='Données projet'!$A$192,'Données projet'!$B$192,EJ37+EI38-ER37)))</f>
        <v>91.773333333333269</v>
      </c>
      <c r="EK38" s="18">
        <f>EJ38*VLOOKUP('Données projet'!$B$15,Paramètres!$A$1:$I$89,3,0)*VLOOKUP('Données projet'!$B$15,Paramètres!$A$1:$I$89,5,0)</f>
        <v>74.446527999999958</v>
      </c>
      <c r="EL38" s="14">
        <f t="shared" si="45"/>
        <v>20.773698264556522</v>
      </c>
      <c r="EM38" s="22">
        <f t="shared" si="19"/>
        <v>165.84189407743588</v>
      </c>
      <c r="EN38" s="61">
        <f t="shared" si="20"/>
        <v>459.1752274107692</v>
      </c>
      <c r="EO38" s="61">
        <f ca="1">AVERAGE(OFFSET($EN$3,0,0,'Données projet'!$E$15+1,1))-AVERAGE(OFFSET($H$3,0,0,'Données projet'!$E$15+1,1))</f>
        <v>222.15256609836689</v>
      </c>
      <c r="EP38" s="61">
        <f t="shared" si="46"/>
        <v>221.10360210521077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11.5</v>
      </c>
      <c r="FE38" s="13">
        <f>IF('Données projet'!$A$218&gt;35,FE37+FD38-FM37,IF(A38&lt;'Données projet'!$A$218,$FB$205^A38,IF(A38='Données projet'!$A$218,'Données projet'!$B$218,FE37+FD38-FM37)))</f>
        <v>164.99999999999997</v>
      </c>
      <c r="FF38" s="18">
        <f>FE38*VLOOKUP('Données projet'!$B$16,Paramètres!$A$1:$I$89,3,0)*VLOOKUP('Données projet'!$B$16,Paramètres!$A$1:$I$89,5,0)</f>
        <v>128.69999999999999</v>
      </c>
      <c r="FG38" s="14">
        <f t="shared" si="47"/>
        <v>33.695792019186115</v>
      </c>
      <c r="FH38" s="22">
        <f t="shared" si="22"/>
        <v>282.83933776674911</v>
      </c>
      <c r="FI38" s="61">
        <f t="shared" si="23"/>
        <v>576.17267110008243</v>
      </c>
      <c r="FJ38" s="61">
        <f ca="1">AVERAGE(OFFSET($FI$3,0,0,'Données projet'!$E$16+1,1))-AVERAGE(OFFSET($H$3,0,0,'Données projet'!$E$16+1,1))</f>
        <v>292.57482726862594</v>
      </c>
      <c r="FK38" s="61">
        <f t="shared" si="48"/>
        <v>283.48738729114024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>
        <f>VLOOKUP(A38,'Données projet'!$A$243:$I$263,2,0)</f>
        <v>116</v>
      </c>
      <c r="FX38" s="13">
        <f>VLOOKUP(A38,'Données projet'!$A$243:$I$263,9,0)</f>
        <v>8</v>
      </c>
      <c r="FY38" s="13">
        <f t="array" ref="FY38">INDEX(FX:FX,MIN(IF(ISNUMBER(FX38:FX234),ROW(FX38:FX234),"")))</f>
        <v>8</v>
      </c>
      <c r="FZ38" s="13">
        <f>IF('Données projet'!$A$244&gt;35,FZ37+FY38-GH37,IF(A38&lt;'Données projet'!$A$244,$FW$205^A38,IF(A38='Données projet'!$A$244,'Données projet'!$B$244,FZ37+FY38-GH37)))</f>
        <v>116</v>
      </c>
      <c r="GA38" s="18">
        <f>FZ38*VLOOKUP('Données projet'!$B$17,Paramètres!$A$1:$I$89,3,0)*VLOOKUP('Données projet'!$B$17,Paramètres!$A$1:$I$89,5,0)</f>
        <v>112.1952</v>
      </c>
      <c r="GB38" s="14">
        <f t="shared" si="49"/>
        <v>29.847594514573263</v>
      </c>
      <c r="GC38" s="22">
        <f t="shared" si="25"/>
        <v>247.39120044621509</v>
      </c>
      <c r="GD38" s="61">
        <f t="shared" si="26"/>
        <v>540.72453377954844</v>
      </c>
      <c r="GE38" s="61">
        <f ca="1">AVERAGE(OFFSET($GD$3,0,0,'Données projet'!$E$17+1,1))-AVERAGE(OFFSET($H$3,0,0,'Données projet'!$E$17+1,1))</f>
        <v>455.50822833641354</v>
      </c>
      <c r="GF38" s="61">
        <f t="shared" si="50"/>
        <v>261.14722581688039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>
        <f>VLOOKUP(A38,'Données projet'!$A$269:$I$289,2,0)</f>
        <v>116</v>
      </c>
      <c r="GS38" s="13">
        <f>VLOOKUP(A38,'Données projet'!$A$269:$I$289,9,0)</f>
        <v>8</v>
      </c>
      <c r="GT38" s="13">
        <f t="array" ref="GT38">INDEX(GS:GS,MIN(IF(ISNUMBER(GS38:GS234),ROW(GS38:GS234),"")))</f>
        <v>8</v>
      </c>
      <c r="GU38" s="13">
        <f>IF('Données projet'!$A$270&gt;35,GU37+GT38-HC37,IF(A38&lt;'Données projet'!$A$270,$GR$205^A38,IF(A38='Données projet'!$A$270,'Données projet'!$B$270,GU37+GT38-HC37)))</f>
        <v>116</v>
      </c>
      <c r="GV38" s="18">
        <f>GU38*VLOOKUP('Données projet'!$B$18,Paramètres!$A$1:$I$89,3,0)*VLOOKUP('Données projet'!$B$18,Paramètres!$A$1:$I$89,5,0)</f>
        <v>124.86239999999999</v>
      </c>
      <c r="GW38" s="14">
        <f t="shared" si="51"/>
        <v>32.806439280561598</v>
      </c>
      <c r="GX38" s="22">
        <f t="shared" si="28"/>
        <v>274.60656174697812</v>
      </c>
      <c r="GY38" s="61">
        <f t="shared" si="29"/>
        <v>567.93989508031143</v>
      </c>
      <c r="GZ38" s="61">
        <f ca="1">AVERAGE(OFFSET($GY$3,0,0,'Données projet'!$E$18+1,1))-AVERAGE(OFFSET($H$3,0,0,'Données projet'!$E$18+1,1))</f>
        <v>502.07782026233912</v>
      </c>
      <c r="HA38" s="61">
        <f t="shared" si="52"/>
        <v>285.83623046025156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112.55712000000001</v>
      </c>
      <c r="P39" s="14">
        <f t="shared" si="33"/>
        <v>29.932653834140599</v>
      </c>
      <c r="Q39" s="22">
        <f t="shared" si="53"/>
        <v>248.16968942779488</v>
      </c>
      <c r="R39" s="61">
        <f t="shared" si="0"/>
        <v>541.50302276112825</v>
      </c>
      <c r="S39" s="61">
        <f ca="1">AVERAGE(OFFSET($R$3,0,0,'Données projet'!$E$9+1,1))-AVERAGE(OFFSET($H$3,0,0,'Données projet'!$E$9+1,1))</f>
        <v>428.8489304403459</v>
      </c>
      <c r="T39" s="61">
        <f t="shared" si="34"/>
        <v>247.01165577562966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1">
        <f t="shared" si="5"/>
        <v>570.68476131278612</v>
      </c>
      <c r="AN39" s="61">
        <f ca="1">AVERAGE(OFFSET($AM$3,0,0,'Données projet'!$E$10+1,1))-AVERAGE(OFFSET($H$3,0,0,'Données projet'!$E$10+1,1))</f>
        <v>475.47920969424894</v>
      </c>
      <c r="AO39" s="61">
        <f t="shared" si="36"/>
        <v>271.73544012419364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19.571428571428573</v>
      </c>
      <c r="BD39" s="13">
        <f>IF('Données projet'!$A$88&gt;35,BD38+BC39-BL38,IF(A39&lt;'Données projet'!$A$88,$BA$205^A39,IF(A39='Données projet'!$A$88,'Données projet'!$B$88,BD38+BC39-BL38)))</f>
        <v>301.57142857142844</v>
      </c>
      <c r="BE39" s="14">
        <f>BD39*VLOOKUP('Données projet'!$B$11,Paramètres!$A$1:$I$89,3,0)*VLOOKUP('Données projet'!$B$11,Paramètres!$A$1:$I$89,5,0)</f>
        <v>168.5784285714285</v>
      </c>
      <c r="BF39" s="14">
        <f t="shared" si="37"/>
        <v>42.771483439273169</v>
      </c>
      <c r="BG39" s="22">
        <f t="shared" si="7"/>
        <v>368.10109675197208</v>
      </c>
      <c r="BH39" s="61">
        <f t="shared" si="8"/>
        <v>661.43443008530539</v>
      </c>
      <c r="BI39" s="61">
        <f ca="1">AVERAGE(OFFSET($BH$3,0,0,'Données projet'!$E$11+1,1))-AVERAGE(OFFSET($H$3,0,0,'Données projet'!$E$11+1,1))</f>
        <v>374.79806286316051</v>
      </c>
      <c r="BJ39" s="61">
        <f t="shared" si="38"/>
        <v>350.01856672839466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18.856528914218341</v>
      </c>
      <c r="BR39" s="23">
        <f>EXP(-LN(2)/2)*BR38+(1-EXP(-LN(2)/2))/(LN(2)/2)*BL39*BO39*VLOOKUP('Données projet'!$B$11,Paramètres!$A$1:$I$89,3,0)*0.475*44/12</f>
        <v>1.3759726302106574</v>
      </c>
      <c r="BS39" s="24">
        <f t="shared" si="9"/>
        <v>20.232501544428999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11.443589743589742</v>
      </c>
      <c r="BY39" s="13">
        <f>IF('Données projet'!$A$114&gt;35,BY38+BX39-CG38,IF(A39&lt;'Données projet'!$A$114,$BV$205^A39,IF(A39='Données projet'!$A$114,'Données projet'!$B$114,BY38+BX39-CG38)))</f>
        <v>215.9153846153846</v>
      </c>
      <c r="BZ39" s="14">
        <f>BY39*VLOOKUP('Données projet'!$B$12,Paramètres!$A$1:$I$89,3,0)*VLOOKUP('Données projet'!$B$12,Paramètres!$A$1:$I$89,5,0)</f>
        <v>101.04839999999999</v>
      </c>
      <c r="CA39" s="14">
        <f t="shared" si="39"/>
        <v>27.21161258263702</v>
      </c>
      <c r="CB39" s="22">
        <f t="shared" si="10"/>
        <v>223.38618858142613</v>
      </c>
      <c r="CC39" s="61">
        <f t="shared" si="11"/>
        <v>516.71952191475941</v>
      </c>
      <c r="CD39" s="61">
        <f ca="1">AVERAGE(OFFSET($CC$3,0,0,'Données projet'!$E$12+1,1))-AVERAGE(OFFSET($H$3,0,0,'Données projet'!$E$12+1,1))</f>
        <v>285.59863510278109</v>
      </c>
      <c r="CE39" s="61">
        <f t="shared" si="40"/>
        <v>190.4880882944471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9</v>
      </c>
      <c r="CT39" s="13">
        <f>IF('Données projet'!$A$140&gt;35,CT38+CS39-DB38,IF(A39&lt;'Données projet'!$A$140,$CQ$205^A39,IF(A39='Données projet'!$A$140,'Données projet'!$B$140,CT38+CS39-DB38)))</f>
        <v>166</v>
      </c>
      <c r="CU39" s="18">
        <f>CT39*VLOOKUP('Données projet'!$B$13,Paramètres!$A$1:$I$89,3,0)*VLOOKUP('Données projet'!$B$13,Paramètres!$A$1:$I$89,5,0)</f>
        <v>79.846000000000004</v>
      </c>
      <c r="CV39" s="14">
        <f t="shared" si="41"/>
        <v>22.099526106492764</v>
      </c>
      <c r="CW39" s="22">
        <f t="shared" si="13"/>
        <v>177.55512463547487</v>
      </c>
      <c r="CX39" s="61">
        <f t="shared" si="14"/>
        <v>470.88845796880821</v>
      </c>
      <c r="CY39" s="61">
        <f ca="1">AVERAGE(OFFSET($CX$3,0,0,'Données projet'!$E$13+1,1))-AVERAGE(OFFSET($H$3,0,0,'Données projet'!$E$13+1,1))</f>
        <v>273.72618036666552</v>
      </c>
      <c r="CZ39" s="61">
        <f t="shared" si="42"/>
        <v>157.67999791700714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7.1794871794871824</v>
      </c>
      <c r="DO39" s="13">
        <f>IF('Données projet'!$A$166&gt;35,DO38+DN39-DW38,IF(A39&lt;'Données projet'!$A$166,$DL$205^A39,IF(A39='Données projet'!$A$166,'Données projet'!$B$166,DO38+DN39-DW38)))</f>
        <v>162.30769230769232</v>
      </c>
      <c r="DP39" s="18">
        <f>DO39*VLOOKUP('Données projet'!$B$14,Paramètres!$A$1:$I$89,3,0)*VLOOKUP('Données projet'!$B$14,Paramètres!$A$1:$I$89,5,0)</f>
        <v>108.87600000000002</v>
      </c>
      <c r="DQ39" s="14">
        <f t="shared" si="43"/>
        <v>29.066003313709242</v>
      </c>
      <c r="DR39" s="22">
        <f t="shared" si="16"/>
        <v>240.24898910471029</v>
      </c>
      <c r="DS39" s="61">
        <f t="shared" si="17"/>
        <v>533.58232243804355</v>
      </c>
      <c r="DT39" s="61">
        <f ca="1">AVERAGE(OFFSET($DS$3,0,0,'Données projet'!$E$14+1,1))-AVERAGE(OFFSET($H$3,0,0,'Données projet'!$E$14+1,1))</f>
        <v>312.06797204903796</v>
      </c>
      <c r="DU39" s="61">
        <f t="shared" si="44"/>
        <v>258.20189001775151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6.6866666666666665</v>
      </c>
      <c r="EJ39" s="13">
        <f>IF('Données projet'!$A$192&gt;35,EJ38+EI39-ER38,IF(A39&lt;'Données projet'!$A$192,$EG$205^A39,IF(A39='Données projet'!$A$192,'Données projet'!$B$192,EJ38+EI39-ER38)))</f>
        <v>98.459999999999937</v>
      </c>
      <c r="EK39" s="18">
        <f>EJ39*VLOOKUP('Données projet'!$B$15,Paramètres!$A$1:$I$89,3,0)*VLOOKUP('Données projet'!$B$15,Paramètres!$A$1:$I$89,5,0)</f>
        <v>79.870751999999953</v>
      </c>
      <c r="EL39" s="14">
        <f t="shared" si="45"/>
        <v>22.105579347499322</v>
      </c>
      <c r="EM39" s="22">
        <f t="shared" si="19"/>
        <v>177.60877709689456</v>
      </c>
      <c r="EN39" s="61">
        <f t="shared" si="20"/>
        <v>470.9421104302279</v>
      </c>
      <c r="EO39" s="61">
        <f ca="1">AVERAGE(OFFSET($EN$3,0,0,'Données projet'!$E$15+1,1))-AVERAGE(OFFSET($H$3,0,0,'Données projet'!$E$15+1,1))</f>
        <v>222.15256609836689</v>
      </c>
      <c r="EP39" s="61">
        <f t="shared" si="46"/>
        <v>221.10360210521077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11.5</v>
      </c>
      <c r="FE39" s="13">
        <f>IF('Données projet'!$A$218&gt;35,FE38+FD39-FM38,IF(A39&lt;'Données projet'!$A$218,$FB$205^A39,IF(A39='Données projet'!$A$218,'Données projet'!$B$218,FE38+FD39-FM38)))</f>
        <v>176.49999999999997</v>
      </c>
      <c r="FF39" s="18">
        <f>FE39*VLOOKUP('Données projet'!$B$16,Paramètres!$A$1:$I$89,3,0)*VLOOKUP('Données projet'!$B$16,Paramètres!$A$1:$I$89,5,0)</f>
        <v>137.66999999999999</v>
      </c>
      <c r="FG39" s="14">
        <f t="shared" si="47"/>
        <v>35.762714965854656</v>
      </c>
      <c r="FH39" s="22">
        <f t="shared" si="22"/>
        <v>302.06197856553018</v>
      </c>
      <c r="FI39" s="61">
        <f t="shared" si="23"/>
        <v>595.3953118988635</v>
      </c>
      <c r="FJ39" s="61">
        <f ca="1">AVERAGE(OFFSET($FI$3,0,0,'Données projet'!$E$16+1,1))-AVERAGE(OFFSET($H$3,0,0,'Données projet'!$E$16+1,1))</f>
        <v>292.57482726862594</v>
      </c>
      <c r="FK39" s="61">
        <f t="shared" si="48"/>
        <v>283.48738729114024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8.4</v>
      </c>
      <c r="FZ39" s="13">
        <f>IF('Données projet'!$A$244&gt;35,FZ38+FY39-GH38,IF(A39&lt;'Données projet'!$A$244,$FW$205^A39,IF(A39='Données projet'!$A$244,'Données projet'!$B$244,FZ38+FY39-GH38)))</f>
        <v>124.4</v>
      </c>
      <c r="GA39" s="18">
        <f>FZ39*VLOOKUP('Données projet'!$B$17,Paramètres!$A$1:$I$89,3,0)*VLOOKUP('Données projet'!$B$17,Paramètres!$A$1:$I$89,5,0)</f>
        <v>120.31968000000001</v>
      </c>
      <c r="GB39" s="14">
        <f t="shared" si="49"/>
        <v>31.74954785566829</v>
      </c>
      <c r="GC39" s="22">
        <f t="shared" si="25"/>
        <v>264.85390518195555</v>
      </c>
      <c r="GD39" s="61">
        <f t="shared" si="26"/>
        <v>558.18723851528887</v>
      </c>
      <c r="GE39" s="61">
        <f ca="1">AVERAGE(OFFSET($GD$3,0,0,'Données projet'!$E$17+1,1))-AVERAGE(OFFSET($H$3,0,0,'Données projet'!$E$17+1,1))</f>
        <v>455.50822833641354</v>
      </c>
      <c r="GF39" s="61">
        <f t="shared" si="50"/>
        <v>261.14722581688039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8.4</v>
      </c>
      <c r="GU39" s="13">
        <f>IF('Données projet'!$A$270&gt;35,GU38+GT39-HC38,IF(A39&lt;'Données projet'!$A$270,$GR$205^A39,IF(A39='Données projet'!$A$270,'Données projet'!$B$270,GU38+GT39-HC38)))</f>
        <v>124.4</v>
      </c>
      <c r="GV39" s="18">
        <f>GU39*VLOOKUP('Données projet'!$B$18,Paramètres!$A$1:$I$89,3,0)*VLOOKUP('Données projet'!$B$18,Paramètres!$A$1:$I$89,5,0)</f>
        <v>133.90415999999999</v>
      </c>
      <c r="GW39" s="14">
        <f t="shared" si="51"/>
        <v>34.896936615903982</v>
      </c>
      <c r="GX39" s="22">
        <f t="shared" si="28"/>
        <v>293.99524327269938</v>
      </c>
      <c r="GY39" s="61">
        <f t="shared" si="29"/>
        <v>587.3285766060327</v>
      </c>
      <c r="GZ39" s="61">
        <f ca="1">AVERAGE(OFFSET($GY$3,0,0,'Données projet'!$E$18+1,1))-AVERAGE(OFFSET($H$3,0,0,'Données projet'!$E$18+1,1))</f>
        <v>502.07782026233912</v>
      </c>
      <c r="HA39" s="61">
        <f t="shared" si="52"/>
        <v>285.83623046025156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120.15744000000001</v>
      </c>
      <c r="P40" s="14">
        <f t="shared" si="33"/>
        <v>31.711716786129845</v>
      </c>
      <c r="Q40" s="22">
        <f t="shared" si="53"/>
        <v>264.50544806917611</v>
      </c>
      <c r="R40" s="61">
        <f t="shared" si="0"/>
        <v>557.83878140250943</v>
      </c>
      <c r="S40" s="61">
        <f ca="1">AVERAGE(OFFSET($R$3,0,0,'Données projet'!$E$9+1,1))-AVERAGE(OFFSET($H$3,0,0,'Données projet'!$E$9+1,1))</f>
        <v>428.8489304403459</v>
      </c>
      <c r="T40" s="61">
        <f t="shared" si="34"/>
        <v>247.01165577562966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1">
        <f t="shared" si="5"/>
        <v>588.9463250104435</v>
      </c>
      <c r="AN40" s="61">
        <f ca="1">AVERAGE(OFFSET($AM$3,0,0,'Données projet'!$E$10+1,1))-AVERAGE(OFFSET($H$3,0,0,'Données projet'!$E$10+1,1))</f>
        <v>475.47920969424894</v>
      </c>
      <c r="AO40" s="61">
        <f t="shared" si="36"/>
        <v>271.73544012419364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19.571428571428573</v>
      </c>
      <c r="BD40" s="13">
        <f>IF('Données projet'!$A$88&gt;35,BD39+BC40-BL39,IF(A40&lt;'Données projet'!$A$88,$BA$205^A40,IF(A40='Données projet'!$A$88,'Données projet'!$B$88,BD39+BC40-BL39)))</f>
        <v>321.142857142857</v>
      </c>
      <c r="BE40" s="14">
        <f>BD40*VLOOKUP('Données projet'!$B$11,Paramètres!$A$1:$I$89,3,0)*VLOOKUP('Données projet'!$B$11,Paramètres!$A$1:$I$89,5,0)</f>
        <v>179.51885714285706</v>
      </c>
      <c r="BF40" s="14">
        <f t="shared" si="37"/>
        <v>45.215124075787188</v>
      </c>
      <c r="BG40" s="22">
        <f t="shared" si="7"/>
        <v>391.41168395580547</v>
      </c>
      <c r="BH40" s="61">
        <f t="shared" si="8"/>
        <v>684.74501728913879</v>
      </c>
      <c r="BI40" s="61">
        <f ca="1">AVERAGE(OFFSET($BH$3,0,0,'Données projet'!$E$11+1,1))-AVERAGE(OFFSET($H$3,0,0,'Données projet'!$E$11+1,1))</f>
        <v>374.79806286316051</v>
      </c>
      <c r="BJ40" s="61">
        <f t="shared" si="38"/>
        <v>350.01856672839466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18.340896139437284</v>
      </c>
      <c r="BR40" s="23">
        <f>EXP(-LN(2)/2)*BR39+(1-EXP(-LN(2)/2))/(LN(2)/2)*BL40*BO40*VLOOKUP('Données projet'!$B$11,Paramètres!$A$1:$I$89,3,0)*0.475*44/12</f>
        <v>0.97295957754904572</v>
      </c>
      <c r="BS40" s="24">
        <f t="shared" si="9"/>
        <v>19.313855716986328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11.443589743589742</v>
      </c>
      <c r="BY40" s="13">
        <f>IF('Données projet'!$A$114&gt;35,BY39+BX40-CG39,IF(A40&lt;'Données projet'!$A$114,$BV$205^A40,IF(A40='Données projet'!$A$114,'Données projet'!$B$114,BY39+BX40-CG39)))</f>
        <v>227.35897435897434</v>
      </c>
      <c r="BZ40" s="14">
        <f>BY40*VLOOKUP('Données projet'!$B$12,Paramètres!$A$1:$I$89,3,0)*VLOOKUP('Données projet'!$B$12,Paramètres!$A$1:$I$89,5,0)</f>
        <v>106.40399999999998</v>
      </c>
      <c r="CA40" s="14">
        <f t="shared" si="39"/>
        <v>28.482106989387589</v>
      </c>
      <c r="CB40" s="22">
        <f t="shared" si="10"/>
        <v>234.92663633985001</v>
      </c>
      <c r="CC40" s="61">
        <f t="shared" si="11"/>
        <v>528.25996967318338</v>
      </c>
      <c r="CD40" s="61">
        <f ca="1">AVERAGE(OFFSET($CC$3,0,0,'Données projet'!$E$12+1,1))-AVERAGE(OFFSET($H$3,0,0,'Données projet'!$E$12+1,1))</f>
        <v>285.59863510278109</v>
      </c>
      <c r="CE40" s="61">
        <f t="shared" si="40"/>
        <v>190.4880882944471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9</v>
      </c>
      <c r="CT40" s="13">
        <f>IF('Données projet'!$A$140&gt;35,CT39+CS40-DB39,IF(A40&lt;'Données projet'!$A$140,$CQ$205^A40,IF(A40='Données projet'!$A$140,'Données projet'!$B$140,CT39+CS40-DB39)))</f>
        <v>175</v>
      </c>
      <c r="CU40" s="18">
        <f>CT40*VLOOKUP('Données projet'!$B$13,Paramètres!$A$1:$I$89,3,0)*VLOOKUP('Données projet'!$B$13,Paramètres!$A$1:$I$89,5,0)</f>
        <v>84.174999999999997</v>
      </c>
      <c r="CV40" s="14">
        <f t="shared" si="41"/>
        <v>23.154951420465835</v>
      </c>
      <c r="CW40" s="22">
        <f t="shared" si="13"/>
        <v>186.93299872397799</v>
      </c>
      <c r="CX40" s="61">
        <f t="shared" si="14"/>
        <v>480.26633205731127</v>
      </c>
      <c r="CY40" s="61">
        <f ca="1">AVERAGE(OFFSET($CX$3,0,0,'Données projet'!$E$13+1,1))-AVERAGE(OFFSET($H$3,0,0,'Données projet'!$E$13+1,1))</f>
        <v>273.72618036666552</v>
      </c>
      <c r="CZ40" s="61">
        <f t="shared" si="42"/>
        <v>157.67999791700714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7.1794871794871824</v>
      </c>
      <c r="DO40" s="13">
        <f>IF('Données projet'!$A$166&gt;35,DO39+DN40-DW39,IF(A40&lt;'Données projet'!$A$166,$DL$205^A40,IF(A40='Données projet'!$A$166,'Données projet'!$B$166,DO39+DN40-DW39)))</f>
        <v>169.4871794871795</v>
      </c>
      <c r="DP40" s="18">
        <f>DO40*VLOOKUP('Données projet'!$B$14,Paramètres!$A$1:$I$89,3,0)*VLOOKUP('Données projet'!$B$14,Paramètres!$A$1:$I$89,5,0)</f>
        <v>113.69200000000001</v>
      </c>
      <c r="DQ40" s="14">
        <f t="shared" si="43"/>
        <v>30.199170227619074</v>
      </c>
      <c r="DR40" s="22">
        <f t="shared" si="16"/>
        <v>250.61045481310325</v>
      </c>
      <c r="DS40" s="61">
        <f t="shared" si="17"/>
        <v>543.94378814643653</v>
      </c>
      <c r="DT40" s="61">
        <f ca="1">AVERAGE(OFFSET($DS$3,0,0,'Données projet'!$E$14+1,1))-AVERAGE(OFFSET($H$3,0,0,'Données projet'!$E$14+1,1))</f>
        <v>312.06797204903796</v>
      </c>
      <c r="DU40" s="61">
        <f t="shared" si="44"/>
        <v>258.20189001775151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6.6866666666666665</v>
      </c>
      <c r="EJ40" s="13">
        <f>IF('Données projet'!$A$192&gt;35,EJ39+EI40-ER39,IF(A40&lt;'Données projet'!$A$192,$EG$205^A40,IF(A40='Données projet'!$A$192,'Données projet'!$B$192,EJ39+EI40-ER39)))</f>
        <v>105.1466666666666</v>
      </c>
      <c r="EK40" s="18">
        <f>EJ40*VLOOKUP('Données projet'!$B$15,Paramètres!$A$1:$I$89,3,0)*VLOOKUP('Données projet'!$B$15,Paramètres!$A$1:$I$89,5,0)</f>
        <v>85.294975999999949</v>
      </c>
      <c r="EL40" s="14">
        <f t="shared" si="45"/>
        <v>23.426964879059568</v>
      </c>
      <c r="EM40" s="22">
        <f t="shared" si="19"/>
        <v>189.357380364362</v>
      </c>
      <c r="EN40" s="61">
        <f t="shared" si="20"/>
        <v>482.69071369769529</v>
      </c>
      <c r="EO40" s="61">
        <f ca="1">AVERAGE(OFFSET($EN$3,0,0,'Données projet'!$E$15+1,1))-AVERAGE(OFFSET($H$3,0,0,'Données projet'!$E$15+1,1))</f>
        <v>222.15256609836689</v>
      </c>
      <c r="EP40" s="61">
        <f t="shared" si="46"/>
        <v>221.10360210521077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>
        <f>VLOOKUP(A40,'Données projet'!$A$217:$I$237,2,0)</f>
        <v>188</v>
      </c>
      <c r="FC40" s="13">
        <f>VLOOKUP(A40,'Données projet'!$A$217:$I$237,9,0)</f>
        <v>11.5</v>
      </c>
      <c r="FD40" s="13">
        <f t="array" ref="FD40">INDEX(FC:FC,MIN(IF(ISNUMBER(FC40:FC236),ROW(FC40:FC236),"")))</f>
        <v>11.5</v>
      </c>
      <c r="FE40" s="13">
        <f>IF('Données projet'!$A$218&gt;35,FE39+FD40-FM39,IF(A40&lt;'Données projet'!$A$218,$FB$205^A40,IF(A40='Données projet'!$A$218,'Données projet'!$B$218,FE39+FD40-FM39)))</f>
        <v>187.99999999999997</v>
      </c>
      <c r="FF40" s="18">
        <f>FE40*VLOOKUP('Données projet'!$B$16,Paramètres!$A$1:$I$89,3,0)*VLOOKUP('Données projet'!$B$16,Paramètres!$A$1:$I$89,5,0)</f>
        <v>146.63999999999999</v>
      </c>
      <c r="FG40" s="14">
        <f t="shared" si="47"/>
        <v>37.814009712703026</v>
      </c>
      <c r="FH40" s="22">
        <f t="shared" si="22"/>
        <v>321.25740024962437</v>
      </c>
      <c r="FI40" s="61">
        <f t="shared" si="23"/>
        <v>614.59073358295768</v>
      </c>
      <c r="FJ40" s="61">
        <f ca="1">AVERAGE(OFFSET($FI$3,0,0,'Données projet'!$E$16+1,1))-AVERAGE(OFFSET($H$3,0,0,'Données projet'!$E$16+1,1))</f>
        <v>292.57482726862594</v>
      </c>
      <c r="FK40" s="61">
        <f t="shared" si="48"/>
        <v>283.48738729114024</v>
      </c>
      <c r="FL40" s="16">
        <f>IF(ISNA(VLOOKUP(A40,'Données projet'!$A$217:$I$237,3,0)),0,VLOOKUP(A40,'Données projet'!$A$217:$I$237,3,0))</f>
        <v>3</v>
      </c>
      <c r="FM40" s="16">
        <f>IF(ISNA(VLOOKUP(A40,'Données projet'!$A$217:$I$237,4,0)),0,VLOOKUP(A40,'Données projet'!$A$217:$I$237,4,0))</f>
        <v>36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8.4</v>
      </c>
      <c r="FZ40" s="13">
        <f>IF('Données projet'!$A$244&gt;35,FZ39+FY40-GH39,IF(A40&lt;'Données projet'!$A$244,$FW$205^A40,IF(A40='Données projet'!$A$244,'Données projet'!$B$244,FZ39+FY40-GH39)))</f>
        <v>132.80000000000001</v>
      </c>
      <c r="GA40" s="18">
        <f>FZ40*VLOOKUP('Données projet'!$B$17,Paramètres!$A$1:$I$89,3,0)*VLOOKUP('Données projet'!$B$17,Paramètres!$A$1:$I$89,5,0)</f>
        <v>128.44416000000001</v>
      </c>
      <c r="GB40" s="14">
        <f t="shared" si="49"/>
        <v>33.636598855068925</v>
      </c>
      <c r="GC40" s="22">
        <f t="shared" si="25"/>
        <v>282.29065500591173</v>
      </c>
      <c r="GD40" s="61">
        <f t="shared" si="26"/>
        <v>575.62398833924499</v>
      </c>
      <c r="GE40" s="61">
        <f ca="1">AVERAGE(OFFSET($GD$3,0,0,'Données projet'!$E$17+1,1))-AVERAGE(OFFSET($H$3,0,0,'Données projet'!$E$17+1,1))</f>
        <v>455.50822833641354</v>
      </c>
      <c r="GF40" s="61">
        <f t="shared" si="50"/>
        <v>261.14722581688039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8.4</v>
      </c>
      <c r="GU40" s="13">
        <f>IF('Données projet'!$A$270&gt;35,GU39+GT40-HC39,IF(A40&lt;'Données projet'!$A$270,$GR$205^A40,IF(A40='Données projet'!$A$270,'Données projet'!$B$270,GU39+GT40-HC39)))</f>
        <v>132.80000000000001</v>
      </c>
      <c r="GV40" s="18">
        <f>GU40*VLOOKUP('Données projet'!$B$18,Paramètres!$A$1:$I$89,3,0)*VLOOKUP('Données projet'!$B$18,Paramètres!$A$1:$I$89,5,0)</f>
        <v>142.94592</v>
      </c>
      <c r="GW40" s="14">
        <f t="shared" si="51"/>
        <v>36.971054314096854</v>
      </c>
      <c r="GX40" s="22">
        <f t="shared" si="28"/>
        <v>313.35539693038533</v>
      </c>
      <c r="GY40" s="61">
        <f t="shared" si="29"/>
        <v>606.68873026371864</v>
      </c>
      <c r="GZ40" s="61">
        <f ca="1">AVERAGE(OFFSET($GY$3,0,0,'Données projet'!$E$18+1,1))-AVERAGE(OFFSET($H$3,0,0,'Données projet'!$E$18+1,1))</f>
        <v>502.07782026233912</v>
      </c>
      <c r="HA40" s="61">
        <f t="shared" si="52"/>
        <v>285.83623046025156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127.75776</v>
      </c>
      <c r="P41" s="14">
        <f t="shared" si="33"/>
        <v>33.477720030956604</v>
      </c>
      <c r="Q41" s="22">
        <f t="shared" si="53"/>
        <v>280.81846105391611</v>
      </c>
      <c r="R41" s="61">
        <f t="shared" si="0"/>
        <v>574.15179438724942</v>
      </c>
      <c r="S41" s="61">
        <f ca="1">AVERAGE(OFFSET($R$3,0,0,'Données projet'!$E$9+1,1))-AVERAGE(OFFSET($H$3,0,0,'Données projet'!$E$9+1,1))</f>
        <v>428.8489304403459</v>
      </c>
      <c r="T41" s="61">
        <f t="shared" si="34"/>
        <v>247.01165577562966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1">
        <f t="shared" si="5"/>
        <v>607.18273374145838</v>
      </c>
      <c r="AN41" s="61">
        <f ca="1">AVERAGE(OFFSET($AM$3,0,0,'Données projet'!$E$10+1,1))-AVERAGE(OFFSET($H$3,0,0,'Données projet'!$E$10+1,1))</f>
        <v>475.47920969424894</v>
      </c>
      <c r="AO41" s="61">
        <f t="shared" si="36"/>
        <v>271.73544012419364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19.571428571428573</v>
      </c>
      <c r="BD41" s="13">
        <f>IF('Données projet'!$A$88&gt;35,BD40+BC41-BL40,IF(A41&lt;'Données projet'!$A$88,$BA$205^A41,IF(A41='Données projet'!$A$88,'Données projet'!$B$88,BD40+BC41-BL40)))</f>
        <v>340.71428571428555</v>
      </c>
      <c r="BE41" s="14">
        <f>BD41*VLOOKUP('Données projet'!$B$11,Paramètres!$A$1:$I$89,3,0)*VLOOKUP('Données projet'!$B$11,Paramètres!$A$1:$I$89,5,0)</f>
        <v>190.45928571428561</v>
      </c>
      <c r="BF41" s="14">
        <f t="shared" si="37"/>
        <v>47.641480128932045</v>
      </c>
      <c r="BG41" s="22">
        <f t="shared" si="7"/>
        <v>414.6921671769374</v>
      </c>
      <c r="BH41" s="61">
        <f t="shared" si="8"/>
        <v>708.02550051027072</v>
      </c>
      <c r="BI41" s="61">
        <f ca="1">AVERAGE(OFFSET($BH$3,0,0,'Données projet'!$E$11+1,1))-AVERAGE(OFFSET($H$3,0,0,'Données projet'!$E$11+1,1))</f>
        <v>374.79806286316051</v>
      </c>
      <c r="BJ41" s="61">
        <f t="shared" si="38"/>
        <v>350.01856672839466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17.839363369998562</v>
      </c>
      <c r="BR41" s="23">
        <f>EXP(-LN(2)/2)*BR40+(1-EXP(-LN(2)/2))/(LN(2)/2)*BL41*BO41*VLOOKUP('Données projet'!$B$11,Paramètres!$A$1:$I$89,3,0)*0.475*44/12</f>
        <v>0.68798631510532882</v>
      </c>
      <c r="BS41" s="24">
        <f t="shared" si="9"/>
        <v>18.527349685103889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11.443589743589742</v>
      </c>
      <c r="BY41" s="13">
        <f>IF('Données projet'!$A$114&gt;35,BY40+BX41-CG40,IF(A41&lt;'Données projet'!$A$114,$BV$205^A41,IF(A41='Données projet'!$A$114,'Données projet'!$B$114,BY40+BX41-CG40)))</f>
        <v>238.80256410256408</v>
      </c>
      <c r="BZ41" s="14">
        <f>BY41*VLOOKUP('Données projet'!$B$12,Paramètres!$A$1:$I$89,3,0)*VLOOKUP('Données projet'!$B$12,Paramètres!$A$1:$I$89,5,0)</f>
        <v>111.75959999999998</v>
      </c>
      <c r="CA41" s="14">
        <f t="shared" si="39"/>
        <v>29.745176370290782</v>
      </c>
      <c r="CB41" s="22">
        <f t="shared" si="10"/>
        <v>246.45415217825635</v>
      </c>
      <c r="CC41" s="61">
        <f t="shared" si="11"/>
        <v>539.78748551158969</v>
      </c>
      <c r="CD41" s="61">
        <f ca="1">AVERAGE(OFFSET($CC$3,0,0,'Données projet'!$E$12+1,1))-AVERAGE(OFFSET($H$3,0,0,'Données projet'!$E$12+1,1))</f>
        <v>285.59863510278109</v>
      </c>
      <c r="CE41" s="61">
        <f t="shared" si="40"/>
        <v>190.4880882944471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9</v>
      </c>
      <c r="CT41" s="13">
        <f>IF('Données projet'!$A$140&gt;35,CT40+CS41-DB40,IF(A41&lt;'Données projet'!$A$140,$CQ$205^A41,IF(A41='Données projet'!$A$140,'Données projet'!$B$140,CT40+CS41-DB40)))</f>
        <v>184</v>
      </c>
      <c r="CU41" s="18">
        <f>CT41*VLOOKUP('Données projet'!$B$13,Paramètres!$A$1:$I$89,3,0)*VLOOKUP('Données projet'!$B$13,Paramètres!$A$1:$I$89,5,0)</f>
        <v>88.504000000000005</v>
      </c>
      <c r="CV41" s="14">
        <f t="shared" si="41"/>
        <v>24.204074597328468</v>
      </c>
      <c r="CW41" s="22">
        <f t="shared" si="13"/>
        <v>196.29989659034709</v>
      </c>
      <c r="CX41" s="61">
        <f t="shared" si="14"/>
        <v>489.6332299236804</v>
      </c>
      <c r="CY41" s="61">
        <f ca="1">AVERAGE(OFFSET($CX$3,0,0,'Données projet'!$E$13+1,1))-AVERAGE(OFFSET($H$3,0,0,'Données projet'!$E$13+1,1))</f>
        <v>273.72618036666552</v>
      </c>
      <c r="CZ41" s="61">
        <f t="shared" si="42"/>
        <v>157.67999791700714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7.1794871794871824</v>
      </c>
      <c r="DO41" s="13">
        <f>IF('Données projet'!$A$166&gt;35,DO40+DN41-DW40,IF(A41&lt;'Données projet'!$A$166,$DL$205^A41,IF(A41='Données projet'!$A$166,'Données projet'!$B$166,DO40+DN41-DW40)))</f>
        <v>176.66666666666669</v>
      </c>
      <c r="DP41" s="18">
        <f>DO41*VLOOKUP('Données projet'!$B$14,Paramètres!$A$1:$I$89,3,0)*VLOOKUP('Données projet'!$B$14,Paramètres!$A$1:$I$89,5,0)</f>
        <v>118.50800000000001</v>
      </c>
      <c r="DQ41" s="14">
        <f t="shared" si="43"/>
        <v>31.326761814194999</v>
      </c>
      <c r="DR41" s="22">
        <f t="shared" si="16"/>
        <v>260.96221015972299</v>
      </c>
      <c r="DS41" s="61">
        <f t="shared" si="17"/>
        <v>554.29554349305636</v>
      </c>
      <c r="DT41" s="61">
        <f ca="1">AVERAGE(OFFSET($DS$3,0,0,'Données projet'!$E$14+1,1))-AVERAGE(OFFSET($H$3,0,0,'Données projet'!$E$14+1,1))</f>
        <v>312.06797204903796</v>
      </c>
      <c r="DU41" s="61">
        <f t="shared" si="44"/>
        <v>258.20189001775151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6.6866666666666665</v>
      </c>
      <c r="EJ41" s="13">
        <f>IF('Données projet'!$A$192&gt;35,EJ40+EI41-ER40,IF(A41&lt;'Données projet'!$A$192,$EG$205^A41,IF(A41='Données projet'!$A$192,'Données projet'!$B$192,EJ40+EI41-ER40)))</f>
        <v>111.83333333333327</v>
      </c>
      <c r="EK41" s="18">
        <f>EJ41*VLOOKUP('Données projet'!$B$15,Paramètres!$A$1:$I$89,3,0)*VLOOKUP('Données projet'!$B$15,Paramètres!$A$1:$I$89,5,0)</f>
        <v>90.719199999999958</v>
      </c>
      <c r="EL41" s="14">
        <f t="shared" si="45"/>
        <v>24.738598284175705</v>
      </c>
      <c r="EM41" s="22">
        <f t="shared" si="19"/>
        <v>201.08899867827259</v>
      </c>
      <c r="EN41" s="61">
        <f t="shared" si="20"/>
        <v>494.42233201160593</v>
      </c>
      <c r="EO41" s="61">
        <f ca="1">AVERAGE(OFFSET($EN$3,0,0,'Données projet'!$E$15+1,1))-AVERAGE(OFFSET($H$3,0,0,'Données projet'!$E$15+1,1))</f>
        <v>222.15256609836689</v>
      </c>
      <c r="EP41" s="61">
        <f t="shared" si="46"/>
        <v>221.10360210521077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11.142857142857142</v>
      </c>
      <c r="FE41" s="13">
        <f>IF('Données projet'!$A$218&gt;35,FE40+FD41-FM40,IF(A41&lt;'Données projet'!$A$218,$FB$205^A41,IF(A41='Données projet'!$A$218,'Données projet'!$B$218,FE40+FD41-FM40)))</f>
        <v>163.14285714285711</v>
      </c>
      <c r="FF41" s="18">
        <f>FE41*VLOOKUP('Données projet'!$B$16,Paramètres!$A$1:$I$89,3,0)*VLOOKUP('Données projet'!$B$16,Paramètres!$A$1:$I$89,5,0)</f>
        <v>127.25142857142855</v>
      </c>
      <c r="FG41" s="14">
        <f t="shared" si="47"/>
        <v>33.360457439554281</v>
      </c>
      <c r="FH41" s="22">
        <f t="shared" si="22"/>
        <v>279.73236813579507</v>
      </c>
      <c r="FI41" s="61">
        <f t="shared" si="23"/>
        <v>573.06570146912838</v>
      </c>
      <c r="FJ41" s="61">
        <f ca="1">AVERAGE(OFFSET($FI$3,0,0,'Données projet'!$E$16+1,1))-AVERAGE(OFFSET($H$3,0,0,'Données projet'!$E$16+1,1))</f>
        <v>292.57482726862594</v>
      </c>
      <c r="FK41" s="61">
        <f t="shared" si="48"/>
        <v>283.48738729114024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8.4</v>
      </c>
      <c r="FZ41" s="13">
        <f>IF('Données projet'!$A$244&gt;35,FZ40+FY41-GH40,IF(A41&lt;'Données projet'!$A$244,$FW$205^A41,IF(A41='Données projet'!$A$244,'Données projet'!$B$244,FZ40+FY41-GH40)))</f>
        <v>141.20000000000002</v>
      </c>
      <c r="GA41" s="18">
        <f>FZ41*VLOOKUP('Données projet'!$B$17,Paramètres!$A$1:$I$89,3,0)*VLOOKUP('Données projet'!$B$17,Paramètres!$A$1:$I$89,5,0)</f>
        <v>136.56864000000002</v>
      </c>
      <c r="GB41" s="14">
        <f t="shared" si="49"/>
        <v>35.509797430964703</v>
      </c>
      <c r="GC41" s="22">
        <f t="shared" si="25"/>
        <v>299.70327852559689</v>
      </c>
      <c r="GD41" s="61">
        <f t="shared" si="26"/>
        <v>593.0366118589302</v>
      </c>
      <c r="GE41" s="61">
        <f ca="1">AVERAGE(OFFSET($GD$3,0,0,'Données projet'!$E$17+1,1))-AVERAGE(OFFSET($H$3,0,0,'Données projet'!$E$17+1,1))</f>
        <v>455.50822833641354</v>
      </c>
      <c r="GF41" s="61">
        <f t="shared" si="50"/>
        <v>261.14722581688039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8.4</v>
      </c>
      <c r="GU41" s="13">
        <f>IF('Données projet'!$A$270&gt;35,GU40+GT41-HC40,IF(A41&lt;'Données projet'!$A$270,$GR$205^A41,IF(A41='Données projet'!$A$270,'Données projet'!$B$270,GU40+GT41-HC40)))</f>
        <v>141.20000000000002</v>
      </c>
      <c r="GV41" s="18">
        <f>GU41*VLOOKUP('Données projet'!$B$18,Paramètres!$A$1:$I$89,3,0)*VLOOKUP('Données projet'!$B$18,Paramètres!$A$1:$I$89,5,0)</f>
        <v>151.98768000000001</v>
      </c>
      <c r="GW41" s="14">
        <f t="shared" si="51"/>
        <v>39.029946373574369</v>
      </c>
      <c r="GX41" s="22">
        <f t="shared" si="28"/>
        <v>332.68903260064207</v>
      </c>
      <c r="GY41" s="61">
        <f t="shared" si="29"/>
        <v>626.02236593397538</v>
      </c>
      <c r="GZ41" s="61">
        <f ca="1">AVERAGE(OFFSET($GY$3,0,0,'Données projet'!$E$18+1,1))-AVERAGE(OFFSET($H$3,0,0,'Données projet'!$E$18+1,1))</f>
        <v>502.07782026233912</v>
      </c>
      <c r="HA41" s="61">
        <f t="shared" si="52"/>
        <v>285.83623046025156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135.35808</v>
      </c>
      <c r="P42" s="14">
        <f t="shared" si="33"/>
        <v>35.231528980112834</v>
      </c>
      <c r="Q42" s="22">
        <f t="shared" si="53"/>
        <v>297.11023564036316</v>
      </c>
      <c r="R42" s="61">
        <f t="shared" si="0"/>
        <v>590.44356897369653</v>
      </c>
      <c r="S42" s="61">
        <f ca="1">AVERAGE(OFFSET($R$3,0,0,'Données projet'!$E$9+1,1))-AVERAGE(OFFSET($H$3,0,0,'Données projet'!$E$9+1,1))</f>
        <v>428.8489304403459</v>
      </c>
      <c r="T42" s="61">
        <f t="shared" si="34"/>
        <v>247.01165577562966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1">
        <f t="shared" si="5"/>
        <v>625.39565441895047</v>
      </c>
      <c r="AN42" s="61">
        <f ca="1">AVERAGE(OFFSET($AM$3,0,0,'Données projet'!$E$10+1,1))-AVERAGE(OFFSET($H$3,0,0,'Données projet'!$E$10+1,1))</f>
        <v>475.47920969424894</v>
      </c>
      <c r="AO42" s="61">
        <f t="shared" si="36"/>
        <v>271.73544012419364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19.571428571428573</v>
      </c>
      <c r="BD42" s="13">
        <f>IF('Données projet'!$A$88&gt;35,BD41+BC42-BL41,IF(A42&lt;'Données projet'!$A$88,$BA$205^A42,IF(A42='Données projet'!$A$88,'Données projet'!$B$88,BD41+BC42-BL41)))</f>
        <v>360.28571428571411</v>
      </c>
      <c r="BE42" s="14">
        <f>BD42*VLOOKUP('Données projet'!$B$11,Paramètres!$A$1:$I$89,3,0)*VLOOKUP('Données projet'!$B$11,Paramètres!$A$1:$I$89,5,0)</f>
        <v>201.39971428571417</v>
      </c>
      <c r="BF42" s="14">
        <f t="shared" si="37"/>
        <v>50.051657588658017</v>
      </c>
      <c r="BG42" s="22">
        <f t="shared" si="7"/>
        <v>437.94447268119819</v>
      </c>
      <c r="BH42" s="61">
        <f t="shared" si="8"/>
        <v>731.27780601453151</v>
      </c>
      <c r="BI42" s="61">
        <f ca="1">AVERAGE(OFFSET($BH$3,0,0,'Données projet'!$E$11+1,1))-AVERAGE(OFFSET($H$3,0,0,'Données projet'!$E$11+1,1))</f>
        <v>374.79806286316051</v>
      </c>
      <c r="BJ42" s="61">
        <f t="shared" si="38"/>
        <v>350.01856672839466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17.351545040514605</v>
      </c>
      <c r="BR42" s="23">
        <f>EXP(-LN(2)/2)*BR41+(1-EXP(-LN(2)/2))/(LN(2)/2)*BL42*BO42*VLOOKUP('Données projet'!$B$11,Paramètres!$A$1:$I$89,3,0)*0.475*44/12</f>
        <v>0.48647978877452291</v>
      </c>
      <c r="BS42" s="24">
        <f t="shared" si="9"/>
        <v>17.838024829289129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11.443589743589742</v>
      </c>
      <c r="BY42" s="13">
        <f>IF('Données projet'!$A$114&gt;35,BY41+BX42-CG41,IF(A42&lt;'Données projet'!$A$114,$BV$205^A42,IF(A42='Données projet'!$A$114,'Données projet'!$B$114,BY41+BX42-CG41)))</f>
        <v>250.24615384615382</v>
      </c>
      <c r="BZ42" s="14">
        <f>BY42*VLOOKUP('Données projet'!$B$12,Paramètres!$A$1:$I$89,3,0)*VLOOKUP('Données projet'!$B$12,Paramètres!$A$1:$I$89,5,0)</f>
        <v>117.11519999999997</v>
      </c>
      <c r="CA42" s="14">
        <f t="shared" si="39"/>
        <v>31.001217159106822</v>
      </c>
      <c r="CB42" s="22">
        <f t="shared" si="10"/>
        <v>257.96942655211097</v>
      </c>
      <c r="CC42" s="61">
        <f t="shared" si="11"/>
        <v>551.30275988544429</v>
      </c>
      <c r="CD42" s="61">
        <f ca="1">AVERAGE(OFFSET($CC$3,0,0,'Données projet'!$E$12+1,1))-AVERAGE(OFFSET($H$3,0,0,'Données projet'!$E$12+1,1))</f>
        <v>285.59863510278109</v>
      </c>
      <c r="CE42" s="61">
        <f t="shared" si="40"/>
        <v>190.4880882944471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9</v>
      </c>
      <c r="CT42" s="13">
        <f>IF('Données projet'!$A$140&gt;35,CT41+CS42-DB41,IF(A42&lt;'Données projet'!$A$140,$CQ$205^A42,IF(A42='Données projet'!$A$140,'Données projet'!$B$140,CT41+CS42-DB41)))</f>
        <v>193</v>
      </c>
      <c r="CU42" s="18">
        <f>CT42*VLOOKUP('Données projet'!$B$13,Paramètres!$A$1:$I$89,3,0)*VLOOKUP('Données projet'!$B$13,Paramètres!$A$1:$I$89,5,0)</f>
        <v>92.832999999999998</v>
      </c>
      <c r="CV42" s="14">
        <f t="shared" si="41"/>
        <v>25.247239077388961</v>
      </c>
      <c r="CW42" s="22">
        <f t="shared" si="13"/>
        <v>205.65641639311912</v>
      </c>
      <c r="CX42" s="61">
        <f t="shared" si="14"/>
        <v>498.98974972645243</v>
      </c>
      <c r="CY42" s="61">
        <f ca="1">AVERAGE(OFFSET($CX$3,0,0,'Données projet'!$E$13+1,1))-AVERAGE(OFFSET($H$3,0,0,'Données projet'!$E$13+1,1))</f>
        <v>273.72618036666552</v>
      </c>
      <c r="CZ42" s="61">
        <f t="shared" si="42"/>
        <v>157.67999791700714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7.1794871794871824</v>
      </c>
      <c r="DO42" s="13">
        <f>IF('Données projet'!$A$166&gt;35,DO41+DN42-DW41,IF(A42&lt;'Données projet'!$A$166,$DL$205^A42,IF(A42='Données projet'!$A$166,'Données projet'!$B$166,DO41+DN42-DW41)))</f>
        <v>183.84615384615387</v>
      </c>
      <c r="DP42" s="18">
        <f>DO42*VLOOKUP('Données projet'!$B$14,Paramètres!$A$1:$I$89,3,0)*VLOOKUP('Données projet'!$B$14,Paramètres!$A$1:$I$89,5,0)</f>
        <v>123.32400000000003</v>
      </c>
      <c r="DQ42" s="14">
        <f t="shared" si="43"/>
        <v>32.449030564483728</v>
      </c>
      <c r="DR42" s="22">
        <f t="shared" si="16"/>
        <v>271.30469489980919</v>
      </c>
      <c r="DS42" s="61">
        <f t="shared" si="17"/>
        <v>564.63802823314245</v>
      </c>
      <c r="DT42" s="61">
        <f ca="1">AVERAGE(OFFSET($DS$3,0,0,'Données projet'!$E$14+1,1))-AVERAGE(OFFSET($H$3,0,0,'Données projet'!$E$14+1,1))</f>
        <v>312.06797204903796</v>
      </c>
      <c r="DU42" s="61">
        <f t="shared" si="44"/>
        <v>258.20189001775151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6.6866666666666665</v>
      </c>
      <c r="EJ42" s="13">
        <f>IF('Données projet'!$A$192&gt;35,EJ41+EI42-ER41,IF(A42&lt;'Données projet'!$A$192,$EG$205^A42,IF(A42='Données projet'!$A$192,'Données projet'!$B$192,EJ41+EI42-ER41)))</f>
        <v>118.51999999999994</v>
      </c>
      <c r="EK42" s="18">
        <f>EJ42*VLOOKUP('Données projet'!$B$15,Paramètres!$A$1:$I$89,3,0)*VLOOKUP('Données projet'!$B$15,Paramètres!$A$1:$I$89,5,0)</f>
        <v>96.143423999999968</v>
      </c>
      <c r="EL42" s="14">
        <f t="shared" si="45"/>
        <v>26.041129064405663</v>
      </c>
      <c r="EM42" s="22">
        <f t="shared" si="19"/>
        <v>212.80476325383981</v>
      </c>
      <c r="EN42" s="61">
        <f t="shared" si="20"/>
        <v>506.1380965871731</v>
      </c>
      <c r="EO42" s="61">
        <f ca="1">AVERAGE(OFFSET($EN$3,0,0,'Données projet'!$E$15+1,1))-AVERAGE(OFFSET($H$3,0,0,'Données projet'!$E$15+1,1))</f>
        <v>222.15256609836689</v>
      </c>
      <c r="EP42" s="61">
        <f t="shared" si="46"/>
        <v>221.10360210521077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11.142857142857142</v>
      </c>
      <c r="FE42" s="13">
        <f>IF('Données projet'!$A$218&gt;35,FE41+FD42-FM41,IF(A42&lt;'Données projet'!$A$218,$FB$205^A42,IF(A42='Données projet'!$A$218,'Données projet'!$B$218,FE41+FD42-FM41)))</f>
        <v>174.28571428571425</v>
      </c>
      <c r="FF42" s="18">
        <f>FE42*VLOOKUP('Données projet'!$B$16,Paramètres!$A$1:$I$89,3,0)*VLOOKUP('Données projet'!$B$16,Paramètres!$A$1:$I$89,5,0)</f>
        <v>135.94285714285712</v>
      </c>
      <c r="FG42" s="14">
        <f t="shared" si="47"/>
        <v>35.365986273808367</v>
      </c>
      <c r="FH42" s="22">
        <f t="shared" si="22"/>
        <v>298.36290228402572</v>
      </c>
      <c r="FI42" s="61">
        <f t="shared" si="23"/>
        <v>591.69623561735898</v>
      </c>
      <c r="FJ42" s="61">
        <f ca="1">AVERAGE(OFFSET($FI$3,0,0,'Données projet'!$E$16+1,1))-AVERAGE(OFFSET($H$3,0,0,'Données projet'!$E$16+1,1))</f>
        <v>292.57482726862594</v>
      </c>
      <c r="FK42" s="61">
        <f t="shared" si="48"/>
        <v>283.48738729114024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8.4</v>
      </c>
      <c r="FZ42" s="13">
        <f>IF('Données projet'!$A$244&gt;35,FZ41+FY42-GH41,IF(A42&lt;'Données projet'!$A$244,$FW$205^A42,IF(A42='Données projet'!$A$244,'Données projet'!$B$244,FZ41+FY42-GH41)))</f>
        <v>149.60000000000002</v>
      </c>
      <c r="GA42" s="18">
        <f>FZ42*VLOOKUP('Données projet'!$B$17,Paramètres!$A$1:$I$89,3,0)*VLOOKUP('Données projet'!$B$17,Paramètres!$A$1:$I$89,5,0)</f>
        <v>144.69312000000002</v>
      </c>
      <c r="GB42" s="14">
        <f t="shared" si="49"/>
        <v>37.370061524802772</v>
      </c>
      <c r="GC42" s="22">
        <f t="shared" si="25"/>
        <v>317.09337448903148</v>
      </c>
      <c r="GD42" s="61">
        <f t="shared" si="26"/>
        <v>610.42670782236473</v>
      </c>
      <c r="GE42" s="61">
        <f ca="1">AVERAGE(OFFSET($GD$3,0,0,'Données projet'!$E$17+1,1))-AVERAGE(OFFSET($H$3,0,0,'Données projet'!$E$17+1,1))</f>
        <v>455.50822833641354</v>
      </c>
      <c r="GF42" s="61">
        <f t="shared" si="50"/>
        <v>261.14722581688039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8.4</v>
      </c>
      <c r="GU42" s="13">
        <f>IF('Données projet'!$A$270&gt;35,GU41+GT42-HC41,IF(A42&lt;'Données projet'!$A$270,$GR$205^A42,IF(A42='Données projet'!$A$270,'Données projet'!$B$270,GU41+GT42-HC41)))</f>
        <v>149.60000000000002</v>
      </c>
      <c r="GV42" s="18">
        <f>GU42*VLOOKUP('Données projet'!$B$18,Paramètres!$A$1:$I$89,3,0)*VLOOKUP('Données projet'!$B$18,Paramètres!$A$1:$I$89,5,0)</f>
        <v>161.02944000000002</v>
      </c>
      <c r="GW42" s="14">
        <f t="shared" si="51"/>
        <v>41.074621732940685</v>
      </c>
      <c r="GX42" s="22">
        <f t="shared" si="28"/>
        <v>351.99790751820501</v>
      </c>
      <c r="GY42" s="61">
        <f t="shared" si="29"/>
        <v>645.33124085153827</v>
      </c>
      <c r="GZ42" s="61">
        <f ca="1">AVERAGE(OFFSET($GY$3,0,0,'Données projet'!$E$18+1,1))-AVERAGE(OFFSET($H$3,0,0,'Données projet'!$E$18+1,1))</f>
        <v>502.07782026233912</v>
      </c>
      <c r="HA42" s="61">
        <f t="shared" si="52"/>
        <v>285.83623046025156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142.95840000000004</v>
      </c>
      <c r="P43" s="14">
        <f t="shared" si="33"/>
        <v>36.973906370811264</v>
      </c>
      <c r="Q43" s="22">
        <f t="shared" si="53"/>
        <v>313.38210026249641</v>
      </c>
      <c r="R43" s="61">
        <f t="shared" si="0"/>
        <v>606.71543359582972</v>
      </c>
      <c r="S43" s="61">
        <f ca="1">AVERAGE(OFFSET($R$3,0,0,'Données projet'!$E$9+1,1))-AVERAGE(OFFSET($H$3,0,0,'Données projet'!$E$9+1,1))</f>
        <v>428.8489304403459</v>
      </c>
      <c r="T43" s="61">
        <f t="shared" si="34"/>
        <v>247.01165577562966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1">
        <f t="shared" si="5"/>
        <v>643.58655618988507</v>
      </c>
      <c r="AN43" s="61">
        <f ca="1">AVERAGE(OFFSET($AM$3,0,0,'Données projet'!$E$10+1,1))-AVERAGE(OFFSET($H$3,0,0,'Données projet'!$E$10+1,1))</f>
        <v>475.47920969424894</v>
      </c>
      <c r="AO43" s="61">
        <f t="shared" si="36"/>
        <v>271.73544012419364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19.571428571428573</v>
      </c>
      <c r="BD43" s="13">
        <f>IF('Données projet'!$A$88&gt;35,BD42+BC43-BL42,IF(A43&lt;'Données projet'!$A$88,$BA$205^A43,IF(A43='Données projet'!$A$88,'Données projet'!$B$88,BD42+BC43-BL42)))</f>
        <v>379.85714285714266</v>
      </c>
      <c r="BE43" s="14">
        <f>BD43*VLOOKUP('Données projet'!$B$11,Paramètres!$A$1:$I$89,3,0)*VLOOKUP('Données projet'!$B$11,Paramètres!$A$1:$I$89,5,0)</f>
        <v>212.34014285714278</v>
      </c>
      <c r="BF43" s="14">
        <f t="shared" si="37"/>
        <v>52.446635499473253</v>
      </c>
      <c r="BG43" s="22">
        <f t="shared" si="7"/>
        <v>461.17030563777286</v>
      </c>
      <c r="BH43" s="61">
        <f t="shared" si="8"/>
        <v>754.50363897110617</v>
      </c>
      <c r="BI43" s="61">
        <f ca="1">AVERAGE(OFFSET($BH$3,0,0,'Données projet'!$E$11+1,1))-AVERAGE(OFFSET($H$3,0,0,'Données projet'!$E$11+1,1))</f>
        <v>374.79806286316051</v>
      </c>
      <c r="BJ43" s="61">
        <f t="shared" si="38"/>
        <v>350.01856672839466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16.877066128903635</v>
      </c>
      <c r="BR43" s="23">
        <f>EXP(-LN(2)/2)*BR42+(1-EXP(-LN(2)/2))/(LN(2)/2)*BL43*BO43*VLOOKUP('Données projet'!$B$11,Paramètres!$A$1:$I$89,3,0)*0.475*44/12</f>
        <v>0.34399315755266446</v>
      </c>
      <c r="BS43" s="24">
        <f t="shared" si="9"/>
        <v>17.221059286456299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11.443589743589742</v>
      </c>
      <c r="BY43" s="13">
        <f>IF('Données projet'!$A$114&gt;35,BY42+BX43-CG42,IF(A43&lt;'Données projet'!$A$114,$BV$205^A43,IF(A43='Données projet'!$A$114,'Données projet'!$B$114,BY42+BX43-CG42)))</f>
        <v>261.68974358974356</v>
      </c>
      <c r="BZ43" s="14">
        <f>BY43*VLOOKUP('Données projet'!$B$12,Paramètres!$A$1:$I$89,3,0)*VLOOKUP('Données projet'!$B$12,Paramètres!$A$1:$I$89,5,0)</f>
        <v>122.47079999999997</v>
      </c>
      <c r="CA43" s="14">
        <f t="shared" si="39"/>
        <v>32.25058748290914</v>
      </c>
      <c r="CB43" s="22">
        <f t="shared" si="10"/>
        <v>269.47308319939998</v>
      </c>
      <c r="CC43" s="61">
        <f t="shared" si="11"/>
        <v>562.80641653273324</v>
      </c>
      <c r="CD43" s="61">
        <f ca="1">AVERAGE(OFFSET($CC$3,0,0,'Données projet'!$E$12+1,1))-AVERAGE(OFFSET($H$3,0,0,'Données projet'!$E$12+1,1))</f>
        <v>285.59863510278109</v>
      </c>
      <c r="CE43" s="61">
        <f t="shared" si="40"/>
        <v>190.4880882944471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202</v>
      </c>
      <c r="CR43" s="13">
        <f>VLOOKUP(A43,'Données projet'!$A$139:$I$159,9,0)</f>
        <v>9</v>
      </c>
      <c r="CS43" s="13">
        <f t="array" ref="CS43">INDEX(CR:CR,MIN(IF(ISNUMBER(CR43:CR239),ROW(CR43:CR239),"")))</f>
        <v>9</v>
      </c>
      <c r="CT43" s="13">
        <f>IF('Données projet'!$A$140&gt;35,CT42+CS43-DB42,IF(A43&lt;'Données projet'!$A$140,$CQ$205^A43,IF(A43='Données projet'!$A$140,'Données projet'!$B$140,CT42+CS43-DB42)))</f>
        <v>202</v>
      </c>
      <c r="CU43" s="18">
        <f>CT43*VLOOKUP('Données projet'!$B$13,Paramètres!$A$1:$I$89,3,0)*VLOOKUP('Données projet'!$B$13,Paramètres!$A$1:$I$89,5,0)</f>
        <v>97.161999999999992</v>
      </c>
      <c r="CV43" s="14">
        <f t="shared" si="41"/>
        <v>26.284754460059258</v>
      </c>
      <c r="CW43" s="22">
        <f t="shared" si="13"/>
        <v>215.00309735126984</v>
      </c>
      <c r="CX43" s="61">
        <f t="shared" si="14"/>
        <v>508.33643068460316</v>
      </c>
      <c r="CY43" s="61">
        <f ca="1">AVERAGE(OFFSET($CX$3,0,0,'Données projet'!$E$13+1,1))-AVERAGE(OFFSET($H$3,0,0,'Données projet'!$E$13+1,1))</f>
        <v>273.72618036666552</v>
      </c>
      <c r="CZ43" s="61">
        <f t="shared" si="42"/>
        <v>157.67999791700714</v>
      </c>
      <c r="DA43" s="16">
        <f>IF(ISNA(VLOOKUP(A43,'Données projet'!$A$139:$I$159,3,0)),0,VLOOKUP(A43,'Données projet'!$A$139:$I$159,3,0))</f>
        <v>1</v>
      </c>
      <c r="DB43" s="16">
        <f>IF(ISNA(VLOOKUP(A43,'Données projet'!$A$139:$I$159,4,0)),0,VLOOKUP(A43,'Données projet'!$A$139:$I$159,4,0))</f>
        <v>66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191.02564102564102</v>
      </c>
      <c r="DM43" s="13">
        <f>VLOOKUP(A43,'Données projet'!$A$165:$I$185,9,0)</f>
        <v>7.1794871794871824</v>
      </c>
      <c r="DN43" s="13">
        <f t="array" ref="DN43">INDEX(DM:DM,MIN(IF(ISNUMBER(DM43:DM239),ROW(DM43:DM239),"")))</f>
        <v>7.1794871794871824</v>
      </c>
      <c r="DO43" s="13">
        <f>IF('Données projet'!$A$166&gt;35,DO42+DN43-DW42,IF(A43&lt;'Données projet'!$A$166,$DL$205^A43,IF(A43='Données projet'!$A$166,'Données projet'!$B$166,DO42+DN43-DW42)))</f>
        <v>191.02564102564105</v>
      </c>
      <c r="DP43" s="18">
        <f>DO43*VLOOKUP('Données projet'!$B$14,Paramètres!$A$1:$I$89,3,0)*VLOOKUP('Données projet'!$B$14,Paramètres!$A$1:$I$89,5,0)</f>
        <v>128.14000000000001</v>
      </c>
      <c r="DQ43" s="14">
        <f t="shared" si="43"/>
        <v>33.566208132601098</v>
      </c>
      <c r="DR43" s="22">
        <f t="shared" si="16"/>
        <v>281.63831249761358</v>
      </c>
      <c r="DS43" s="61">
        <f t="shared" si="17"/>
        <v>574.97164583094695</v>
      </c>
      <c r="DT43" s="61">
        <f ca="1">AVERAGE(OFFSET($DS$3,0,0,'Données projet'!$E$14+1,1))-AVERAGE(OFFSET($H$3,0,0,'Données projet'!$E$14+1,1))</f>
        <v>312.06797204903796</v>
      </c>
      <c r="DU43" s="61">
        <f t="shared" si="44"/>
        <v>258.20189001775151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34.615384615384613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6.6866666666666665</v>
      </c>
      <c r="EJ43" s="13">
        <f>IF('Données projet'!$A$192&gt;35,EJ42+EI43-ER42,IF(A43&lt;'Données projet'!$A$192,$EG$205^A43,IF(A43='Données projet'!$A$192,'Données projet'!$B$192,EJ42+EI43-ER42)))</f>
        <v>125.20666666666661</v>
      </c>
      <c r="EK43" s="18">
        <f>EJ43*VLOOKUP('Données projet'!$B$15,Paramètres!$A$1:$I$89,3,0)*VLOOKUP('Données projet'!$B$15,Paramètres!$A$1:$I$89,5,0)</f>
        <v>101.56764799999996</v>
      </c>
      <c r="EL43" s="14">
        <f t="shared" si="45"/>
        <v>27.335129294774532</v>
      </c>
      <c r="EM43" s="22">
        <f t="shared" si="19"/>
        <v>224.50567045506557</v>
      </c>
      <c r="EN43" s="61">
        <f t="shared" si="20"/>
        <v>517.83900378839894</v>
      </c>
      <c r="EO43" s="61">
        <f ca="1">AVERAGE(OFFSET($EN$3,0,0,'Données projet'!$E$15+1,1))-AVERAGE(OFFSET($H$3,0,0,'Données projet'!$E$15+1,1))</f>
        <v>222.15256609836689</v>
      </c>
      <c r="EP43" s="61">
        <f t="shared" si="46"/>
        <v>221.10360210521077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11.142857142857142</v>
      </c>
      <c r="FE43" s="13">
        <f>IF('Données projet'!$A$218&gt;35,FE42+FD43-FM42,IF(A43&lt;'Données projet'!$A$218,$FB$205^A43,IF(A43='Données projet'!$A$218,'Données projet'!$B$218,FE42+FD43-FM42)))</f>
        <v>185.42857142857139</v>
      </c>
      <c r="FF43" s="18">
        <f>FE43*VLOOKUP('Données projet'!$B$16,Paramètres!$A$1:$I$89,3,0)*VLOOKUP('Données projet'!$B$16,Paramètres!$A$1:$I$89,5,0)</f>
        <v>144.63428571428568</v>
      </c>
      <c r="FG43" s="14">
        <f t="shared" si="47"/>
        <v>37.356634728420524</v>
      </c>
      <c r="FH43" s="22">
        <f t="shared" si="22"/>
        <v>316.96751977104663</v>
      </c>
      <c r="FI43" s="61">
        <f t="shared" si="23"/>
        <v>610.30085310437994</v>
      </c>
      <c r="FJ43" s="61">
        <f ca="1">AVERAGE(OFFSET($FI$3,0,0,'Données projet'!$E$16+1,1))-AVERAGE(OFFSET($H$3,0,0,'Données projet'!$E$16+1,1))</f>
        <v>292.57482726862594</v>
      </c>
      <c r="FK43" s="61">
        <f t="shared" si="48"/>
        <v>283.48738729114024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>
        <f>VLOOKUP(A43,'Données projet'!$A$243:$I$263,2,0)</f>
        <v>158</v>
      </c>
      <c r="FX43" s="13">
        <f>VLOOKUP(A43,'Données projet'!$A$243:$I$263,9,0)</f>
        <v>8.4</v>
      </c>
      <c r="FY43" s="13">
        <f t="array" ref="FY43">INDEX(FX:FX,MIN(IF(ISNUMBER(FX43:FX239),ROW(FX43:FX239),"")))</f>
        <v>8.4</v>
      </c>
      <c r="FZ43" s="13">
        <f>IF('Données projet'!$A$244&gt;35,FZ42+FY43-GH42,IF(A43&lt;'Données projet'!$A$244,$FW$205^A43,IF(A43='Données projet'!$A$244,'Données projet'!$B$244,FZ42+FY43-GH42)))</f>
        <v>158.00000000000003</v>
      </c>
      <c r="GA43" s="18">
        <f>FZ43*VLOOKUP('Données projet'!$B$17,Paramètres!$A$1:$I$89,3,0)*VLOOKUP('Données projet'!$B$17,Paramètres!$A$1:$I$89,5,0)</f>
        <v>152.81760000000003</v>
      </c>
      <c r="GB43" s="14">
        <f t="shared" si="49"/>
        <v>39.218200171484227</v>
      </c>
      <c r="GC43" s="22">
        <f t="shared" si="25"/>
        <v>334.46235196533502</v>
      </c>
      <c r="GD43" s="61">
        <f t="shared" si="26"/>
        <v>627.79568529866833</v>
      </c>
      <c r="GE43" s="61">
        <f ca="1">AVERAGE(OFFSET($GD$3,0,0,'Données projet'!$E$17+1,1))-AVERAGE(OFFSET($H$3,0,0,'Données projet'!$E$17+1,1))</f>
        <v>455.50822833641354</v>
      </c>
      <c r="GF43" s="61">
        <f t="shared" si="50"/>
        <v>261.14722581688039</v>
      </c>
      <c r="GG43" s="16">
        <f>IF(ISNA(VLOOKUP(A43,'Données projet'!$A$243:$I$263,3,0)),0,VLOOKUP(A43,'Données projet'!$A$243:$I$263,3,0))</f>
        <v>2</v>
      </c>
      <c r="GH43" s="16">
        <f>IF(ISNA(VLOOKUP(A43,'Données projet'!$A$243:$I$263,4,0)),0,VLOOKUP(A43,'Données projet'!$A$243:$I$263,4,0))</f>
        <v>42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>
        <f>VLOOKUP(A43,'Données projet'!$A$269:$I$289,2,0)</f>
        <v>158</v>
      </c>
      <c r="GS43" s="13">
        <f>VLOOKUP(A43,'Données projet'!$A$269:$I$289,9,0)</f>
        <v>8.4</v>
      </c>
      <c r="GT43" s="13">
        <f t="array" ref="GT43">INDEX(GS:GS,MIN(IF(ISNUMBER(GS43:GS239),ROW(GS43:GS239),"")))</f>
        <v>8.4</v>
      </c>
      <c r="GU43" s="13">
        <f>IF('Données projet'!$A$270&gt;35,GU42+GT43-HC42,IF(A43&lt;'Données projet'!$A$270,$GR$205^A43,IF(A43='Données projet'!$A$270,'Données projet'!$B$270,GU42+GT43-HC42)))</f>
        <v>158.00000000000003</v>
      </c>
      <c r="GV43" s="18">
        <f>GU43*VLOOKUP('Données projet'!$B$18,Paramètres!$A$1:$I$89,3,0)*VLOOKUP('Données projet'!$B$18,Paramètres!$A$1:$I$89,5,0)</f>
        <v>170.07120000000003</v>
      </c>
      <c r="GW43" s="14">
        <f t="shared" si="51"/>
        <v>43.10596962815594</v>
      </c>
      <c r="GX43" s="22">
        <f t="shared" si="28"/>
        <v>371.28357043570503</v>
      </c>
      <c r="GY43" s="61">
        <f t="shared" si="29"/>
        <v>664.61690376903834</v>
      </c>
      <c r="GZ43" s="61">
        <f ca="1">AVERAGE(OFFSET($GY$3,0,0,'Données projet'!$E$18+1,1))-AVERAGE(OFFSET($H$3,0,0,'Données projet'!$E$18+1,1))</f>
        <v>502.07782026233912</v>
      </c>
      <c r="HA43" s="61">
        <f t="shared" si="52"/>
        <v>285.83623046025156</v>
      </c>
      <c r="HB43" s="16">
        <f>IF(ISNA(VLOOKUP(A43,'Données projet'!$A$269:$I$289,3,0)),0,VLOOKUP(A43,'Données projet'!$A$269:$I$289,3,0))</f>
        <v>2</v>
      </c>
      <c r="HC43" s="16">
        <f>IF(ISNA(VLOOKUP(A43,'Données projet'!$A$269:$I$289,4,0)),0,VLOOKUP(A43,'Données projet'!$A$269:$I$289,4,0))</f>
        <v>42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112.55712000000003</v>
      </c>
      <c r="P44" s="14">
        <f t="shared" si="33"/>
        <v>29.932653834140599</v>
      </c>
      <c r="Q44" s="22">
        <f t="shared" si="53"/>
        <v>248.16968942779496</v>
      </c>
      <c r="R44" s="61">
        <f t="shared" si="0"/>
        <v>541.50302276112825</v>
      </c>
      <c r="S44" s="61">
        <f ca="1">AVERAGE(OFFSET($R$3,0,0,'Données projet'!$E$9+1,1))-AVERAGE(OFFSET($H$3,0,0,'Données projet'!$E$9+1,1))</f>
        <v>428.8489304403459</v>
      </c>
      <c r="T44" s="61">
        <f t="shared" si="34"/>
        <v>247.01165577562966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1">
        <f t="shared" si="5"/>
        <v>570.68476131278635</v>
      </c>
      <c r="AN44" s="61">
        <f ca="1">AVERAGE(OFFSET($AM$3,0,0,'Données projet'!$E$10+1,1))-AVERAGE(OFFSET($H$3,0,0,'Données projet'!$E$10+1,1))</f>
        <v>475.47920969424894</v>
      </c>
      <c r="AO44" s="61">
        <f t="shared" si="36"/>
        <v>271.73544012419364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19.571428571428573</v>
      </c>
      <c r="BD44" s="13">
        <f>IF('Données projet'!$A$88&gt;35,BD43+BC44-BL43,IF(A44&lt;'Données projet'!$A$88,$BA$205^A44,IF(A44='Données projet'!$A$88,'Données projet'!$B$88,BD43+BC44-BL43)))</f>
        <v>399.42857142857122</v>
      </c>
      <c r="BE44" s="14">
        <f>BD44*VLOOKUP('Données projet'!$B$11,Paramètres!$A$1:$I$89,3,0)*VLOOKUP('Données projet'!$B$11,Paramètres!$A$1:$I$89,5,0)</f>
        <v>223.28057142857133</v>
      </c>
      <c r="BF44" s="14">
        <f t="shared" si="37"/>
        <v>54.827286320639246</v>
      </c>
      <c r="BG44" s="22">
        <f t="shared" si="7"/>
        <v>484.37118557987498</v>
      </c>
      <c r="BH44" s="61">
        <f t="shared" si="8"/>
        <v>777.70451891320829</v>
      </c>
      <c r="BI44" s="61">
        <f ca="1">AVERAGE(OFFSET($BH$3,0,0,'Données projet'!$E$11+1,1))-AVERAGE(OFFSET($H$3,0,0,'Données projet'!$E$11+1,1))</f>
        <v>374.79806286316051</v>
      </c>
      <c r="BJ44" s="61">
        <f t="shared" si="38"/>
        <v>350.01856672839466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16.415561868082431</v>
      </c>
      <c r="BR44" s="23">
        <f>EXP(-LN(2)/2)*BR43+(1-EXP(-LN(2)/2))/(LN(2)/2)*BL44*BO44*VLOOKUP('Données projet'!$B$11,Paramètres!$A$1:$I$89,3,0)*0.475*44/12</f>
        <v>0.24323989438726148</v>
      </c>
      <c r="BS44" s="24">
        <f t="shared" si="9"/>
        <v>16.658801762469693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11.443589743589742</v>
      </c>
      <c r="BY44" s="13">
        <f>IF('Données projet'!$A$114&gt;35,BY43+BX44-CG43,IF(A44&lt;'Données projet'!$A$114,$BV$205^A44,IF(A44='Données projet'!$A$114,'Données projet'!$B$114,BY43+BX44-CG43)))</f>
        <v>273.13333333333333</v>
      </c>
      <c r="BZ44" s="14">
        <f>BY44*VLOOKUP('Données projet'!$B$12,Paramètres!$A$1:$I$89,3,0)*VLOOKUP('Données projet'!$B$12,Paramètres!$A$1:$I$89,5,0)</f>
        <v>127.82639999999999</v>
      </c>
      <c r="CA44" s="14">
        <f t="shared" si="39"/>
        <v>33.493612376128482</v>
      </c>
      <c r="CB44" s="22">
        <f t="shared" si="10"/>
        <v>280.96568822175709</v>
      </c>
      <c r="CC44" s="61">
        <f t="shared" si="11"/>
        <v>574.29902155509035</v>
      </c>
      <c r="CD44" s="61">
        <f ca="1">AVERAGE(OFFSET($CC$3,0,0,'Données projet'!$E$12+1,1))-AVERAGE(OFFSET($H$3,0,0,'Données projet'!$E$12+1,1))</f>
        <v>285.59863510278109</v>
      </c>
      <c r="CE44" s="61">
        <f t="shared" si="40"/>
        <v>190.4880882944471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8.9</v>
      </c>
      <c r="CT44" s="13">
        <f>IF('Données projet'!$A$140&gt;35,CT43+CS44-DB43,IF(A44&lt;'Données projet'!$A$140,$CQ$205^A44,IF(A44='Données projet'!$A$140,'Données projet'!$B$140,CT43+CS44-DB43)))</f>
        <v>144.9</v>
      </c>
      <c r="CU44" s="18">
        <f>CT44*VLOOKUP('Données projet'!$B$13,Paramètres!$A$1:$I$89,3,0)*VLOOKUP('Données projet'!$B$13,Paramètres!$A$1:$I$89,5,0)</f>
        <v>69.696899999999999</v>
      </c>
      <c r="CV44" s="14">
        <f t="shared" si="41"/>
        <v>19.598168159561801</v>
      </c>
      <c r="CW44" s="22">
        <f t="shared" si="13"/>
        <v>155.52224371123677</v>
      </c>
      <c r="CX44" s="61">
        <f t="shared" si="14"/>
        <v>448.85557704457005</v>
      </c>
      <c r="CY44" s="61">
        <f ca="1">AVERAGE(OFFSET($CX$3,0,0,'Données projet'!$E$13+1,1))-AVERAGE(OFFSET($H$3,0,0,'Données projet'!$E$13+1,1))</f>
        <v>273.72618036666552</v>
      </c>
      <c r="CZ44" s="61">
        <f t="shared" si="42"/>
        <v>157.67999791700714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6.7948717948717956</v>
      </c>
      <c r="DO44" s="13">
        <f>IF('Données projet'!$A$166&gt;35,DO43+DN44-DW43,IF(A44&lt;'Données projet'!$A$166,$DL$205^A44,IF(A44='Données projet'!$A$166,'Données projet'!$B$166,DO43+DN44-DW43)))</f>
        <v>163.20512820512823</v>
      </c>
      <c r="DP44" s="18">
        <f>DO44*VLOOKUP('Données projet'!$B$14,Paramètres!$A$1:$I$89,3,0)*VLOOKUP('Données projet'!$B$14,Paramètres!$A$1:$I$89,5,0)</f>
        <v>109.47800000000001</v>
      </c>
      <c r="DQ44" s="14">
        <f t="shared" si="43"/>
        <v>29.207963273678622</v>
      </c>
      <c r="DR44" s="22">
        <f t="shared" si="16"/>
        <v>241.5447193683236</v>
      </c>
      <c r="DS44" s="61">
        <f t="shared" si="17"/>
        <v>534.87805270165688</v>
      </c>
      <c r="DT44" s="61">
        <f ca="1">AVERAGE(OFFSET($DS$3,0,0,'Données projet'!$E$14+1,1))-AVERAGE(OFFSET($H$3,0,0,'Données projet'!$E$14+1,1))</f>
        <v>312.06797204903796</v>
      </c>
      <c r="DU44" s="61">
        <f t="shared" si="44"/>
        <v>258.20189001775151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6.6866666666666665</v>
      </c>
      <c r="EJ44" s="13">
        <f>IF('Données projet'!$A$192&gt;35,EJ43+EI44-ER43,IF(A44&lt;'Données projet'!$A$192,$EG$205^A44,IF(A44='Données projet'!$A$192,'Données projet'!$B$192,EJ43+EI44-ER43)))</f>
        <v>131.89333333333326</v>
      </c>
      <c r="EK44" s="18">
        <f>EJ44*VLOOKUP('Données projet'!$B$15,Paramètres!$A$1:$I$89,3,0)*VLOOKUP('Données projet'!$B$15,Paramètres!$A$1:$I$89,5,0)</f>
        <v>106.99187199999994</v>
      </c>
      <c r="EL44" s="14">
        <f t="shared" si="45"/>
        <v>28.62110649590489</v>
      </c>
      <c r="EM44" s="22">
        <f t="shared" si="19"/>
        <v>236.19260421370086</v>
      </c>
      <c r="EN44" s="61">
        <f t="shared" si="20"/>
        <v>529.52593754703412</v>
      </c>
      <c r="EO44" s="61">
        <f ca="1">AVERAGE(OFFSET($EN$3,0,0,'Données projet'!$E$15+1,1))-AVERAGE(OFFSET($H$3,0,0,'Données projet'!$E$15+1,1))</f>
        <v>222.15256609836689</v>
      </c>
      <c r="EP44" s="61">
        <f t="shared" si="46"/>
        <v>221.10360210521077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11.142857142857142</v>
      </c>
      <c r="FE44" s="13">
        <f>IF('Données projet'!$A$218&gt;35,FE43+FD44-FM43,IF(A44&lt;'Données projet'!$A$218,$FB$205^A44,IF(A44='Données projet'!$A$218,'Données projet'!$B$218,FE43+FD44-FM43)))</f>
        <v>196.57142857142853</v>
      </c>
      <c r="FF44" s="18">
        <f>FE44*VLOOKUP('Données projet'!$B$16,Paramètres!$A$1:$I$89,3,0)*VLOOKUP('Données projet'!$B$16,Paramètres!$A$1:$I$89,5,0)</f>
        <v>153.32571428571427</v>
      </c>
      <c r="FG44" s="14">
        <f t="shared" si="47"/>
        <v>39.33339883761419</v>
      </c>
      <c r="FH44" s="22">
        <f t="shared" si="22"/>
        <v>335.54795535646372</v>
      </c>
      <c r="FI44" s="61">
        <f t="shared" si="23"/>
        <v>628.88128868979697</v>
      </c>
      <c r="FJ44" s="61">
        <f ca="1">AVERAGE(OFFSET($FI$3,0,0,'Données projet'!$E$16+1,1))-AVERAGE(OFFSET($H$3,0,0,'Données projet'!$E$16+1,1))</f>
        <v>292.57482726862594</v>
      </c>
      <c r="FK44" s="61">
        <f t="shared" si="48"/>
        <v>283.48738729114024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8.4</v>
      </c>
      <c r="FZ44" s="13">
        <f>IF('Données projet'!$A$244&gt;35,FZ43+FY44-GH43,IF(A44&lt;'Données projet'!$A$244,$FW$205^A44,IF(A44='Données projet'!$A$244,'Données projet'!$B$244,FZ43+FY44-GH43)))</f>
        <v>124.40000000000003</v>
      </c>
      <c r="GA44" s="18">
        <f>FZ44*VLOOKUP('Données projet'!$B$17,Paramètres!$A$1:$I$89,3,0)*VLOOKUP('Données projet'!$B$17,Paramètres!$A$1:$I$89,5,0)</f>
        <v>120.31968000000002</v>
      </c>
      <c r="GB44" s="14">
        <f t="shared" si="49"/>
        <v>31.74954785566829</v>
      </c>
      <c r="GC44" s="22">
        <f t="shared" si="25"/>
        <v>264.85390518195561</v>
      </c>
      <c r="GD44" s="61">
        <f t="shared" si="26"/>
        <v>558.18723851528898</v>
      </c>
      <c r="GE44" s="61">
        <f ca="1">AVERAGE(OFFSET($GD$3,0,0,'Données projet'!$E$17+1,1))-AVERAGE(OFFSET($H$3,0,0,'Données projet'!$E$17+1,1))</f>
        <v>455.50822833641354</v>
      </c>
      <c r="GF44" s="61">
        <f t="shared" si="50"/>
        <v>261.14722581688039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8.4</v>
      </c>
      <c r="GU44" s="13">
        <f>IF('Données projet'!$A$270&gt;35,GU43+GT44-HC43,IF(A44&lt;'Données projet'!$A$270,$GR$205^A44,IF(A44='Données projet'!$A$270,'Données projet'!$B$270,GU43+GT44-HC43)))</f>
        <v>124.40000000000003</v>
      </c>
      <c r="GV44" s="18">
        <f>GU44*VLOOKUP('Données projet'!$B$18,Paramètres!$A$1:$I$89,3,0)*VLOOKUP('Données projet'!$B$18,Paramètres!$A$1:$I$89,5,0)</f>
        <v>133.90416000000002</v>
      </c>
      <c r="GW44" s="14">
        <f t="shared" si="51"/>
        <v>34.896936615903982</v>
      </c>
      <c r="GX44" s="22">
        <f t="shared" si="28"/>
        <v>293.99524327269938</v>
      </c>
      <c r="GY44" s="61">
        <f t="shared" si="29"/>
        <v>587.3285766060327</v>
      </c>
      <c r="GZ44" s="61">
        <f ca="1">AVERAGE(OFFSET($GY$3,0,0,'Données projet'!$E$18+1,1))-AVERAGE(OFFSET($H$3,0,0,'Données projet'!$E$18+1,1))</f>
        <v>502.07782026233912</v>
      </c>
      <c r="HA44" s="61">
        <f t="shared" si="52"/>
        <v>285.83623046025156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120.15744000000002</v>
      </c>
      <c r="P45" s="14">
        <f t="shared" si="33"/>
        <v>31.711716786129845</v>
      </c>
      <c r="Q45" s="22">
        <f t="shared" si="53"/>
        <v>264.50544806917623</v>
      </c>
      <c r="R45" s="61">
        <f t="shared" si="0"/>
        <v>557.83878140250954</v>
      </c>
      <c r="S45" s="61">
        <f ca="1">AVERAGE(OFFSET($R$3,0,0,'Données projet'!$E$9+1,1))-AVERAGE(OFFSET($H$3,0,0,'Données projet'!$E$9+1,1))</f>
        <v>428.8489304403459</v>
      </c>
      <c r="T45" s="61">
        <f t="shared" si="34"/>
        <v>247.01165577562966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1">
        <f t="shared" si="5"/>
        <v>588.94632501044362</v>
      </c>
      <c r="AN45" s="61">
        <f ca="1">AVERAGE(OFFSET($AM$3,0,0,'Données projet'!$E$10+1,1))-AVERAGE(OFFSET($H$3,0,0,'Données projet'!$E$10+1,1))</f>
        <v>475.47920969424894</v>
      </c>
      <c r="AO45" s="61">
        <f t="shared" si="36"/>
        <v>271.73544012419364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>
        <f>VLOOKUP(A45,'Données projet'!$A$87:$I$107,2,0)</f>
        <v>419</v>
      </c>
      <c r="BB45" s="13">
        <f>VLOOKUP(A45,'Données projet'!$A$87:$I$107,9,0)</f>
        <v>19.571428571428573</v>
      </c>
      <c r="BC45" s="13">
        <f t="array" ref="BC45">INDEX(BB:BB,MIN(IF(ISNUMBER(BB45:BB241),ROW(BB45:BB241),"")))</f>
        <v>19.571428571428573</v>
      </c>
      <c r="BD45" s="13">
        <f>IF('Données projet'!$A$88&gt;35,BD44+BC45-BL44,IF(A45&lt;'Données projet'!$A$88,$BA$205^A45,IF(A45='Données projet'!$A$88,'Données projet'!$B$88,BD44+BC45-BL44)))</f>
        <v>418.99999999999977</v>
      </c>
      <c r="BE45" s="14">
        <f>BD45*VLOOKUP('Données projet'!$B$11,Paramètres!$A$1:$I$89,3,0)*VLOOKUP('Données projet'!$B$11,Paramètres!$A$1:$I$89,5,0)</f>
        <v>234.22099999999989</v>
      </c>
      <c r="BF45" s="14">
        <f t="shared" si="37"/>
        <v>57.194392182630075</v>
      </c>
      <c r="BG45" s="22">
        <f t="shared" si="7"/>
        <v>507.54847471808051</v>
      </c>
      <c r="BH45" s="61">
        <f t="shared" si="8"/>
        <v>800.88180805141383</v>
      </c>
      <c r="BI45" s="61">
        <f ca="1">AVERAGE(OFFSET($BH$3,0,0,'Données projet'!$E$11+1,1))-AVERAGE(OFFSET($H$3,0,0,'Données projet'!$E$11+1,1))</f>
        <v>374.79806286316051</v>
      </c>
      <c r="BJ45" s="61">
        <f t="shared" si="38"/>
        <v>350.01856672839466</v>
      </c>
      <c r="BK45" s="16">
        <f>IF(ISNA(VLOOKUP(A45,'Données projet'!$A$87:$I$107,3,0)),0,VLOOKUP(A45,'Données projet'!$A$87:$I$107,3,0))</f>
        <v>4</v>
      </c>
      <c r="BL45" s="16">
        <f>IF(ISNA(VLOOKUP(A45,'Données projet'!$A$87:$I$107,4,0)),0,VLOOKUP(A45,'Données projet'!$A$87:$I$107,4,0))</f>
        <v>77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15.966677465542837</v>
      </c>
      <c r="BR45" s="23">
        <f>EXP(-LN(2)/2)*BR44+(1-EXP(-LN(2)/2))/(LN(2)/2)*BL45*BO45*VLOOKUP('Données projet'!$B$11,Paramètres!$A$1:$I$89,3,0)*0.475*44/12</f>
        <v>0.17199657877633226</v>
      </c>
      <c r="BS45" s="24">
        <f t="shared" si="9"/>
        <v>16.138674044319171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11.443589743589742</v>
      </c>
      <c r="BY45" s="13">
        <f>IF('Données projet'!$A$114&gt;35,BY44+BX45-CG44,IF(A45&lt;'Données projet'!$A$114,$BV$205^A45,IF(A45='Données projet'!$A$114,'Données projet'!$B$114,BY44+BX45-CG44)))</f>
        <v>284.57692307692309</v>
      </c>
      <c r="BZ45" s="14">
        <f>BY45*VLOOKUP('Données projet'!$B$12,Paramètres!$A$1:$I$89,3,0)*VLOOKUP('Données projet'!$B$12,Paramètres!$A$1:$I$89,5,0)</f>
        <v>133.18200000000002</v>
      </c>
      <c r="CA45" s="14">
        <f t="shared" si="39"/>
        <v>34.730588096149795</v>
      </c>
      <c r="CB45" s="22">
        <f t="shared" si="10"/>
        <v>292.44775760079426</v>
      </c>
      <c r="CC45" s="61">
        <f t="shared" si="11"/>
        <v>585.78109093412763</v>
      </c>
      <c r="CD45" s="61">
        <f ca="1">AVERAGE(OFFSET($CC$3,0,0,'Données projet'!$E$12+1,1))-AVERAGE(OFFSET($H$3,0,0,'Données projet'!$E$12+1,1))</f>
        <v>285.59863510278109</v>
      </c>
      <c r="CE45" s="61">
        <f t="shared" si="40"/>
        <v>190.4880882944471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8.9</v>
      </c>
      <c r="CT45" s="13">
        <f>IF('Données projet'!$A$140&gt;35,CT44+CS45-DB44,IF(A45&lt;'Données projet'!$A$140,$CQ$205^A45,IF(A45='Données projet'!$A$140,'Données projet'!$B$140,CT44+CS45-DB44)))</f>
        <v>153.80000000000001</v>
      </c>
      <c r="CU45" s="18">
        <f>CT45*VLOOKUP('Données projet'!$B$13,Paramètres!$A$1:$I$89,3,0)*VLOOKUP('Données projet'!$B$13,Paramètres!$A$1:$I$89,5,0)</f>
        <v>73.977800000000016</v>
      </c>
      <c r="CV45" s="14">
        <f t="shared" si="41"/>
        <v>20.658085586288006</v>
      </c>
      <c r="CW45" s="22">
        <f t="shared" si="13"/>
        <v>164.82416739611833</v>
      </c>
      <c r="CX45" s="61">
        <f t="shared" si="14"/>
        <v>458.15750072945161</v>
      </c>
      <c r="CY45" s="61">
        <f ca="1">AVERAGE(OFFSET($CX$3,0,0,'Données projet'!$E$13+1,1))-AVERAGE(OFFSET($H$3,0,0,'Données projet'!$E$13+1,1))</f>
        <v>273.72618036666552</v>
      </c>
      <c r="CZ45" s="61">
        <f t="shared" si="42"/>
        <v>157.67999791700714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6.7948717948717956</v>
      </c>
      <c r="DO45" s="13">
        <f>IF('Données projet'!$A$166&gt;35,DO44+DN45-DW44,IF(A45&lt;'Données projet'!$A$166,$DL$205^A45,IF(A45='Données projet'!$A$166,'Données projet'!$B$166,DO44+DN45-DW44)))</f>
        <v>170.00000000000003</v>
      </c>
      <c r="DP45" s="18">
        <f>DO45*VLOOKUP('Données projet'!$B$14,Paramètres!$A$1:$I$89,3,0)*VLOOKUP('Données projet'!$B$14,Paramètres!$A$1:$I$89,5,0)</f>
        <v>114.03600000000002</v>
      </c>
      <c r="DQ45" s="14">
        <f t="shared" si="43"/>
        <v>30.279894261296121</v>
      </c>
      <c r="DR45" s="22">
        <f t="shared" si="16"/>
        <v>251.35018250509077</v>
      </c>
      <c r="DS45" s="61">
        <f t="shared" si="17"/>
        <v>544.68351583842411</v>
      </c>
      <c r="DT45" s="61">
        <f ca="1">AVERAGE(OFFSET($DS$3,0,0,'Données projet'!$E$14+1,1))-AVERAGE(OFFSET($H$3,0,0,'Données projet'!$E$14+1,1))</f>
        <v>312.06797204903796</v>
      </c>
      <c r="DU45" s="61">
        <f t="shared" si="44"/>
        <v>258.20189001775151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6.6866666666666665</v>
      </c>
      <c r="EJ45" s="13">
        <f>IF('Données projet'!$A$192&gt;35,EJ44+EI45-ER44,IF(A45&lt;'Données projet'!$A$192,$EG$205^A45,IF(A45='Données projet'!$A$192,'Données projet'!$B$192,EJ44+EI45-ER44)))</f>
        <v>138.57999999999993</v>
      </c>
      <c r="EK45" s="18">
        <f>EJ45*VLOOKUP('Données projet'!$B$15,Paramètres!$A$1:$I$89,3,0)*VLOOKUP('Données projet'!$B$15,Paramètres!$A$1:$I$89,5,0)</f>
        <v>112.41609599999995</v>
      </c>
      <c r="EL45" s="14">
        <f t="shared" si="45"/>
        <v>29.899513821553448</v>
      </c>
      <c r="EM45" s="22">
        <f t="shared" si="19"/>
        <v>247.86635377253882</v>
      </c>
      <c r="EN45" s="61">
        <f t="shared" si="20"/>
        <v>541.19968710587216</v>
      </c>
      <c r="EO45" s="61">
        <f ca="1">AVERAGE(OFFSET($EN$3,0,0,'Données projet'!$E$15+1,1))-AVERAGE(OFFSET($H$3,0,0,'Données projet'!$E$15+1,1))</f>
        <v>222.15256609836689</v>
      </c>
      <c r="EP45" s="61">
        <f t="shared" si="46"/>
        <v>221.10360210521077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11.142857142857142</v>
      </c>
      <c r="FE45" s="13">
        <f>IF('Données projet'!$A$218&gt;35,FE44+FD45-FM44,IF(A45&lt;'Données projet'!$A$218,$FB$205^A45,IF(A45='Données projet'!$A$218,'Données projet'!$B$218,FE44+FD45-FM44)))</f>
        <v>207.71428571428567</v>
      </c>
      <c r="FF45" s="18">
        <f>FE45*VLOOKUP('Données projet'!$B$16,Paramètres!$A$1:$I$89,3,0)*VLOOKUP('Données projet'!$B$16,Paramètres!$A$1:$I$89,5,0)</f>
        <v>162.01714285714283</v>
      </c>
      <c r="FG45" s="14">
        <f t="shared" si="47"/>
        <v>41.297155335096676</v>
      </c>
      <c r="FH45" s="22">
        <f t="shared" si="22"/>
        <v>354.10573601815048</v>
      </c>
      <c r="FI45" s="61">
        <f t="shared" si="23"/>
        <v>647.43906935148379</v>
      </c>
      <c r="FJ45" s="61">
        <f ca="1">AVERAGE(OFFSET($FI$3,0,0,'Données projet'!$E$16+1,1))-AVERAGE(OFFSET($H$3,0,0,'Données projet'!$E$16+1,1))</f>
        <v>292.57482726862594</v>
      </c>
      <c r="FK45" s="61">
        <f t="shared" si="48"/>
        <v>283.48738729114024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8.4</v>
      </c>
      <c r="FZ45" s="13">
        <f>IF('Données projet'!$A$244&gt;35,FZ44+FY45-GH44,IF(A45&lt;'Données projet'!$A$244,$FW$205^A45,IF(A45='Données projet'!$A$244,'Données projet'!$B$244,FZ44+FY45-GH44)))</f>
        <v>132.80000000000004</v>
      </c>
      <c r="GA45" s="18">
        <f>FZ45*VLOOKUP('Données projet'!$B$17,Paramètres!$A$1:$I$89,3,0)*VLOOKUP('Données projet'!$B$17,Paramètres!$A$1:$I$89,5,0)</f>
        <v>128.44416000000004</v>
      </c>
      <c r="GB45" s="14">
        <f t="shared" si="49"/>
        <v>33.636598855068954</v>
      </c>
      <c r="GC45" s="22">
        <f t="shared" si="25"/>
        <v>282.29065500591184</v>
      </c>
      <c r="GD45" s="61">
        <f t="shared" si="26"/>
        <v>575.62398833924522</v>
      </c>
      <c r="GE45" s="61">
        <f ca="1">AVERAGE(OFFSET($GD$3,0,0,'Données projet'!$E$17+1,1))-AVERAGE(OFFSET($H$3,0,0,'Données projet'!$E$17+1,1))</f>
        <v>455.50822833641354</v>
      </c>
      <c r="GF45" s="61">
        <f t="shared" si="50"/>
        <v>261.14722581688039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8.4</v>
      </c>
      <c r="GU45" s="13">
        <f>IF('Données projet'!$A$270&gt;35,GU44+GT45-HC44,IF(A45&lt;'Données projet'!$A$270,$GR$205^A45,IF(A45='Données projet'!$A$270,'Données projet'!$B$270,GU44+GT45-HC44)))</f>
        <v>132.80000000000004</v>
      </c>
      <c r="GV45" s="18">
        <f>GU45*VLOOKUP('Données projet'!$B$18,Paramètres!$A$1:$I$89,3,0)*VLOOKUP('Données projet'!$B$18,Paramètres!$A$1:$I$89,5,0)</f>
        <v>142.94592000000003</v>
      </c>
      <c r="GW45" s="14">
        <f t="shared" si="51"/>
        <v>36.971054314096854</v>
      </c>
      <c r="GX45" s="22">
        <f t="shared" si="28"/>
        <v>313.35539693038538</v>
      </c>
      <c r="GY45" s="61">
        <f t="shared" si="29"/>
        <v>606.68873026371875</v>
      </c>
      <c r="GZ45" s="61">
        <f ca="1">AVERAGE(OFFSET($GY$3,0,0,'Données projet'!$E$18+1,1))-AVERAGE(OFFSET($H$3,0,0,'Données projet'!$E$18+1,1))</f>
        <v>502.07782026233912</v>
      </c>
      <c r="HA45" s="61">
        <f t="shared" si="52"/>
        <v>285.83623046025156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127.75776000000003</v>
      </c>
      <c r="P46" s="14">
        <f t="shared" si="33"/>
        <v>33.477720030956604</v>
      </c>
      <c r="Q46" s="22">
        <f t="shared" si="53"/>
        <v>280.81846105391611</v>
      </c>
      <c r="R46" s="61">
        <f t="shared" si="0"/>
        <v>574.15179438724942</v>
      </c>
      <c r="S46" s="61">
        <f ca="1">AVERAGE(OFFSET($R$3,0,0,'Données projet'!$E$9+1,1))-AVERAGE(OFFSET($H$3,0,0,'Données projet'!$E$9+1,1))</f>
        <v>428.8489304403459</v>
      </c>
      <c r="T46" s="61">
        <f t="shared" si="34"/>
        <v>247.01165577562966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1">
        <f t="shared" si="5"/>
        <v>607.18273374145838</v>
      </c>
      <c r="AN46" s="61">
        <f ca="1">AVERAGE(OFFSET($AM$3,0,0,'Données projet'!$E$10+1,1))-AVERAGE(OFFSET($H$3,0,0,'Données projet'!$E$10+1,1))</f>
        <v>475.47920969424894</v>
      </c>
      <c r="AO46" s="61">
        <f t="shared" si="36"/>
        <v>271.73544012419364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18.714285714285715</v>
      </c>
      <c r="BD46" s="13">
        <f>IF('Données projet'!$A$88&gt;35,BD45+BC46-BL45,IF(A46&lt;'Données projet'!$A$88,$BA$205^A46,IF(A46='Données projet'!$A$88,'Données projet'!$B$88,BD45+BC46-BL45)))</f>
        <v>360.7142857142855</v>
      </c>
      <c r="BE46" s="14">
        <f>BD46*VLOOKUP('Données projet'!$B$11,Paramètres!$A$1:$I$89,3,0)*VLOOKUP('Données projet'!$B$11,Paramètres!$A$1:$I$89,5,0)</f>
        <v>201.63928571428559</v>
      </c>
      <c r="BF46" s="14">
        <f t="shared" si="37"/>
        <v>50.104261772905943</v>
      </c>
      <c r="BG46" s="22">
        <f t="shared" si="7"/>
        <v>438.45334520685856</v>
      </c>
      <c r="BH46" s="61">
        <f t="shared" si="8"/>
        <v>731.78667854019182</v>
      </c>
      <c r="BI46" s="61">
        <f ca="1">AVERAGE(OFFSET($BH$3,0,0,'Données projet'!$E$11+1,1))-AVERAGE(OFFSET($H$3,0,0,'Données projet'!$E$11+1,1))</f>
        <v>374.79806286316051</v>
      </c>
      <c r="BJ46" s="61">
        <f t="shared" si="38"/>
        <v>350.01856672839466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15.530067830596492</v>
      </c>
      <c r="BR46" s="23">
        <f>EXP(-LN(2)/2)*BR45+(1-EXP(-LN(2)/2))/(LN(2)/2)*BL46*BO46*VLOOKUP('Données projet'!$B$11,Paramètres!$A$1:$I$89,3,0)*0.475*44/12</f>
        <v>0.12161994719363077</v>
      </c>
      <c r="BS46" s="24">
        <f t="shared" si="9"/>
        <v>15.651687777790123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11.443589743589742</v>
      </c>
      <c r="BY46" s="13">
        <f>IF('Données projet'!$A$114&gt;35,BY45+BX46-CG45,IF(A46&lt;'Données projet'!$A$114,$BV$205^A46,IF(A46='Données projet'!$A$114,'Données projet'!$B$114,BY45+BX46-CG45)))</f>
        <v>296.02051282051286</v>
      </c>
      <c r="BZ46" s="14">
        <f>BY46*VLOOKUP('Données projet'!$B$12,Paramètres!$A$1:$I$89,3,0)*VLOOKUP('Données projet'!$B$12,Paramètres!$A$1:$I$89,5,0)</f>
        <v>138.53760000000003</v>
      </c>
      <c r="CA46" s="14">
        <f t="shared" si="39"/>
        <v>35.9617857252005</v>
      </c>
      <c r="CB46" s="22">
        <f t="shared" si="10"/>
        <v>303.91976347139087</v>
      </c>
      <c r="CC46" s="61">
        <f t="shared" si="11"/>
        <v>597.25309680472424</v>
      </c>
      <c r="CD46" s="61">
        <f ca="1">AVERAGE(OFFSET($CC$3,0,0,'Données projet'!$E$12+1,1))-AVERAGE(OFFSET($H$3,0,0,'Données projet'!$E$12+1,1))</f>
        <v>285.59863510278109</v>
      </c>
      <c r="CE46" s="61">
        <f t="shared" si="40"/>
        <v>190.4880882944471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8.9</v>
      </c>
      <c r="CT46" s="13">
        <f>IF('Données projet'!$A$140&gt;35,CT45+CS46-DB45,IF(A46&lt;'Données projet'!$A$140,$CQ$205^A46,IF(A46='Données projet'!$A$140,'Données projet'!$B$140,CT45+CS46-DB45)))</f>
        <v>162.70000000000002</v>
      </c>
      <c r="CU46" s="18">
        <f>CT46*VLOOKUP('Données projet'!$B$13,Paramètres!$A$1:$I$89,3,0)*VLOOKUP('Données projet'!$B$13,Paramètres!$A$1:$I$89,5,0)</f>
        <v>78.258700000000005</v>
      </c>
      <c r="CV46" s="14">
        <f t="shared" si="41"/>
        <v>21.710883459441131</v>
      </c>
      <c r="CW46" s="22">
        <f t="shared" si="13"/>
        <v>174.11369119185997</v>
      </c>
      <c r="CX46" s="61">
        <f t="shared" si="14"/>
        <v>467.44702452519329</v>
      </c>
      <c r="CY46" s="61">
        <f ca="1">AVERAGE(OFFSET($CX$3,0,0,'Données projet'!$E$13+1,1))-AVERAGE(OFFSET($H$3,0,0,'Données projet'!$E$13+1,1))</f>
        <v>273.72618036666552</v>
      </c>
      <c r="CZ46" s="61">
        <f t="shared" si="42"/>
        <v>157.67999791700714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6.7948717948717956</v>
      </c>
      <c r="DO46" s="13">
        <f>IF('Données projet'!$A$166&gt;35,DO45+DN46-DW45,IF(A46&lt;'Données projet'!$A$166,$DL$205^A46,IF(A46='Données projet'!$A$166,'Données projet'!$B$166,DO45+DN46-DW45)))</f>
        <v>176.79487179487182</v>
      </c>
      <c r="DP46" s="18">
        <f>DO46*VLOOKUP('Données projet'!$B$14,Paramètres!$A$1:$I$89,3,0)*VLOOKUP('Données projet'!$B$14,Paramètres!$A$1:$I$89,5,0)</f>
        <v>118.59400000000002</v>
      </c>
      <c r="DQ46" s="14">
        <f t="shared" si="43"/>
        <v>31.346848285873225</v>
      </c>
      <c r="DR46" s="22">
        <f t="shared" si="16"/>
        <v>261.14697743122923</v>
      </c>
      <c r="DS46" s="61">
        <f t="shared" si="17"/>
        <v>554.48031076456255</v>
      </c>
      <c r="DT46" s="61">
        <f ca="1">AVERAGE(OFFSET($DS$3,0,0,'Données projet'!$E$14+1,1))-AVERAGE(OFFSET($H$3,0,0,'Données projet'!$E$14+1,1))</f>
        <v>312.06797204903796</v>
      </c>
      <c r="DU46" s="61">
        <f t="shared" si="44"/>
        <v>258.20189001775151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6.6866666666666665</v>
      </c>
      <c r="EJ46" s="13">
        <f>IF('Données projet'!$A$192&gt;35,EJ45+EI46-ER45,IF(A46&lt;'Données projet'!$A$192,$EG$205^A46,IF(A46='Données projet'!$A$192,'Données projet'!$B$192,EJ45+EI46-ER45)))</f>
        <v>145.26666666666659</v>
      </c>
      <c r="EK46" s="18">
        <f>EJ46*VLOOKUP('Données projet'!$B$15,Paramètres!$A$1:$I$89,3,0)*VLOOKUP('Données projet'!$B$15,Paramètres!$A$1:$I$89,5,0)</f>
        <v>117.84031999999995</v>
      </c>
      <c r="EL46" s="14">
        <f t="shared" si="45"/>
        <v>31.170758224147196</v>
      </c>
      <c r="EM46" s="22">
        <f t="shared" si="19"/>
        <v>259.52762790705634</v>
      </c>
      <c r="EN46" s="61">
        <f t="shared" si="20"/>
        <v>552.86096124038966</v>
      </c>
      <c r="EO46" s="61">
        <f ca="1">AVERAGE(OFFSET($EN$3,0,0,'Données projet'!$E$15+1,1))-AVERAGE(OFFSET($H$3,0,0,'Données projet'!$E$15+1,1))</f>
        <v>222.15256609836689</v>
      </c>
      <c r="EP46" s="61">
        <f t="shared" si="46"/>
        <v>221.10360210521077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11.142857142857142</v>
      </c>
      <c r="FE46" s="13">
        <f>IF('Données projet'!$A$218&gt;35,FE45+FD46-FM45,IF(A46&lt;'Données projet'!$A$218,$FB$205^A46,IF(A46='Données projet'!$A$218,'Données projet'!$B$218,FE45+FD46-FM45)))</f>
        <v>218.8571428571428</v>
      </c>
      <c r="FF46" s="18">
        <f>FE46*VLOOKUP('Données projet'!$B$16,Paramètres!$A$1:$I$89,3,0)*VLOOKUP('Données projet'!$B$16,Paramètres!$A$1:$I$89,5,0)</f>
        <v>170.70857142857139</v>
      </c>
      <c r="FG46" s="14">
        <f t="shared" si="47"/>
        <v>43.248681576985412</v>
      </c>
      <c r="FH46" s="22">
        <f t="shared" si="22"/>
        <v>372.64221565134471</v>
      </c>
      <c r="FI46" s="61">
        <f t="shared" si="23"/>
        <v>665.97554898467797</v>
      </c>
      <c r="FJ46" s="61">
        <f ca="1">AVERAGE(OFFSET($FI$3,0,0,'Données projet'!$E$16+1,1))-AVERAGE(OFFSET($H$3,0,0,'Données projet'!$E$16+1,1))</f>
        <v>292.57482726862594</v>
      </c>
      <c r="FK46" s="61">
        <f t="shared" si="48"/>
        <v>283.48738729114024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8.4</v>
      </c>
      <c r="FZ46" s="13">
        <f>IF('Données projet'!$A$244&gt;35,FZ45+FY46-GH45,IF(A46&lt;'Données projet'!$A$244,$FW$205^A46,IF(A46='Données projet'!$A$244,'Données projet'!$B$244,FZ45+FY46-GH45)))</f>
        <v>141.20000000000005</v>
      </c>
      <c r="GA46" s="18">
        <f>FZ46*VLOOKUP('Données projet'!$B$17,Paramètres!$A$1:$I$89,3,0)*VLOOKUP('Données projet'!$B$17,Paramètres!$A$1:$I$89,5,0)</f>
        <v>136.56864000000004</v>
      </c>
      <c r="GB46" s="14">
        <f t="shared" si="49"/>
        <v>35.509797430964703</v>
      </c>
      <c r="GC46" s="22">
        <f t="shared" si="25"/>
        <v>299.70327852559694</v>
      </c>
      <c r="GD46" s="61">
        <f t="shared" si="26"/>
        <v>593.0366118589302</v>
      </c>
      <c r="GE46" s="61">
        <f ca="1">AVERAGE(OFFSET($GD$3,0,0,'Données projet'!$E$17+1,1))-AVERAGE(OFFSET($H$3,0,0,'Données projet'!$E$17+1,1))</f>
        <v>455.50822833641354</v>
      </c>
      <c r="GF46" s="61">
        <f t="shared" si="50"/>
        <v>261.14722581688039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8.4</v>
      </c>
      <c r="GU46" s="13">
        <f>IF('Données projet'!$A$270&gt;35,GU45+GT46-HC45,IF(A46&lt;'Données projet'!$A$270,$GR$205^A46,IF(A46='Données projet'!$A$270,'Données projet'!$B$270,GU45+GT46-HC45)))</f>
        <v>141.20000000000005</v>
      </c>
      <c r="GV46" s="18">
        <f>GU46*VLOOKUP('Données projet'!$B$18,Paramètres!$A$1:$I$89,3,0)*VLOOKUP('Données projet'!$B$18,Paramètres!$A$1:$I$89,5,0)</f>
        <v>151.98768000000004</v>
      </c>
      <c r="GW46" s="14">
        <f t="shared" si="51"/>
        <v>39.029946373574369</v>
      </c>
      <c r="GX46" s="22">
        <f t="shared" si="28"/>
        <v>332.68903260064207</v>
      </c>
      <c r="GY46" s="61">
        <f t="shared" si="29"/>
        <v>626.02236593397538</v>
      </c>
      <c r="GZ46" s="61">
        <f ca="1">AVERAGE(OFFSET($GY$3,0,0,'Données projet'!$E$18+1,1))-AVERAGE(OFFSET($H$3,0,0,'Données projet'!$E$18+1,1))</f>
        <v>502.07782026233912</v>
      </c>
      <c r="HA46" s="61">
        <f t="shared" si="52"/>
        <v>285.83623046025156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135.35808000000006</v>
      </c>
      <c r="P47" s="14">
        <f t="shared" si="33"/>
        <v>35.231528980112834</v>
      </c>
      <c r="Q47" s="22">
        <f t="shared" si="53"/>
        <v>297.11023564036327</v>
      </c>
      <c r="R47" s="61">
        <f t="shared" si="0"/>
        <v>590.44356897369653</v>
      </c>
      <c r="S47" s="61">
        <f ca="1">AVERAGE(OFFSET($R$3,0,0,'Données projet'!$E$9+1,1))-AVERAGE(OFFSET($H$3,0,0,'Données projet'!$E$9+1,1))</f>
        <v>428.8489304403459</v>
      </c>
      <c r="T47" s="61">
        <f t="shared" si="34"/>
        <v>247.01165577562966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1">
        <f t="shared" si="5"/>
        <v>625.39565441895047</v>
      </c>
      <c r="AN47" s="61">
        <f ca="1">AVERAGE(OFFSET($AM$3,0,0,'Données projet'!$E$10+1,1))-AVERAGE(OFFSET($H$3,0,0,'Données projet'!$E$10+1,1))</f>
        <v>475.47920969424894</v>
      </c>
      <c r="AO47" s="61">
        <f t="shared" si="36"/>
        <v>271.73544012419364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18.714285714285715</v>
      </c>
      <c r="BD47" s="13">
        <f>IF('Données projet'!$A$88&gt;35,BD46+BC47-BL46,IF(A47&lt;'Données projet'!$A$88,$BA$205^A47,IF(A47='Données projet'!$A$88,'Données projet'!$B$88,BD46+BC47-BL46)))</f>
        <v>379.42857142857122</v>
      </c>
      <c r="BE47" s="14">
        <f>BD47*VLOOKUP('Données projet'!$B$11,Paramètres!$A$1:$I$89,3,0)*VLOOKUP('Données projet'!$B$11,Paramètres!$A$1:$I$89,5,0)</f>
        <v>212.10057142857133</v>
      </c>
      <c r="BF47" s="14">
        <f t="shared" si="37"/>
        <v>52.394347167709434</v>
      </c>
      <c r="BG47" s="22">
        <f t="shared" si="7"/>
        <v>460.66198322185556</v>
      </c>
      <c r="BH47" s="61">
        <f t="shared" si="8"/>
        <v>753.99531655518888</v>
      </c>
      <c r="BI47" s="61">
        <f ca="1">AVERAGE(OFFSET($BH$3,0,0,'Données projet'!$E$11+1,1))-AVERAGE(OFFSET($H$3,0,0,'Données projet'!$E$11+1,1))</f>
        <v>374.79806286316051</v>
      </c>
      <c r="BJ47" s="61">
        <f t="shared" si="38"/>
        <v>350.01856672839466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15.105397309078057</v>
      </c>
      <c r="BR47" s="23">
        <f>EXP(-LN(2)/2)*BR46+(1-EXP(-LN(2)/2))/(LN(2)/2)*BL47*BO47*VLOOKUP('Données projet'!$B$11,Paramètres!$A$1:$I$89,3,0)*0.475*44/12</f>
        <v>8.5998289388166144E-2</v>
      </c>
      <c r="BS47" s="24">
        <f t="shared" si="9"/>
        <v>15.191395598466224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11.443589743589742</v>
      </c>
      <c r="BY47" s="13">
        <f>IF('Données projet'!$A$114&gt;35,BY46+BX47-CG46,IF(A47&lt;'Données projet'!$A$114,$BV$205^A47,IF(A47='Données projet'!$A$114,'Données projet'!$B$114,BY46+BX47-CG46)))</f>
        <v>307.46410256410263</v>
      </c>
      <c r="BZ47" s="14">
        <f>BY47*VLOOKUP('Données projet'!$B$12,Paramètres!$A$1:$I$89,3,0)*VLOOKUP('Données projet'!$B$12,Paramètres!$A$1:$I$89,5,0)</f>
        <v>143.89320000000004</v>
      </c>
      <c r="CA47" s="14">
        <f t="shared" si="39"/>
        <v>37.187454199603145</v>
      </c>
      <c r="CB47" s="22">
        <f t="shared" si="10"/>
        <v>315.38213939764222</v>
      </c>
      <c r="CC47" s="61">
        <f t="shared" si="11"/>
        <v>608.71547273097553</v>
      </c>
      <c r="CD47" s="61">
        <f ca="1">AVERAGE(OFFSET($CC$3,0,0,'Données projet'!$E$12+1,1))-AVERAGE(OFFSET($H$3,0,0,'Données projet'!$E$12+1,1))</f>
        <v>285.59863510278109</v>
      </c>
      <c r="CE47" s="61">
        <f t="shared" si="40"/>
        <v>190.4880882944471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8.9</v>
      </c>
      <c r="CT47" s="13">
        <f>IF('Données projet'!$A$140&gt;35,CT46+CS47-DB46,IF(A47&lt;'Données projet'!$A$140,$CQ$205^A47,IF(A47='Données projet'!$A$140,'Données projet'!$B$140,CT46+CS47-DB46)))</f>
        <v>171.60000000000002</v>
      </c>
      <c r="CU47" s="18">
        <f>CT47*VLOOKUP('Données projet'!$B$13,Paramètres!$A$1:$I$89,3,0)*VLOOKUP('Données projet'!$B$13,Paramètres!$A$1:$I$89,5,0)</f>
        <v>82.539600000000007</v>
      </c>
      <c r="CV47" s="14">
        <f t="shared" si="41"/>
        <v>22.756995627482848</v>
      </c>
      <c r="CW47" s="22">
        <f t="shared" si="13"/>
        <v>183.39157071786599</v>
      </c>
      <c r="CX47" s="61">
        <f t="shared" si="14"/>
        <v>476.7249040511993</v>
      </c>
      <c r="CY47" s="61">
        <f ca="1">AVERAGE(OFFSET($CX$3,0,0,'Données projet'!$E$13+1,1))-AVERAGE(OFFSET($H$3,0,0,'Données projet'!$E$13+1,1))</f>
        <v>273.72618036666552</v>
      </c>
      <c r="CZ47" s="61">
        <f t="shared" si="42"/>
        <v>157.67999791700714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6.7948717948717956</v>
      </c>
      <c r="DO47" s="13">
        <f>IF('Données projet'!$A$166&gt;35,DO46+DN47-DW46,IF(A47&lt;'Données projet'!$A$166,$DL$205^A47,IF(A47='Données projet'!$A$166,'Données projet'!$B$166,DO46+DN47-DW46)))</f>
        <v>183.58974358974362</v>
      </c>
      <c r="DP47" s="18">
        <f>DO47*VLOOKUP('Données projet'!$B$14,Paramètres!$A$1:$I$89,3,0)*VLOOKUP('Données projet'!$B$14,Paramètres!$A$1:$I$89,5,0)</f>
        <v>123.15200000000002</v>
      </c>
      <c r="DQ47" s="14">
        <f t="shared" si="43"/>
        <v>32.409038525483382</v>
      </c>
      <c r="DR47" s="22">
        <f t="shared" si="16"/>
        <v>270.93547543188362</v>
      </c>
      <c r="DS47" s="61">
        <f t="shared" si="17"/>
        <v>564.26880876521693</v>
      </c>
      <c r="DT47" s="61">
        <f ca="1">AVERAGE(OFFSET($DS$3,0,0,'Données projet'!$E$14+1,1))-AVERAGE(OFFSET($H$3,0,0,'Données projet'!$E$14+1,1))</f>
        <v>312.06797204903796</v>
      </c>
      <c r="DU47" s="61">
        <f t="shared" si="44"/>
        <v>258.20189001775151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6.6866666666666665</v>
      </c>
      <c r="EJ47" s="13">
        <f>IF('Données projet'!$A$192&gt;35,EJ46+EI47-ER46,IF(A47&lt;'Données projet'!$A$192,$EG$205^A47,IF(A47='Données projet'!$A$192,'Données projet'!$B$192,EJ46+EI47-ER46)))</f>
        <v>151.95333333333326</v>
      </c>
      <c r="EK47" s="18">
        <f>EJ47*VLOOKUP('Données projet'!$B$15,Paramètres!$A$1:$I$89,3,0)*VLOOKUP('Données projet'!$B$15,Paramètres!$A$1:$I$89,5,0)</f>
        <v>123.26454399999996</v>
      </c>
      <c r="EL47" s="14">
        <f t="shared" si="45"/>
        <v>32.435207074347801</v>
      </c>
      <c r="EM47" s="22">
        <f t="shared" si="19"/>
        <v>271.17706645448902</v>
      </c>
      <c r="EN47" s="61">
        <f t="shared" si="20"/>
        <v>564.51039978782228</v>
      </c>
      <c r="EO47" s="61">
        <f ca="1">AVERAGE(OFFSET($EN$3,0,0,'Données projet'!$E$15+1,1))-AVERAGE(OFFSET($H$3,0,0,'Données projet'!$E$15+1,1))</f>
        <v>222.15256609836689</v>
      </c>
      <c r="EP47" s="61">
        <f t="shared" si="46"/>
        <v>221.10360210521077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>
        <f>VLOOKUP(A47,'Données projet'!$A$217:$I$237,2,0)</f>
        <v>230</v>
      </c>
      <c r="FC47" s="13">
        <f>VLOOKUP(A47,'Données projet'!$A$217:$I$237,9,0)</f>
        <v>11.142857142857142</v>
      </c>
      <c r="FD47" s="13">
        <f t="array" ref="FD47">INDEX(FC:FC,MIN(IF(ISNUMBER(FC47:FC243),ROW(FC47:FC243),"")))</f>
        <v>11.142857142857142</v>
      </c>
      <c r="FE47" s="13">
        <f>IF('Données projet'!$A$218&gt;35,FE46+FD47-FM46,IF(A47&lt;'Données projet'!$A$218,$FB$205^A47,IF(A47='Données projet'!$A$218,'Données projet'!$B$218,FE46+FD47-FM46)))</f>
        <v>229.99999999999994</v>
      </c>
      <c r="FF47" s="18">
        <f>FE47*VLOOKUP('Données projet'!$B$16,Paramètres!$A$1:$I$89,3,0)*VLOOKUP('Données projet'!$B$16,Paramètres!$A$1:$I$89,5,0)</f>
        <v>179.39999999999995</v>
      </c>
      <c r="FG47" s="14">
        <f t="shared" si="47"/>
        <v>45.188671291872232</v>
      </c>
      <c r="FH47" s="22">
        <f t="shared" si="22"/>
        <v>391.15860250001066</v>
      </c>
      <c r="FI47" s="61">
        <f t="shared" si="23"/>
        <v>684.49193583334397</v>
      </c>
      <c r="FJ47" s="61">
        <f ca="1">AVERAGE(OFFSET($FI$3,0,0,'Données projet'!$E$16+1,1))-AVERAGE(OFFSET($H$3,0,0,'Données projet'!$E$16+1,1))</f>
        <v>292.57482726862594</v>
      </c>
      <c r="FK47" s="61">
        <f t="shared" si="48"/>
        <v>283.48738729114024</v>
      </c>
      <c r="FL47" s="16">
        <f>IF(ISNA(VLOOKUP(A47,'Données projet'!$A$217:$I$237,3,0)),0,VLOOKUP(A47,'Données projet'!$A$217:$I$237,3,0))</f>
        <v>4</v>
      </c>
      <c r="FM47" s="16">
        <f>IF(ISNA(VLOOKUP(A47,'Données projet'!$A$217:$I$237,4,0)),0,VLOOKUP(A47,'Données projet'!$A$217:$I$237,4,0))</f>
        <v>43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8.4</v>
      </c>
      <c r="FZ47" s="13">
        <f>IF('Données projet'!$A$244&gt;35,FZ46+FY47-GH46,IF(A47&lt;'Données projet'!$A$244,$FW$205^A47,IF(A47='Données projet'!$A$244,'Données projet'!$B$244,FZ46+FY47-GH46)))</f>
        <v>149.60000000000005</v>
      </c>
      <c r="GA47" s="18">
        <f>FZ47*VLOOKUP('Données projet'!$B$17,Paramètres!$A$1:$I$89,3,0)*VLOOKUP('Données projet'!$B$17,Paramètres!$A$1:$I$89,5,0)</f>
        <v>144.69312000000005</v>
      </c>
      <c r="GB47" s="14">
        <f t="shared" si="49"/>
        <v>37.370061524802772</v>
      </c>
      <c r="GC47" s="22">
        <f t="shared" si="25"/>
        <v>317.09337448903153</v>
      </c>
      <c r="GD47" s="61">
        <f t="shared" si="26"/>
        <v>610.42670782236485</v>
      </c>
      <c r="GE47" s="61">
        <f ca="1">AVERAGE(OFFSET($GD$3,0,0,'Données projet'!$E$17+1,1))-AVERAGE(OFFSET($H$3,0,0,'Données projet'!$E$17+1,1))</f>
        <v>455.50822833641354</v>
      </c>
      <c r="GF47" s="61">
        <f t="shared" si="50"/>
        <v>261.14722581688039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8.4</v>
      </c>
      <c r="GU47" s="13">
        <f>IF('Données projet'!$A$270&gt;35,GU46+GT47-HC46,IF(A47&lt;'Données projet'!$A$270,$GR$205^A47,IF(A47='Données projet'!$A$270,'Données projet'!$B$270,GU46+GT47-HC46)))</f>
        <v>149.60000000000005</v>
      </c>
      <c r="GV47" s="18">
        <f>GU47*VLOOKUP('Données projet'!$B$18,Paramètres!$A$1:$I$89,3,0)*VLOOKUP('Données projet'!$B$18,Paramètres!$A$1:$I$89,5,0)</f>
        <v>161.02944000000005</v>
      </c>
      <c r="GW47" s="14">
        <f t="shared" si="51"/>
        <v>41.074621732940727</v>
      </c>
      <c r="GX47" s="22">
        <f t="shared" si="28"/>
        <v>351.99790751820518</v>
      </c>
      <c r="GY47" s="61">
        <f t="shared" si="29"/>
        <v>645.3312408515385</v>
      </c>
      <c r="GZ47" s="61">
        <f ca="1">AVERAGE(OFFSET($GY$3,0,0,'Données projet'!$E$18+1,1))-AVERAGE(OFFSET($H$3,0,0,'Données projet'!$E$18+1,1))</f>
        <v>502.07782026233912</v>
      </c>
      <c r="HA47" s="61">
        <f t="shared" si="52"/>
        <v>285.83623046025156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142.95840000000004</v>
      </c>
      <c r="P48" s="14">
        <f t="shared" si="33"/>
        <v>36.973906370811264</v>
      </c>
      <c r="Q48" s="22">
        <f t="shared" si="53"/>
        <v>313.38210026249641</v>
      </c>
      <c r="R48" s="61">
        <f t="shared" si="0"/>
        <v>606.71543359582972</v>
      </c>
      <c r="S48" s="61">
        <f ca="1">AVERAGE(OFFSET($R$3,0,0,'Données projet'!$E$9+1,1))-AVERAGE(OFFSET($H$3,0,0,'Données projet'!$E$9+1,1))</f>
        <v>428.8489304403459</v>
      </c>
      <c r="T48" s="61">
        <f t="shared" si="34"/>
        <v>247.01165577562966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1">
        <f t="shared" si="5"/>
        <v>643.58655618988519</v>
      </c>
      <c r="AN48" s="61">
        <f ca="1">AVERAGE(OFFSET($AM$3,0,0,'Données projet'!$E$10+1,1))-AVERAGE(OFFSET($H$3,0,0,'Données projet'!$E$10+1,1))</f>
        <v>475.47920969424894</v>
      </c>
      <c r="AO48" s="61">
        <f t="shared" si="36"/>
        <v>271.73544012419364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18.714285714285715</v>
      </c>
      <c r="BD48" s="13">
        <f>IF('Données projet'!$A$88&gt;35,BD47+BC48-BL47,IF(A48&lt;'Données projet'!$A$88,$BA$205^A48,IF(A48='Données projet'!$A$88,'Données projet'!$B$88,BD47+BC48-BL47)))</f>
        <v>398.14285714285694</v>
      </c>
      <c r="BE48" s="14">
        <f>BD48*VLOOKUP('Données projet'!$B$11,Paramètres!$A$1:$I$89,3,0)*VLOOKUP('Données projet'!$B$11,Paramètres!$A$1:$I$89,5,0)</f>
        <v>222.56185714285704</v>
      </c>
      <c r="BF48" s="14">
        <f t="shared" si="37"/>
        <v>54.671316974727738</v>
      </c>
      <c r="BG48" s="22">
        <f t="shared" si="7"/>
        <v>482.84777825479341</v>
      </c>
      <c r="BH48" s="61">
        <f t="shared" si="8"/>
        <v>776.18111158812667</v>
      </c>
      <c r="BI48" s="61">
        <f ca="1">AVERAGE(OFFSET($BH$3,0,0,'Données projet'!$E$11+1,1))-AVERAGE(OFFSET($H$3,0,0,'Données projet'!$E$11+1,1))</f>
        <v>374.79806286316051</v>
      </c>
      <c r="BJ48" s="61">
        <f t="shared" si="38"/>
        <v>350.01856672839466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14.692339425302997</v>
      </c>
      <c r="BR48" s="23">
        <f>EXP(-LN(2)/2)*BR47+(1-EXP(-LN(2)/2))/(LN(2)/2)*BL48*BO48*VLOOKUP('Données projet'!$B$11,Paramètres!$A$1:$I$89,3,0)*0.475*44/12</f>
        <v>6.0809973596815392E-2</v>
      </c>
      <c r="BS48" s="24">
        <f t="shared" si="9"/>
        <v>14.753149398899811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11.443589743589742</v>
      </c>
      <c r="BY48" s="13">
        <f>IF('Données projet'!$A$114&gt;35,BY47+BX48-CG47,IF(A48&lt;'Données projet'!$A$114,$BV$205^A48,IF(A48='Données projet'!$A$114,'Données projet'!$B$114,BY47+BX48-CG47)))</f>
        <v>318.9076923076924</v>
      </c>
      <c r="BZ48" s="14">
        <f>BY48*VLOOKUP('Données projet'!$B$12,Paramètres!$A$1:$I$89,3,0)*VLOOKUP('Données projet'!$B$12,Paramètres!$A$1:$I$89,5,0)</f>
        <v>149.24880000000005</v>
      </c>
      <c r="CA48" s="14">
        <f t="shared" si="39"/>
        <v>38.40782287536252</v>
      </c>
      <c r="CB48" s="22">
        <f t="shared" si="10"/>
        <v>326.83528484125645</v>
      </c>
      <c r="CC48" s="61">
        <f t="shared" si="11"/>
        <v>620.16861817458971</v>
      </c>
      <c r="CD48" s="61">
        <f ca="1">AVERAGE(OFFSET($CC$3,0,0,'Données projet'!$E$12+1,1))-AVERAGE(OFFSET($H$3,0,0,'Données projet'!$E$12+1,1))</f>
        <v>285.59863510278109</v>
      </c>
      <c r="CE48" s="61">
        <f t="shared" si="40"/>
        <v>190.4880882944471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8.9</v>
      </c>
      <c r="CT48" s="13">
        <f>IF('Données projet'!$A$140&gt;35,CT47+CS48-DB47,IF(A48&lt;'Données projet'!$A$140,$CQ$205^A48,IF(A48='Données projet'!$A$140,'Données projet'!$B$140,CT47+CS48-DB47)))</f>
        <v>180.50000000000003</v>
      </c>
      <c r="CU48" s="18">
        <f>CT48*VLOOKUP('Données projet'!$B$13,Paramètres!$A$1:$I$89,3,0)*VLOOKUP('Données projet'!$B$13,Paramètres!$A$1:$I$89,5,0)</f>
        <v>86.820500000000024</v>
      </c>
      <c r="CV48" s="14">
        <f t="shared" si="41"/>
        <v>23.796808394103852</v>
      </c>
      <c r="CW48" s="22">
        <f t="shared" si="13"/>
        <v>192.65847878639758</v>
      </c>
      <c r="CX48" s="61">
        <f t="shared" si="14"/>
        <v>485.99181211973087</v>
      </c>
      <c r="CY48" s="61">
        <f ca="1">AVERAGE(OFFSET($CX$3,0,0,'Données projet'!$E$13+1,1))-AVERAGE(OFFSET($H$3,0,0,'Données projet'!$E$13+1,1))</f>
        <v>273.72618036666552</v>
      </c>
      <c r="CZ48" s="61">
        <f t="shared" si="42"/>
        <v>157.67999791700714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190.38461538461539</v>
      </c>
      <c r="DM48" s="13">
        <f>VLOOKUP(A48,'Données projet'!$A$165:$I$185,9,0)</f>
        <v>6.7948717948717956</v>
      </c>
      <c r="DN48" s="13">
        <f t="array" ref="DN48">INDEX(DM:DM,MIN(IF(ISNUMBER(DM48:DM244),ROW(DM48:DM244),"")))</f>
        <v>6.7948717948717956</v>
      </c>
      <c r="DO48" s="13">
        <f>IF('Données projet'!$A$166&gt;35,DO47+DN48-DW47,IF(A48&lt;'Données projet'!$A$166,$DL$205^A48,IF(A48='Données projet'!$A$166,'Données projet'!$B$166,DO47+DN48-DW47)))</f>
        <v>190.38461538461542</v>
      </c>
      <c r="DP48" s="18">
        <f>DO48*VLOOKUP('Données projet'!$B$14,Paramètres!$A$1:$I$89,3,0)*VLOOKUP('Données projet'!$B$14,Paramètres!$A$1:$I$89,5,0)</f>
        <v>127.71000000000002</v>
      </c>
      <c r="DQ48" s="14">
        <f t="shared" si="43"/>
        <v>33.466661484162984</v>
      </c>
      <c r="DR48" s="22">
        <f t="shared" si="16"/>
        <v>280.71601875158382</v>
      </c>
      <c r="DS48" s="61">
        <f t="shared" si="17"/>
        <v>574.04935208491713</v>
      </c>
      <c r="DT48" s="61">
        <f ca="1">AVERAGE(OFFSET($DS$3,0,0,'Données projet'!$E$14+1,1))-AVERAGE(OFFSET($H$3,0,0,'Données projet'!$E$14+1,1))</f>
        <v>312.06797204903796</v>
      </c>
      <c r="DU48" s="61">
        <f t="shared" si="44"/>
        <v>258.20189001775151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6.6866666666666665</v>
      </c>
      <c r="EJ48" s="13">
        <f>IF('Données projet'!$A$192&gt;35,EJ47+EI48-ER47,IF(A48&lt;'Données projet'!$A$192,$EG$205^A48,IF(A48='Données projet'!$A$192,'Données projet'!$B$192,EJ47+EI48-ER47)))</f>
        <v>158.63999999999993</v>
      </c>
      <c r="EK48" s="18">
        <f>EJ48*VLOOKUP('Données projet'!$B$15,Paramètres!$A$1:$I$89,3,0)*VLOOKUP('Données projet'!$B$15,Paramètres!$A$1:$I$89,5,0)</f>
        <v>128.68876799999995</v>
      </c>
      <c r="EL48" s="14">
        <f t="shared" si="45"/>
        <v>33.693193582555281</v>
      </c>
      <c r="EM48" s="22">
        <f t="shared" si="19"/>
        <v>282.81524975628366</v>
      </c>
      <c r="EN48" s="61">
        <f t="shared" si="20"/>
        <v>576.14858308961698</v>
      </c>
      <c r="EO48" s="61">
        <f ca="1">AVERAGE(OFFSET($EN$3,0,0,'Données projet'!$E$15+1,1))-AVERAGE(OFFSET($H$3,0,0,'Données projet'!$E$15+1,1))</f>
        <v>222.15256609836689</v>
      </c>
      <c r="EP48" s="61">
        <f t="shared" si="46"/>
        <v>221.10360210521077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10.375</v>
      </c>
      <c r="FE48" s="13">
        <f>IF('Données projet'!$A$218&gt;35,FE47+FD48-FM47,IF(A48&lt;'Données projet'!$A$218,$FB$205^A48,IF(A48='Données projet'!$A$218,'Données projet'!$B$218,FE47+FD48-FM47)))</f>
        <v>197.37499999999994</v>
      </c>
      <c r="FF48" s="18">
        <f>FE48*VLOOKUP('Données projet'!$B$16,Paramètres!$A$1:$I$89,3,0)*VLOOKUP('Données projet'!$B$16,Paramètres!$A$1:$I$89,5,0)</f>
        <v>153.95249999999996</v>
      </c>
      <c r="FG48" s="14">
        <f t="shared" si="47"/>
        <v>39.475441267837397</v>
      </c>
      <c r="FH48" s="22">
        <f t="shared" si="22"/>
        <v>336.88699770815003</v>
      </c>
      <c r="FI48" s="61">
        <f t="shared" si="23"/>
        <v>630.2203310414834</v>
      </c>
      <c r="FJ48" s="61">
        <f ca="1">AVERAGE(OFFSET($FI$3,0,0,'Données projet'!$E$16+1,1))-AVERAGE(OFFSET($H$3,0,0,'Données projet'!$E$16+1,1))</f>
        <v>292.57482726862594</v>
      </c>
      <c r="FK48" s="61">
        <f t="shared" si="48"/>
        <v>283.48738729114024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>
        <f>VLOOKUP(A48,'Données projet'!$A$243:$I$263,2,0)</f>
        <v>158</v>
      </c>
      <c r="FX48" s="13">
        <f>VLOOKUP(A48,'Données projet'!$A$243:$I$263,9,0)</f>
        <v>8.4</v>
      </c>
      <c r="FY48" s="13">
        <f t="array" ref="FY48">INDEX(FX:FX,MIN(IF(ISNUMBER(FX48:FX244),ROW(FX48:FX244),"")))</f>
        <v>8.4</v>
      </c>
      <c r="FZ48" s="13">
        <f>IF('Données projet'!$A$244&gt;35,FZ47+FY48-GH47,IF(A48&lt;'Données projet'!$A$244,$FW$205^A48,IF(A48='Données projet'!$A$244,'Données projet'!$B$244,FZ47+FY48-GH47)))</f>
        <v>158.00000000000006</v>
      </c>
      <c r="GA48" s="18">
        <f>FZ48*VLOOKUP('Données projet'!$B$17,Paramètres!$A$1:$I$89,3,0)*VLOOKUP('Données projet'!$B$17,Paramètres!$A$1:$I$89,5,0)</f>
        <v>152.81760000000006</v>
      </c>
      <c r="GB48" s="14">
        <f t="shared" si="49"/>
        <v>39.218200171484227</v>
      </c>
      <c r="GC48" s="22">
        <f t="shared" si="25"/>
        <v>334.46235196533513</v>
      </c>
      <c r="GD48" s="61">
        <f t="shared" si="26"/>
        <v>627.79568529866845</v>
      </c>
      <c r="GE48" s="61">
        <f ca="1">AVERAGE(OFFSET($GD$3,0,0,'Données projet'!$E$17+1,1))-AVERAGE(OFFSET($H$3,0,0,'Données projet'!$E$17+1,1))</f>
        <v>455.50822833641354</v>
      </c>
      <c r="GF48" s="61">
        <f t="shared" si="50"/>
        <v>261.14722581688039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>
        <f>VLOOKUP(A48,'Données projet'!$A$269:$I$289,2,0)</f>
        <v>158</v>
      </c>
      <c r="GS48" s="13">
        <f>VLOOKUP(A48,'Données projet'!$A$269:$I$289,9,0)</f>
        <v>8.4</v>
      </c>
      <c r="GT48" s="13">
        <f t="array" ref="GT48">INDEX(GS:GS,MIN(IF(ISNUMBER(GS48:GS244),ROW(GS48:GS244),"")))</f>
        <v>8.4</v>
      </c>
      <c r="GU48" s="13">
        <f>IF('Données projet'!$A$270&gt;35,GU47+GT48-HC47,IF(A48&lt;'Données projet'!$A$270,$GR$205^A48,IF(A48='Données projet'!$A$270,'Données projet'!$B$270,GU47+GT48-HC47)))</f>
        <v>158.00000000000006</v>
      </c>
      <c r="GV48" s="18">
        <f>GU48*VLOOKUP('Données projet'!$B$18,Paramètres!$A$1:$I$89,3,0)*VLOOKUP('Données projet'!$B$18,Paramètres!$A$1:$I$89,5,0)</f>
        <v>170.07120000000003</v>
      </c>
      <c r="GW48" s="14">
        <f t="shared" si="51"/>
        <v>43.10596962815594</v>
      </c>
      <c r="GX48" s="22">
        <f t="shared" si="28"/>
        <v>371.28357043570503</v>
      </c>
      <c r="GY48" s="61">
        <f t="shared" si="29"/>
        <v>664.61690376903834</v>
      </c>
      <c r="GZ48" s="61">
        <f ca="1">AVERAGE(OFFSET($GY$3,0,0,'Données projet'!$E$18+1,1))-AVERAGE(OFFSET($H$3,0,0,'Données projet'!$E$18+1,1))</f>
        <v>502.07782026233912</v>
      </c>
      <c r="HA48" s="61">
        <f t="shared" si="52"/>
        <v>285.83623046025156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150.37776000000002</v>
      </c>
      <c r="P49" s="14">
        <f t="shared" si="33"/>
        <v>38.664420365454049</v>
      </c>
      <c r="Q49" s="22">
        <f t="shared" si="53"/>
        <v>329.24846413649914</v>
      </c>
      <c r="R49" s="61">
        <f t="shared" si="0"/>
        <v>622.58179746983251</v>
      </c>
      <c r="S49" s="61">
        <f ca="1">AVERAGE(OFFSET($R$3,0,0,'Données projet'!$E$9+1,1))-AVERAGE(OFFSET($H$3,0,0,'Données projet'!$E$9+1,1))</f>
        <v>428.8489304403459</v>
      </c>
      <c r="T49" s="61">
        <f t="shared" si="34"/>
        <v>247.01165577562966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1">
        <f t="shared" si="5"/>
        <v>661.32435123407731</v>
      </c>
      <c r="AN49" s="61">
        <f ca="1">AVERAGE(OFFSET($AM$3,0,0,'Données projet'!$E$10+1,1))-AVERAGE(OFFSET($H$3,0,0,'Données projet'!$E$10+1,1))</f>
        <v>475.47920969424894</v>
      </c>
      <c r="AO49" s="61">
        <f t="shared" si="36"/>
        <v>271.73544012419364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18.714285714285715</v>
      </c>
      <c r="BD49" s="13">
        <f>IF('Données projet'!$A$88&gt;35,BD48+BC49-BL48,IF(A49&lt;'Données projet'!$A$88,$BA$205^A49,IF(A49='Données projet'!$A$88,'Données projet'!$B$88,BD48+BC49-BL48)))</f>
        <v>416.85714285714266</v>
      </c>
      <c r="BE49" s="14">
        <f>BD49*VLOOKUP('Données projet'!$B$11,Paramètres!$A$1:$I$89,3,0)*VLOOKUP('Données projet'!$B$11,Paramètres!$A$1:$I$89,5,0)</f>
        <v>233.02314285714277</v>
      </c>
      <c r="BF49" s="14">
        <f t="shared" si="37"/>
        <v>56.935858075040223</v>
      </c>
      <c r="BG49" s="22">
        <f t="shared" si="7"/>
        <v>505.01192662355203</v>
      </c>
      <c r="BH49" s="61">
        <f t="shared" si="8"/>
        <v>798.34525995688534</v>
      </c>
      <c r="BI49" s="61">
        <f ca="1">AVERAGE(OFFSET($BH$3,0,0,'Données projet'!$E$11+1,1))-AVERAGE(OFFSET($H$3,0,0,'Données projet'!$E$11+1,1))</f>
        <v>374.79806286316051</v>
      </c>
      <c r="BJ49" s="61">
        <f t="shared" si="38"/>
        <v>350.01856672839466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14.290576631081535</v>
      </c>
      <c r="BR49" s="23">
        <f>EXP(-LN(2)/2)*BR48+(1-EXP(-LN(2)/2))/(LN(2)/2)*BL49*BO49*VLOOKUP('Données projet'!$B$11,Paramètres!$A$1:$I$89,3,0)*0.475*44/12</f>
        <v>4.2999144694083079E-2</v>
      </c>
      <c r="BS49" s="24">
        <f t="shared" si="9"/>
        <v>14.333575775775618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11.443589743589742</v>
      </c>
      <c r="BY49" s="13">
        <f>IF('Données projet'!$A$114&gt;35,BY48+BX49-CG48,IF(A49&lt;'Données projet'!$A$114,$BV$205^A49,IF(A49='Données projet'!$A$114,'Données projet'!$B$114,BY48+BX49-CG48)))</f>
        <v>330.35128205128217</v>
      </c>
      <c r="BZ49" s="14">
        <f>BY49*VLOOKUP('Données projet'!$B$12,Paramètres!$A$1:$I$89,3,0)*VLOOKUP('Données projet'!$B$12,Paramètres!$A$1:$I$89,5,0)</f>
        <v>154.60440000000006</v>
      </c>
      <c r="CA49" s="14">
        <f t="shared" si="39"/>
        <v>39.623103715153171</v>
      </c>
      <c r="CB49" s="22">
        <f t="shared" si="10"/>
        <v>338.2795689705585</v>
      </c>
      <c r="CC49" s="61">
        <f t="shared" si="11"/>
        <v>631.61290230389181</v>
      </c>
      <c r="CD49" s="61">
        <f ca="1">AVERAGE(OFFSET($CC$3,0,0,'Données projet'!$E$12+1,1))-AVERAGE(OFFSET($H$3,0,0,'Données projet'!$E$12+1,1))</f>
        <v>285.59863510278109</v>
      </c>
      <c r="CE49" s="61">
        <f t="shared" si="40"/>
        <v>190.4880882944471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8.9</v>
      </c>
      <c r="CT49" s="13">
        <f>IF('Données projet'!$A$140&gt;35,CT48+CS49-DB48,IF(A49&lt;'Données projet'!$A$140,$CQ$205^A49,IF(A49='Données projet'!$A$140,'Données projet'!$B$140,CT48+CS49-DB48)))</f>
        <v>189.40000000000003</v>
      </c>
      <c r="CU49" s="18">
        <f>CT49*VLOOKUP('Données projet'!$B$13,Paramètres!$A$1:$I$89,3,0)*VLOOKUP('Données projet'!$B$13,Paramètres!$A$1:$I$89,5,0)</f>
        <v>91.101400000000027</v>
      </c>
      <c r="CV49" s="14">
        <f t="shared" si="41"/>
        <v>24.830667815535264</v>
      </c>
      <c r="CW49" s="22">
        <f t="shared" si="13"/>
        <v>201.91501811205728</v>
      </c>
      <c r="CX49" s="61">
        <f t="shared" si="14"/>
        <v>495.2483514453906</v>
      </c>
      <c r="CY49" s="61">
        <f ca="1">AVERAGE(OFFSET($CX$3,0,0,'Données projet'!$E$13+1,1))-AVERAGE(OFFSET($H$3,0,0,'Données projet'!$E$13+1,1))</f>
        <v>273.72618036666552</v>
      </c>
      <c r="CZ49" s="61">
        <f t="shared" si="42"/>
        <v>157.67999791700714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6.2820512820512819</v>
      </c>
      <c r="DO49" s="13">
        <f>IF('Données projet'!$A$166&gt;35,DO48+DN49-DW48,IF(A49&lt;'Données projet'!$A$166,$DL$205^A49,IF(A49='Données projet'!$A$166,'Données projet'!$B$166,DO48+DN49-DW48)))</f>
        <v>196.66666666666669</v>
      </c>
      <c r="DP49" s="18">
        <f>DO49*VLOOKUP('Données projet'!$B$14,Paramètres!$A$1:$I$89,3,0)*VLOOKUP('Données projet'!$B$14,Paramètres!$A$1:$I$89,5,0)</f>
        <v>131.92400000000001</v>
      </c>
      <c r="DQ49" s="14">
        <f t="shared" si="43"/>
        <v>34.440558391692079</v>
      </c>
      <c r="DR49" s="22">
        <f t="shared" si="16"/>
        <v>289.75160586553034</v>
      </c>
      <c r="DS49" s="61">
        <f t="shared" si="17"/>
        <v>583.08493919886359</v>
      </c>
      <c r="DT49" s="61">
        <f ca="1">AVERAGE(OFFSET($DS$3,0,0,'Données projet'!$E$14+1,1))-AVERAGE(OFFSET($H$3,0,0,'Données projet'!$E$14+1,1))</f>
        <v>312.06797204903796</v>
      </c>
      <c r="DU49" s="61">
        <f t="shared" si="44"/>
        <v>258.20189001775151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6.6866666666666665</v>
      </c>
      <c r="EJ49" s="13">
        <f>IF('Données projet'!$A$192&gt;35,EJ48+EI49-ER48,IF(A49&lt;'Données projet'!$A$192,$EG$205^A49,IF(A49='Données projet'!$A$192,'Données projet'!$B$192,EJ48+EI49-ER48)))</f>
        <v>165.3266666666666</v>
      </c>
      <c r="EK49" s="18">
        <f>EJ49*VLOOKUP('Données projet'!$B$15,Paramètres!$A$1:$I$89,3,0)*VLOOKUP('Données projet'!$B$15,Paramètres!$A$1:$I$89,5,0)</f>
        <v>134.11299199999996</v>
      </c>
      <c r="EL49" s="14">
        <f t="shared" si="45"/>
        <v>34.945021280581678</v>
      </c>
      <c r="EM49" s="22">
        <f t="shared" si="19"/>
        <v>294.44270646367966</v>
      </c>
      <c r="EN49" s="61">
        <f t="shared" si="20"/>
        <v>587.77603979701303</v>
      </c>
      <c r="EO49" s="61">
        <f ca="1">AVERAGE(OFFSET($EN$3,0,0,'Données projet'!$E$15+1,1))-AVERAGE(OFFSET($H$3,0,0,'Données projet'!$E$15+1,1))</f>
        <v>222.15256609836689</v>
      </c>
      <c r="EP49" s="61">
        <f t="shared" si="46"/>
        <v>221.10360210521077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10.375</v>
      </c>
      <c r="FE49" s="13">
        <f>IF('Données projet'!$A$218&gt;35,FE48+FD49-FM48,IF(A49&lt;'Données projet'!$A$218,$FB$205^A49,IF(A49='Données projet'!$A$218,'Données projet'!$B$218,FE48+FD49-FM48)))</f>
        <v>207.74999999999994</v>
      </c>
      <c r="FF49" s="18">
        <f>FE49*VLOOKUP('Données projet'!$B$16,Paramètres!$A$1:$I$89,3,0)*VLOOKUP('Données projet'!$B$16,Paramètres!$A$1:$I$89,5,0)</f>
        <v>162.04499999999996</v>
      </c>
      <c r="FG49" s="14">
        <f t="shared" si="47"/>
        <v>41.303429372463391</v>
      </c>
      <c r="FH49" s="22">
        <f t="shared" si="22"/>
        <v>354.16518115704031</v>
      </c>
      <c r="FI49" s="61">
        <f t="shared" si="23"/>
        <v>647.49851449037362</v>
      </c>
      <c r="FJ49" s="61">
        <f ca="1">AVERAGE(OFFSET($FI$3,0,0,'Données projet'!$E$16+1,1))-AVERAGE(OFFSET($H$3,0,0,'Données projet'!$E$16+1,1))</f>
        <v>292.57482726862594</v>
      </c>
      <c r="FK49" s="61">
        <f t="shared" si="48"/>
        <v>283.48738729114024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8.1999999999999993</v>
      </c>
      <c r="FZ49" s="13">
        <f>IF('Données projet'!$A$244&gt;35,FZ48+FY49-GH48,IF(A49&lt;'Données projet'!$A$244,$FW$205^A49,IF(A49='Données projet'!$A$244,'Données projet'!$B$244,FZ48+FY49-GH48)))</f>
        <v>166.20000000000005</v>
      </c>
      <c r="GA49" s="18">
        <f>FZ49*VLOOKUP('Données projet'!$B$17,Paramètres!$A$1:$I$89,3,0)*VLOOKUP('Données projet'!$B$17,Paramètres!$A$1:$I$89,5,0)</f>
        <v>160.74864000000005</v>
      </c>
      <c r="GB49" s="14">
        <f t="shared" si="49"/>
        <v>41.011327345272264</v>
      </c>
      <c r="GC49" s="22">
        <f t="shared" si="25"/>
        <v>351.39860979301596</v>
      </c>
      <c r="GD49" s="61">
        <f t="shared" si="26"/>
        <v>644.73194312634928</v>
      </c>
      <c r="GE49" s="61">
        <f ca="1">AVERAGE(OFFSET($GD$3,0,0,'Données projet'!$E$17+1,1))-AVERAGE(OFFSET($H$3,0,0,'Données projet'!$E$17+1,1))</f>
        <v>455.50822833641354</v>
      </c>
      <c r="GF49" s="61">
        <f t="shared" si="50"/>
        <v>261.14722581688039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8.1999999999999993</v>
      </c>
      <c r="GU49" s="13">
        <f>IF('Données projet'!$A$270&gt;35,GU48+GT49-HC48,IF(A49&lt;'Données projet'!$A$270,$GR$205^A49,IF(A49='Données projet'!$A$270,'Données projet'!$B$270,GU48+GT49-HC48)))</f>
        <v>166.20000000000005</v>
      </c>
      <c r="GV49" s="18">
        <f>GU49*VLOOKUP('Données projet'!$B$18,Paramètres!$A$1:$I$89,3,0)*VLOOKUP('Données projet'!$B$18,Paramètres!$A$1:$I$89,5,0)</f>
        <v>178.89768000000004</v>
      </c>
      <c r="GW49" s="14">
        <f t="shared" si="51"/>
        <v>45.076852665999411</v>
      </c>
      <c r="GX49" s="22">
        <f t="shared" si="28"/>
        <v>390.08897772661572</v>
      </c>
      <c r="GY49" s="61">
        <f t="shared" si="29"/>
        <v>683.42231105994904</v>
      </c>
      <c r="GZ49" s="61">
        <f ca="1">AVERAGE(OFFSET($GY$3,0,0,'Données projet'!$E$18+1,1))-AVERAGE(OFFSET($H$3,0,0,'Données projet'!$E$18+1,1))</f>
        <v>502.07782026233912</v>
      </c>
      <c r="HA49" s="61">
        <f t="shared" si="52"/>
        <v>285.83623046025156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157.79712000000004</v>
      </c>
      <c r="P50" s="14">
        <f t="shared" si="33"/>
        <v>40.345249481546155</v>
      </c>
      <c r="Q50" s="22">
        <f t="shared" si="53"/>
        <v>345.09796018035962</v>
      </c>
      <c r="R50" s="61">
        <f t="shared" si="0"/>
        <v>638.43129351369294</v>
      </c>
      <c r="S50" s="61">
        <f ca="1">AVERAGE(OFFSET($R$3,0,0,'Données projet'!$E$9+1,1))-AVERAGE(OFFSET($H$3,0,0,'Données projet'!$E$9+1,1))</f>
        <v>428.8489304403459</v>
      </c>
      <c r="T50" s="61">
        <f t="shared" si="34"/>
        <v>247.01165577562966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1">
        <f t="shared" si="5"/>
        <v>679.04349174077868</v>
      </c>
      <c r="AN50" s="61">
        <f ca="1">AVERAGE(OFFSET($AM$3,0,0,'Données projet'!$E$10+1,1))-AVERAGE(OFFSET($H$3,0,0,'Données projet'!$E$10+1,1))</f>
        <v>475.47920969424894</v>
      </c>
      <c r="AO50" s="61">
        <f t="shared" si="36"/>
        <v>271.73544012419364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18.714285714285715</v>
      </c>
      <c r="BD50" s="13">
        <f>IF('Données projet'!$A$88&gt;35,BD49+BC50-BL49,IF(A50&lt;'Données projet'!$A$88,$BA$205^A50,IF(A50='Données projet'!$A$88,'Données projet'!$B$88,BD49+BC50-BL49)))</f>
        <v>435.57142857142838</v>
      </c>
      <c r="BE50" s="14">
        <f>BD50*VLOOKUP('Données projet'!$B$11,Paramètres!$A$1:$I$89,3,0)*VLOOKUP('Données projet'!$B$11,Paramètres!$A$1:$I$89,5,0)</f>
        <v>243.48442857142848</v>
      </c>
      <c r="BF50" s="14">
        <f t="shared" si="37"/>
        <v>59.188592189821975</v>
      </c>
      <c r="BG50" s="22">
        <f t="shared" si="7"/>
        <v>527.15551115917788</v>
      </c>
      <c r="BH50" s="61">
        <f t="shared" si="8"/>
        <v>820.48884449251113</v>
      </c>
      <c r="BI50" s="61">
        <f ca="1">AVERAGE(OFFSET($BH$3,0,0,'Données projet'!$E$11+1,1))-AVERAGE(OFFSET($H$3,0,0,'Données projet'!$E$11+1,1))</f>
        <v>374.79806286316051</v>
      </c>
      <c r="BJ50" s="61">
        <f t="shared" si="38"/>
        <v>350.01856672839466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13.899800061595847</v>
      </c>
      <c r="BR50" s="23">
        <f>EXP(-LN(2)/2)*BR49+(1-EXP(-LN(2)/2))/(LN(2)/2)*BL50*BO50*VLOOKUP('Données projet'!$B$11,Paramètres!$A$1:$I$89,3,0)*0.475*44/12</f>
        <v>3.0404986798407703E-2</v>
      </c>
      <c r="BS50" s="24">
        <f t="shared" si="9"/>
        <v>13.930205048394255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11.443589743589742</v>
      </c>
      <c r="BY50" s="13">
        <f>IF('Données projet'!$A$114&gt;35,BY49+BX50-CG49,IF(A50&lt;'Données projet'!$A$114,$BV$205^A50,IF(A50='Données projet'!$A$114,'Données projet'!$B$114,BY49+BX50-CG49)))</f>
        <v>341.79487179487194</v>
      </c>
      <c r="BZ50" s="14">
        <f>BY50*VLOOKUP('Données projet'!$B$12,Paramètres!$A$1:$I$89,3,0)*VLOOKUP('Données projet'!$B$12,Paramètres!$A$1:$I$89,5,0)</f>
        <v>159.96000000000006</v>
      </c>
      <c r="CA50" s="14">
        <f t="shared" si="39"/>
        <v>40.833493163758575</v>
      </c>
      <c r="CB50" s="22">
        <f t="shared" si="10"/>
        <v>349.71533392687957</v>
      </c>
      <c r="CC50" s="61">
        <f t="shared" si="11"/>
        <v>643.04866726021282</v>
      </c>
      <c r="CD50" s="61">
        <f ca="1">AVERAGE(OFFSET($CC$3,0,0,'Données projet'!$E$12+1,1))-AVERAGE(OFFSET($H$3,0,0,'Données projet'!$E$12+1,1))</f>
        <v>285.59863510278109</v>
      </c>
      <c r="CE50" s="61">
        <f t="shared" si="40"/>
        <v>190.4880882944471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8.9</v>
      </c>
      <c r="CT50" s="13">
        <f>IF('Données projet'!$A$140&gt;35,CT49+CS50-DB49,IF(A50&lt;'Données projet'!$A$140,$CQ$205^A50,IF(A50='Données projet'!$A$140,'Données projet'!$B$140,CT49+CS50-DB49)))</f>
        <v>198.30000000000004</v>
      </c>
      <c r="CU50" s="18">
        <f>CT50*VLOOKUP('Données projet'!$B$13,Paramètres!$A$1:$I$89,3,0)*VLOOKUP('Données projet'!$B$13,Paramètres!$A$1:$I$89,5,0)</f>
        <v>95.382300000000015</v>
      </c>
      <c r="CV50" s="14">
        <f t="shared" si="41"/>
        <v>25.858885587408039</v>
      </c>
      <c r="CW50" s="22">
        <f t="shared" si="13"/>
        <v>211.16173156473567</v>
      </c>
      <c r="CX50" s="61">
        <f t="shared" si="14"/>
        <v>504.49506489806902</v>
      </c>
      <c r="CY50" s="61">
        <f ca="1">AVERAGE(OFFSET($CX$3,0,0,'Données projet'!$E$13+1,1))-AVERAGE(OFFSET($H$3,0,0,'Données projet'!$E$13+1,1))</f>
        <v>273.72618036666552</v>
      </c>
      <c r="CZ50" s="61">
        <f t="shared" si="42"/>
        <v>157.67999791700714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6.2820512820512819</v>
      </c>
      <c r="DO50" s="13">
        <f>IF('Données projet'!$A$166&gt;35,DO49+DN50-DW49,IF(A50&lt;'Données projet'!$A$166,$DL$205^A50,IF(A50='Données projet'!$A$166,'Données projet'!$B$166,DO49+DN50-DW49)))</f>
        <v>202.94871794871796</v>
      </c>
      <c r="DP50" s="18">
        <f>DO50*VLOOKUP('Données projet'!$B$14,Paramètres!$A$1:$I$89,3,0)*VLOOKUP('Données projet'!$B$14,Paramètres!$A$1:$I$89,5,0)</f>
        <v>136.13800000000001</v>
      </c>
      <c r="DQ50" s="14">
        <f t="shared" si="43"/>
        <v>35.410840305135217</v>
      </c>
      <c r="DR50" s="22">
        <f t="shared" si="16"/>
        <v>298.78089686477716</v>
      </c>
      <c r="DS50" s="61">
        <f t="shared" si="17"/>
        <v>592.11423019811048</v>
      </c>
      <c r="DT50" s="61">
        <f ca="1">AVERAGE(OFFSET($DS$3,0,0,'Données projet'!$E$14+1,1))-AVERAGE(OFFSET($H$3,0,0,'Données projet'!$E$14+1,1))</f>
        <v>312.06797204903796</v>
      </c>
      <c r="DU50" s="61">
        <f t="shared" si="44"/>
        <v>258.20189001775151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6.6866666666666665</v>
      </c>
      <c r="EJ50" s="13">
        <f>IF('Données projet'!$A$192&gt;35,EJ49+EI50-ER49,IF(A50&lt;'Données projet'!$A$192,$EG$205^A50,IF(A50='Données projet'!$A$192,'Données projet'!$B$192,EJ49+EI50-ER49)))</f>
        <v>172.01333333333326</v>
      </c>
      <c r="EK50" s="18">
        <f>EJ50*VLOOKUP('Données projet'!$B$15,Paramètres!$A$1:$I$89,3,0)*VLOOKUP('Données projet'!$B$15,Paramètres!$A$1:$I$89,5,0)</f>
        <v>139.53721599999997</v>
      </c>
      <c r="EL50" s="14">
        <f t="shared" si="45"/>
        <v>36.190967757861792</v>
      </c>
      <c r="EM50" s="22">
        <f t="shared" si="19"/>
        <v>306.05992004494254</v>
      </c>
      <c r="EN50" s="61">
        <f t="shared" si="20"/>
        <v>599.39325337827586</v>
      </c>
      <c r="EO50" s="61">
        <f ca="1">AVERAGE(OFFSET($EN$3,0,0,'Données projet'!$E$15+1,1))-AVERAGE(OFFSET($H$3,0,0,'Données projet'!$E$15+1,1))</f>
        <v>222.15256609836689</v>
      </c>
      <c r="EP50" s="61">
        <f t="shared" si="46"/>
        <v>221.10360210521077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10.375</v>
      </c>
      <c r="FE50" s="13">
        <f>IF('Données projet'!$A$218&gt;35,FE49+FD50-FM49,IF(A50&lt;'Données projet'!$A$218,$FB$205^A50,IF(A50='Données projet'!$A$218,'Données projet'!$B$218,FE49+FD50-FM49)))</f>
        <v>218.12499999999994</v>
      </c>
      <c r="FF50" s="18">
        <f>FE50*VLOOKUP('Données projet'!$B$16,Paramètres!$A$1:$I$89,3,0)*VLOOKUP('Données projet'!$B$16,Paramètres!$A$1:$I$89,5,0)</f>
        <v>170.13749999999996</v>
      </c>
      <c r="FG50" s="14">
        <f t="shared" si="47"/>
        <v>43.120817562072411</v>
      </c>
      <c r="FH50" s="22">
        <f t="shared" si="22"/>
        <v>371.42490308727605</v>
      </c>
      <c r="FI50" s="61">
        <f t="shared" si="23"/>
        <v>664.75823642060936</v>
      </c>
      <c r="FJ50" s="61">
        <f ca="1">AVERAGE(OFFSET($FI$3,0,0,'Données projet'!$E$16+1,1))-AVERAGE(OFFSET($H$3,0,0,'Données projet'!$E$16+1,1))</f>
        <v>292.57482726862594</v>
      </c>
      <c r="FK50" s="61">
        <f t="shared" si="48"/>
        <v>283.48738729114024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8.1999999999999993</v>
      </c>
      <c r="FZ50" s="13">
        <f>IF('Données projet'!$A$244&gt;35,FZ49+FY50-GH49,IF(A50&lt;'Données projet'!$A$244,$FW$205^A50,IF(A50='Données projet'!$A$244,'Données projet'!$B$244,FZ49+FY50-GH49)))</f>
        <v>174.40000000000003</v>
      </c>
      <c r="GA50" s="18">
        <f>FZ50*VLOOKUP('Données projet'!$B$17,Paramètres!$A$1:$I$89,3,0)*VLOOKUP('Données projet'!$B$17,Paramètres!$A$1:$I$89,5,0)</f>
        <v>168.67968000000002</v>
      </c>
      <c r="GB50" s="14">
        <f t="shared" si="49"/>
        <v>42.794181774227013</v>
      </c>
      <c r="GC50" s="22">
        <f t="shared" si="25"/>
        <v>368.3169759234454</v>
      </c>
      <c r="GD50" s="61">
        <f t="shared" si="26"/>
        <v>661.65030925677866</v>
      </c>
      <c r="GE50" s="61">
        <f ca="1">AVERAGE(OFFSET($GD$3,0,0,'Données projet'!$E$17+1,1))-AVERAGE(OFFSET($H$3,0,0,'Données projet'!$E$17+1,1))</f>
        <v>455.50822833641354</v>
      </c>
      <c r="GF50" s="61">
        <f t="shared" si="50"/>
        <v>261.14722581688039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8.1999999999999993</v>
      </c>
      <c r="GU50" s="13">
        <f>IF('Données projet'!$A$270&gt;35,GU49+GT50-HC49,IF(A50&lt;'Données projet'!$A$270,$GR$205^A50,IF(A50='Données projet'!$A$270,'Données projet'!$B$270,GU49+GT50-HC49)))</f>
        <v>174.40000000000003</v>
      </c>
      <c r="GV50" s="18">
        <f>GU50*VLOOKUP('Données projet'!$B$18,Paramètres!$A$1:$I$89,3,0)*VLOOKUP('Données projet'!$B$18,Paramètres!$A$1:$I$89,5,0)</f>
        <v>187.72416000000004</v>
      </c>
      <c r="GW50" s="14">
        <f t="shared" si="51"/>
        <v>47.036444603668812</v>
      </c>
      <c r="GX50" s="22">
        <f t="shared" si="28"/>
        <v>408.87471968472323</v>
      </c>
      <c r="GY50" s="61">
        <f t="shared" si="29"/>
        <v>702.20805301805649</v>
      </c>
      <c r="GZ50" s="61">
        <f ca="1">AVERAGE(OFFSET($GY$3,0,0,'Données projet'!$E$18+1,1))-AVERAGE(OFFSET($H$3,0,0,'Données projet'!$E$18+1,1))</f>
        <v>502.07782026233912</v>
      </c>
      <c r="HA50" s="61">
        <f t="shared" si="52"/>
        <v>285.83623046025156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165.21648000000002</v>
      </c>
      <c r="P51" s="14">
        <f t="shared" si="33"/>
        <v>42.016901084500397</v>
      </c>
      <c r="Q51" s="22">
        <f t="shared" si="53"/>
        <v>360.93147205550491</v>
      </c>
      <c r="R51" s="61">
        <f t="shared" si="0"/>
        <v>654.26480538883823</v>
      </c>
      <c r="S51" s="61">
        <f ca="1">AVERAGE(OFFSET($R$3,0,0,'Données projet'!$E$9+1,1))-AVERAGE(OFFSET($H$3,0,0,'Données projet'!$E$9+1,1))</f>
        <v>428.8489304403459</v>
      </c>
      <c r="T51" s="61">
        <f t="shared" si="34"/>
        <v>247.01165577562966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1">
        <f t="shared" si="5"/>
        <v>696.74495497233352</v>
      </c>
      <c r="AN51" s="61">
        <f ca="1">AVERAGE(OFFSET($AM$3,0,0,'Données projet'!$E$10+1,1))-AVERAGE(OFFSET($H$3,0,0,'Données projet'!$E$10+1,1))</f>
        <v>475.47920969424894</v>
      </c>
      <c r="AO51" s="61">
        <f t="shared" si="36"/>
        <v>271.73544012419364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18.714285714285715</v>
      </c>
      <c r="BD51" s="13">
        <f>IF('Données projet'!$A$88&gt;35,BD50+BC51-BL50,IF(A51&lt;'Données projet'!$A$88,$BA$205^A51,IF(A51='Données projet'!$A$88,'Données projet'!$B$88,BD50+BC51-BL50)))</f>
        <v>454.28571428571411</v>
      </c>
      <c r="BE51" s="14">
        <f>BD51*VLOOKUP('Données projet'!$B$11,Paramètres!$A$1:$I$89,3,0)*VLOOKUP('Données projet'!$B$11,Paramètres!$A$1:$I$89,5,0)</f>
        <v>253.94571428571419</v>
      </c>
      <c r="BF51" s="14">
        <f t="shared" si="37"/>
        <v>61.430084594341928</v>
      </c>
      <c r="BG51" s="22">
        <f t="shared" si="7"/>
        <v>549.27951638276431</v>
      </c>
      <c r="BH51" s="61">
        <f t="shared" si="8"/>
        <v>842.61284971609757</v>
      </c>
      <c r="BI51" s="61">
        <f ca="1">AVERAGE(OFFSET($BH$3,0,0,'Données projet'!$E$11+1,1))-AVERAGE(OFFSET($H$3,0,0,'Données projet'!$E$11+1,1))</f>
        <v>374.79806286316051</v>
      </c>
      <c r="BJ51" s="61">
        <f t="shared" si="38"/>
        <v>350.01856672839466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13.519709297952792</v>
      </c>
      <c r="BR51" s="23">
        <f>EXP(-LN(2)/2)*BR50+(1-EXP(-LN(2)/2))/(LN(2)/2)*BL51*BO51*VLOOKUP('Données projet'!$B$11,Paramètres!$A$1:$I$89,3,0)*0.475*44/12</f>
        <v>2.1499572347041543E-2</v>
      </c>
      <c r="BS51" s="24">
        <f t="shared" si="9"/>
        <v>13.541208870299833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11.443589743589742</v>
      </c>
      <c r="BY51" s="13">
        <f>IF('Données projet'!$A$114&gt;35,BY50+BX51-CG50,IF(A51&lt;'Données projet'!$A$114,$BV$205^A51,IF(A51='Données projet'!$A$114,'Données projet'!$B$114,BY50+BX51-CG50)))</f>
        <v>353.23846153846171</v>
      </c>
      <c r="BZ51" s="14">
        <f>BY51*VLOOKUP('Données projet'!$B$12,Paramètres!$A$1:$I$89,3,0)*VLOOKUP('Données projet'!$B$12,Paramètres!$A$1:$I$89,5,0)</f>
        <v>165.31560000000007</v>
      </c>
      <c r="CA51" s="14">
        <f t="shared" si="39"/>
        <v>42.039173765288623</v>
      </c>
      <c r="CB51" s="22">
        <f t="shared" si="10"/>
        <v>361.14289764121116</v>
      </c>
      <c r="CC51" s="61">
        <f t="shared" si="11"/>
        <v>654.47623097454448</v>
      </c>
      <c r="CD51" s="61">
        <f ca="1">AVERAGE(OFFSET($CC$3,0,0,'Données projet'!$E$12+1,1))-AVERAGE(OFFSET($H$3,0,0,'Données projet'!$E$12+1,1))</f>
        <v>285.59863510278109</v>
      </c>
      <c r="CE51" s="61">
        <f t="shared" si="40"/>
        <v>190.4880882944471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8.9</v>
      </c>
      <c r="CT51" s="13">
        <f>IF('Données projet'!$A$140&gt;35,CT50+CS51-DB50,IF(A51&lt;'Données projet'!$A$140,$CQ$205^A51,IF(A51='Données projet'!$A$140,'Données projet'!$B$140,CT50+CS51-DB50)))</f>
        <v>207.20000000000005</v>
      </c>
      <c r="CU51" s="18">
        <f>CT51*VLOOKUP('Données projet'!$B$13,Paramètres!$A$1:$I$89,3,0)*VLOOKUP('Données projet'!$B$13,Paramètres!$A$1:$I$89,5,0)</f>
        <v>99.663200000000018</v>
      </c>
      <c r="CV51" s="14">
        <f t="shared" si="41"/>
        <v>26.881743844910037</v>
      </c>
      <c r="CW51" s="22">
        <f t="shared" si="13"/>
        <v>220.39911052988498</v>
      </c>
      <c r="CX51" s="61">
        <f t="shared" si="14"/>
        <v>513.73244386321835</v>
      </c>
      <c r="CY51" s="61">
        <f ca="1">AVERAGE(OFFSET($CX$3,0,0,'Données projet'!$E$13+1,1))-AVERAGE(OFFSET($H$3,0,0,'Données projet'!$E$13+1,1))</f>
        <v>273.72618036666552</v>
      </c>
      <c r="CZ51" s="61">
        <f t="shared" si="42"/>
        <v>157.67999791700714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6.2820512820512819</v>
      </c>
      <c r="DO51" s="13">
        <f>IF('Données projet'!$A$166&gt;35,DO50+DN51-DW50,IF(A51&lt;'Données projet'!$A$166,$DL$205^A51,IF(A51='Données projet'!$A$166,'Données projet'!$B$166,DO50+DN51-DW50)))</f>
        <v>209.23076923076923</v>
      </c>
      <c r="DP51" s="18">
        <f>DO51*VLOOKUP('Données projet'!$B$14,Paramètres!$A$1:$I$89,3,0)*VLOOKUP('Données projet'!$B$14,Paramètres!$A$1:$I$89,5,0)</f>
        <v>140.352</v>
      </c>
      <c r="DQ51" s="14">
        <f t="shared" si="43"/>
        <v>36.377631963176114</v>
      </c>
      <c r="DR51" s="22">
        <f t="shared" si="16"/>
        <v>307.80410900253173</v>
      </c>
      <c r="DS51" s="61">
        <f t="shared" si="17"/>
        <v>601.13744233586499</v>
      </c>
      <c r="DT51" s="61">
        <f ca="1">AVERAGE(OFFSET($DS$3,0,0,'Données projet'!$E$14+1,1))-AVERAGE(OFFSET($H$3,0,0,'Données projet'!$E$14+1,1))</f>
        <v>312.06797204903796</v>
      </c>
      <c r="DU51" s="61">
        <f t="shared" si="44"/>
        <v>258.20189001775151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>
        <f>VLOOKUP(A51,'Données projet'!$A$191:$I$211,2,0)</f>
        <v>178.7</v>
      </c>
      <c r="EH51" s="13">
        <f>VLOOKUP(A51,'Données projet'!$A$191:$I$211,9,0)</f>
        <v>6.6866666666666665</v>
      </c>
      <c r="EI51" s="13">
        <f t="array" ref="EI51">INDEX(EH:EH,MIN(IF(ISNUMBER(EH51:EH247),ROW(EH51:EH247),"")))</f>
        <v>6.6866666666666665</v>
      </c>
      <c r="EJ51" s="13">
        <f>IF('Données projet'!$A$192&gt;35,EJ50+EI51-ER50,IF(A51&lt;'Données projet'!$A$192,$EG$205^A51,IF(A51='Données projet'!$A$192,'Données projet'!$B$192,EJ50+EI51-ER50)))</f>
        <v>178.69999999999993</v>
      </c>
      <c r="EK51" s="18">
        <f>EJ51*VLOOKUP('Données projet'!$B$15,Paramètres!$A$1:$I$89,3,0)*VLOOKUP('Données projet'!$B$15,Paramètres!$A$1:$I$89,5,0)</f>
        <v>144.96143999999995</v>
      </c>
      <c r="EL51" s="14">
        <f t="shared" si="45"/>
        <v>37.431287800370477</v>
      </c>
      <c r="EM51" s="22">
        <f t="shared" si="19"/>
        <v>317.66733425231183</v>
      </c>
      <c r="EN51" s="61">
        <f t="shared" si="20"/>
        <v>611.00066758564515</v>
      </c>
      <c r="EO51" s="61">
        <f ca="1">AVERAGE(OFFSET($EN$3,0,0,'Données projet'!$E$15+1,1))-AVERAGE(OFFSET($H$3,0,0,'Données projet'!$E$15+1,1))</f>
        <v>222.15256609836689</v>
      </c>
      <c r="EP51" s="61">
        <f t="shared" si="46"/>
        <v>221.10360210521077</v>
      </c>
      <c r="EQ51" s="16">
        <f>IF(ISNA(VLOOKUP(A51,'Données projet'!$A$191:$I$211,3,0)),0,VLOOKUP(A51,'Données projet'!$A$191:$I$211,3,0))</f>
        <v>3</v>
      </c>
      <c r="ER51" s="16">
        <f>IF(ISNA(VLOOKUP(A51,'Données projet'!$A$191:$I$211,4,0)),0,VLOOKUP(A51,'Données projet'!$A$191:$I$211,4,0))</f>
        <v>44.7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10.375</v>
      </c>
      <c r="FE51" s="13">
        <f>IF('Données projet'!$A$218&gt;35,FE50+FD51-FM50,IF(A51&lt;'Données projet'!$A$218,$FB$205^A51,IF(A51='Données projet'!$A$218,'Données projet'!$B$218,FE50+FD51-FM50)))</f>
        <v>228.49999999999994</v>
      </c>
      <c r="FF51" s="18">
        <f>FE51*VLOOKUP('Données projet'!$B$16,Paramètres!$A$1:$I$89,3,0)*VLOOKUP('Données projet'!$B$16,Paramètres!$A$1:$I$89,5,0)</f>
        <v>178.22999999999996</v>
      </c>
      <c r="FG51" s="14">
        <f t="shared" si="47"/>
        <v>44.928167580487852</v>
      </c>
      <c r="FH51" s="22">
        <f t="shared" si="22"/>
        <v>388.66714186934956</v>
      </c>
      <c r="FI51" s="61">
        <f t="shared" si="23"/>
        <v>682.00047520268288</v>
      </c>
      <c r="FJ51" s="61">
        <f ca="1">AVERAGE(OFFSET($FI$3,0,0,'Données projet'!$E$16+1,1))-AVERAGE(OFFSET($H$3,0,0,'Données projet'!$E$16+1,1))</f>
        <v>292.57482726862594</v>
      </c>
      <c r="FK51" s="61">
        <f t="shared" si="48"/>
        <v>283.48738729114024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8.1999999999999993</v>
      </c>
      <c r="FZ51" s="13">
        <f>IF('Données projet'!$A$244&gt;35,FZ50+FY51-GH50,IF(A51&lt;'Données projet'!$A$244,$FW$205^A51,IF(A51='Données projet'!$A$244,'Données projet'!$B$244,FZ50+FY51-GH50)))</f>
        <v>182.60000000000002</v>
      </c>
      <c r="GA51" s="18">
        <f>FZ51*VLOOKUP('Données projet'!$B$17,Paramètres!$A$1:$I$89,3,0)*VLOOKUP('Données projet'!$B$17,Paramètres!$A$1:$I$89,5,0)</f>
        <v>176.61072000000004</v>
      </c>
      <c r="GB51" s="14">
        <f t="shared" si="49"/>
        <v>44.56730162053563</v>
      </c>
      <c r="GC51" s="22">
        <f t="shared" si="25"/>
        <v>385.21838765576626</v>
      </c>
      <c r="GD51" s="61">
        <f t="shared" si="26"/>
        <v>678.55172098909952</v>
      </c>
      <c r="GE51" s="61">
        <f ca="1">AVERAGE(OFFSET($GD$3,0,0,'Données projet'!$E$17+1,1))-AVERAGE(OFFSET($H$3,0,0,'Données projet'!$E$17+1,1))</f>
        <v>455.50822833641354</v>
      </c>
      <c r="GF51" s="61">
        <f t="shared" si="50"/>
        <v>261.14722581688039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8.1999999999999993</v>
      </c>
      <c r="GU51" s="13">
        <f>IF('Données projet'!$A$270&gt;35,GU50+GT51-HC50,IF(A51&lt;'Données projet'!$A$270,$GR$205^A51,IF(A51='Données projet'!$A$270,'Données projet'!$B$270,GU50+GT51-HC50)))</f>
        <v>182.60000000000002</v>
      </c>
      <c r="GV51" s="18">
        <f>GU51*VLOOKUP('Données projet'!$B$18,Paramètres!$A$1:$I$89,3,0)*VLOOKUP('Données projet'!$B$18,Paramètres!$A$1:$I$89,5,0)</f>
        <v>196.55064000000002</v>
      </c>
      <c r="GW51" s="14">
        <f t="shared" si="51"/>
        <v>48.985336952319578</v>
      </c>
      <c r="GX51" s="22">
        <f t="shared" si="28"/>
        <v>427.6418265252899</v>
      </c>
      <c r="GY51" s="61">
        <f t="shared" si="29"/>
        <v>720.97515985862321</v>
      </c>
      <c r="GZ51" s="61">
        <f ca="1">AVERAGE(OFFSET($GY$3,0,0,'Données projet'!$E$18+1,1))-AVERAGE(OFFSET($H$3,0,0,'Données projet'!$E$18+1,1))</f>
        <v>502.07782026233912</v>
      </c>
      <c r="HA51" s="61">
        <f t="shared" si="52"/>
        <v>285.83623046025156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172.63584</v>
      </c>
      <c r="P52" s="14">
        <f t="shared" si="33"/>
        <v>43.679834395222109</v>
      </c>
      <c r="Q52" s="22">
        <f t="shared" si="53"/>
        <v>376.74979957167847</v>
      </c>
      <c r="R52" s="61">
        <f t="shared" si="0"/>
        <v>670.08313290501178</v>
      </c>
      <c r="S52" s="61">
        <f ca="1">AVERAGE(OFFSET($R$3,0,0,'Données projet'!$E$9+1,1))-AVERAGE(OFFSET($H$3,0,0,'Données projet'!$E$9+1,1))</f>
        <v>428.8489304403459</v>
      </c>
      <c r="T52" s="61">
        <f t="shared" si="34"/>
        <v>247.01165577562966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1">
        <f t="shared" si="5"/>
        <v>714.4296254574997</v>
      </c>
      <c r="AN52" s="61">
        <f ca="1">AVERAGE(OFFSET($AM$3,0,0,'Données projet'!$E$10+1,1))-AVERAGE(OFFSET($H$3,0,0,'Données projet'!$E$10+1,1))</f>
        <v>475.47920969424894</v>
      </c>
      <c r="AO52" s="61">
        <f t="shared" si="36"/>
        <v>271.73544012419364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>
        <f>VLOOKUP(A52,'Données projet'!$A$87:$I$107,2,0)</f>
        <v>473</v>
      </c>
      <c r="BB52" s="13">
        <f>VLOOKUP(A52,'Données projet'!$A$87:$I$107,9,0)</f>
        <v>18.714285714285715</v>
      </c>
      <c r="BC52" s="13">
        <f t="array" ref="BC52">INDEX(BB:BB,MIN(IF(ISNUMBER(BB52:BB248),ROW(BB52:BB248),"")))</f>
        <v>18.714285714285715</v>
      </c>
      <c r="BD52" s="13">
        <f>IF('Données projet'!$A$88&gt;35,BD51+BC52-BL51,IF(A52&lt;'Données projet'!$A$88,$BA$205^A52,IF(A52='Données projet'!$A$88,'Données projet'!$B$88,BD51+BC52-BL51)))</f>
        <v>472.99999999999983</v>
      </c>
      <c r="BE52" s="14">
        <f>BD52*VLOOKUP('Données projet'!$B$11,Paramètres!$A$1:$I$89,3,0)*VLOOKUP('Données projet'!$B$11,Paramètres!$A$1:$I$89,5,0)</f>
        <v>264.40699999999993</v>
      </c>
      <c r="BF52" s="14">
        <f t="shared" si="37"/>
        <v>63.660851355620842</v>
      </c>
      <c r="BG52" s="22">
        <f t="shared" si="7"/>
        <v>571.38484111103946</v>
      </c>
      <c r="BH52" s="61">
        <f t="shared" si="8"/>
        <v>864.71817444437283</v>
      </c>
      <c r="BI52" s="61">
        <f ca="1">AVERAGE(OFFSET($BH$3,0,0,'Données projet'!$E$11+1,1))-AVERAGE(OFFSET($H$3,0,0,'Données projet'!$E$11+1,1))</f>
        <v>374.79806286316051</v>
      </c>
      <c r="BJ52" s="61">
        <f t="shared" si="38"/>
        <v>350.01856672839466</v>
      </c>
      <c r="BK52" s="16">
        <f>IF(ISNA(VLOOKUP(A52,'Données projet'!$A$87:$I$107,3,0)),0,VLOOKUP(A52,'Données projet'!$A$87:$I$107,3,0))</f>
        <v>5</v>
      </c>
      <c r="BL52" s="16">
        <f>IF(ISNA(VLOOKUP(A52,'Données projet'!$A$87:$I$107,4,0)),0,VLOOKUP(A52,'Données projet'!$A$87:$I$107,4,0))</f>
        <v>80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13.150012136229661</v>
      </c>
      <c r="BR52" s="23">
        <f>EXP(-LN(2)/2)*BR51+(1-EXP(-LN(2)/2))/(LN(2)/2)*BL52*BO52*VLOOKUP('Données projet'!$B$11,Paramètres!$A$1:$I$89,3,0)*0.475*44/12</f>
        <v>1.5202493399203853E-2</v>
      </c>
      <c r="BS52" s="24">
        <f t="shared" si="9"/>
        <v>13.165214629628865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11.443589743589742</v>
      </c>
      <c r="BY52" s="13">
        <f>IF('Données projet'!$A$114&gt;35,BY51+BX52-CG51,IF(A52&lt;'Données projet'!$A$114,$BV$205^A52,IF(A52='Données projet'!$A$114,'Données projet'!$B$114,BY51+BX52-CG51)))</f>
        <v>364.68205128205148</v>
      </c>
      <c r="BZ52" s="14">
        <f>BY52*VLOOKUP('Données projet'!$B$12,Paramètres!$A$1:$I$89,3,0)*VLOOKUP('Données projet'!$B$12,Paramètres!$A$1:$I$89,5,0)</f>
        <v>170.67120000000008</v>
      </c>
      <c r="CA52" s="14">
        <f t="shared" si="39"/>
        <v>43.240315564943899</v>
      </c>
      <c r="CB52" s="22">
        <f t="shared" si="10"/>
        <v>372.56255627561069</v>
      </c>
      <c r="CC52" s="61">
        <f t="shared" si="11"/>
        <v>665.895889608944</v>
      </c>
      <c r="CD52" s="61">
        <f ca="1">AVERAGE(OFFSET($CC$3,0,0,'Données projet'!$E$12+1,1))-AVERAGE(OFFSET($H$3,0,0,'Données projet'!$E$12+1,1))</f>
        <v>285.59863510278109</v>
      </c>
      <c r="CE52" s="61">
        <f t="shared" si="40"/>
        <v>190.4880882944471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8.9</v>
      </c>
      <c r="CT52" s="13">
        <f>IF('Données projet'!$A$140&gt;35,CT51+CS52-DB51,IF(A52&lt;'Données projet'!$A$140,$CQ$205^A52,IF(A52='Données projet'!$A$140,'Données projet'!$B$140,CT51+CS52-DB51)))</f>
        <v>216.10000000000005</v>
      </c>
      <c r="CU52" s="18">
        <f>CT52*VLOOKUP('Données projet'!$B$13,Paramètres!$A$1:$I$89,3,0)*VLOOKUP('Données projet'!$B$13,Paramètres!$A$1:$I$89,5,0)</f>
        <v>103.94410000000003</v>
      </c>
      <c r="CV52" s="14">
        <f t="shared" si="41"/>
        <v>27.899499114944149</v>
      </c>
      <c r="CW52" s="22">
        <f t="shared" si="13"/>
        <v>229.62760179186114</v>
      </c>
      <c r="CX52" s="61">
        <f t="shared" si="14"/>
        <v>522.96093512519451</v>
      </c>
      <c r="CY52" s="61">
        <f ca="1">AVERAGE(OFFSET($CX$3,0,0,'Données projet'!$E$13+1,1))-AVERAGE(OFFSET($H$3,0,0,'Données projet'!$E$13+1,1))</f>
        <v>273.72618036666552</v>
      </c>
      <c r="CZ52" s="61">
        <f t="shared" si="42"/>
        <v>157.67999791700714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6.2820512820512819</v>
      </c>
      <c r="DO52" s="13">
        <f>IF('Données projet'!$A$166&gt;35,DO51+DN52-DW51,IF(A52&lt;'Données projet'!$A$166,$DL$205^A52,IF(A52='Données projet'!$A$166,'Données projet'!$B$166,DO51+DN52-DW51)))</f>
        <v>215.5128205128205</v>
      </c>
      <c r="DP52" s="18">
        <f>DO52*VLOOKUP('Données projet'!$B$14,Paramètres!$A$1:$I$89,3,0)*VLOOKUP('Données projet'!$B$14,Paramètres!$A$1:$I$89,5,0)</f>
        <v>144.566</v>
      </c>
      <c r="DQ52" s="14">
        <f t="shared" si="43"/>
        <v>37.341050188349875</v>
      </c>
      <c r="DR52" s="22">
        <f t="shared" si="16"/>
        <v>316.82144574470937</v>
      </c>
      <c r="DS52" s="61">
        <f t="shared" si="17"/>
        <v>610.15477907804268</v>
      </c>
      <c r="DT52" s="61">
        <f ca="1">AVERAGE(OFFSET($DS$3,0,0,'Données projet'!$E$14+1,1))-AVERAGE(OFFSET($H$3,0,0,'Données projet'!$E$14+1,1))</f>
        <v>312.06797204903796</v>
      </c>
      <c r="DU52" s="61">
        <f t="shared" si="44"/>
        <v>258.20189001775151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4.9272727272727277</v>
      </c>
      <c r="EJ52" s="13">
        <f>IF('Données projet'!$A$192&gt;35,EJ51+EI52-ER51,IF(A52&lt;'Données projet'!$A$192,$EG$205^A52,IF(A52='Données projet'!$A$192,'Données projet'!$B$192,EJ51+EI52-ER51)))</f>
        <v>138.92727272727268</v>
      </c>
      <c r="EK52" s="18">
        <f>EJ52*VLOOKUP('Données projet'!$B$15,Paramètres!$A$1:$I$89,3,0)*VLOOKUP('Données projet'!$B$15,Paramètres!$A$1:$I$89,5,0)</f>
        <v>112.6978036363636</v>
      </c>
      <c r="EL52" s="14">
        <f t="shared" si="45"/>
        <v>29.965709047515716</v>
      </c>
      <c r="EM52" s="22">
        <f t="shared" si="19"/>
        <v>248.47228459108985</v>
      </c>
      <c r="EN52" s="61">
        <f t="shared" si="20"/>
        <v>541.80561792442313</v>
      </c>
      <c r="EO52" s="61">
        <f ca="1">AVERAGE(OFFSET($EN$3,0,0,'Données projet'!$E$15+1,1))-AVERAGE(OFFSET($H$3,0,0,'Données projet'!$E$15+1,1))</f>
        <v>222.15256609836689</v>
      </c>
      <c r="EP52" s="61">
        <f t="shared" si="46"/>
        <v>221.10360210521077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10.375</v>
      </c>
      <c r="FE52" s="13">
        <f>IF('Données projet'!$A$218&gt;35,FE51+FD52-FM51,IF(A52&lt;'Données projet'!$A$218,$FB$205^A52,IF(A52='Données projet'!$A$218,'Données projet'!$B$218,FE51+FD52-FM51)))</f>
        <v>238.87499999999994</v>
      </c>
      <c r="FF52" s="18">
        <f>FE52*VLOOKUP('Données projet'!$B$16,Paramètres!$A$1:$I$89,3,0)*VLOOKUP('Données projet'!$B$16,Paramètres!$A$1:$I$89,5,0)</f>
        <v>186.32249999999996</v>
      </c>
      <c r="FG52" s="14">
        <f t="shared" si="47"/>
        <v>46.725987276254116</v>
      </c>
      <c r="FH52" s="22">
        <f t="shared" si="22"/>
        <v>405.89278200614257</v>
      </c>
      <c r="FI52" s="61">
        <f t="shared" si="23"/>
        <v>699.22611533947588</v>
      </c>
      <c r="FJ52" s="61">
        <f ca="1">AVERAGE(OFFSET($FI$3,0,0,'Données projet'!$E$16+1,1))-AVERAGE(OFFSET($H$3,0,0,'Données projet'!$E$16+1,1))</f>
        <v>292.57482726862594</v>
      </c>
      <c r="FK52" s="61">
        <f t="shared" si="48"/>
        <v>283.48738729114024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8.1999999999999993</v>
      </c>
      <c r="FZ52" s="13">
        <f>IF('Données projet'!$A$244&gt;35,FZ51+FY52-GH51,IF(A52&lt;'Données projet'!$A$244,$FW$205^A52,IF(A52='Données projet'!$A$244,'Données projet'!$B$244,FZ51+FY52-GH51)))</f>
        <v>190.8</v>
      </c>
      <c r="GA52" s="18">
        <f>FZ52*VLOOKUP('Données projet'!$B$17,Paramètres!$A$1:$I$89,3,0)*VLOOKUP('Données projet'!$B$17,Paramètres!$A$1:$I$89,5,0)</f>
        <v>184.54176000000001</v>
      </c>
      <c r="GB52" s="14">
        <f t="shared" si="49"/>
        <v>46.33117397953523</v>
      </c>
      <c r="GC52" s="22">
        <f t="shared" si="25"/>
        <v>402.10369334769052</v>
      </c>
      <c r="GD52" s="61">
        <f t="shared" si="26"/>
        <v>695.43702668102378</v>
      </c>
      <c r="GE52" s="61">
        <f ca="1">AVERAGE(OFFSET($GD$3,0,0,'Données projet'!$E$17+1,1))-AVERAGE(OFFSET($H$3,0,0,'Données projet'!$E$17+1,1))</f>
        <v>455.50822833641354</v>
      </c>
      <c r="GF52" s="61">
        <f t="shared" si="50"/>
        <v>261.14722581688039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8.1999999999999993</v>
      </c>
      <c r="GU52" s="13">
        <f>IF('Données projet'!$A$270&gt;35,GU51+GT52-HC51,IF(A52&lt;'Données projet'!$A$270,$GR$205^A52,IF(A52='Données projet'!$A$270,'Données projet'!$B$270,GU51+GT52-HC51)))</f>
        <v>190.8</v>
      </c>
      <c r="GV52" s="18">
        <f>GU52*VLOOKUP('Données projet'!$B$18,Paramètres!$A$1:$I$89,3,0)*VLOOKUP('Données projet'!$B$18,Paramètres!$A$1:$I$89,5,0)</f>
        <v>205.37711999999999</v>
      </c>
      <c r="GW52" s="14">
        <f t="shared" si="51"/>
        <v>50.924065093909938</v>
      </c>
      <c r="GX52" s="22">
        <f t="shared" si="28"/>
        <v>446.39123070522641</v>
      </c>
      <c r="GY52" s="61">
        <f t="shared" si="29"/>
        <v>739.72456403855972</v>
      </c>
      <c r="GZ52" s="61">
        <f ca="1">AVERAGE(OFFSET($GY$3,0,0,'Données projet'!$E$18+1,1))-AVERAGE(OFFSET($H$3,0,0,'Données projet'!$E$18+1,1))</f>
        <v>502.07782026233912</v>
      </c>
      <c r="HA52" s="61">
        <f t="shared" si="52"/>
        <v>285.83623046025156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180.05519999999999</v>
      </c>
      <c r="P53" s="14">
        <f t="shared" si="33"/>
        <v>45.334466930398364</v>
      </c>
      <c r="Q53" s="22">
        <f t="shared" si="53"/>
        <v>392.55366990377706</v>
      </c>
      <c r="R53" s="61">
        <f t="shared" si="0"/>
        <v>685.88700323711032</v>
      </c>
      <c r="S53" s="61">
        <f ca="1">AVERAGE(OFFSET($R$3,0,0,'Données projet'!$E$9+1,1))-AVERAGE(OFFSET($H$3,0,0,'Données projet'!$E$9+1,1))</f>
        <v>428.8489304403459</v>
      </c>
      <c r="T53" s="61">
        <f t="shared" si="34"/>
        <v>247.01165577562966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1">
        <f t="shared" si="5"/>
        <v>732.09830739641802</v>
      </c>
      <c r="AN53" s="61">
        <f ca="1">AVERAGE(OFFSET($AM$3,0,0,'Données projet'!$E$10+1,1))-AVERAGE(OFFSET($H$3,0,0,'Données projet'!$E$10+1,1))</f>
        <v>475.47920969424894</v>
      </c>
      <c r="AO53" s="61">
        <f t="shared" si="36"/>
        <v>271.73544012419364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17.285714285714285</v>
      </c>
      <c r="BD53" s="13">
        <f>IF('Données projet'!$A$88&gt;35,BD52+BC53-BL52,IF(A53&lt;'Données projet'!$A$88,$BA$205^A53,IF(A53='Données projet'!$A$88,'Données projet'!$B$88,BD52+BC53-BL52)))</f>
        <v>410.28571428571411</v>
      </c>
      <c r="BE53" s="14">
        <f>BD53*VLOOKUP('Données projet'!$B$11,Paramètres!$A$1:$I$89,3,0)*VLOOKUP('Données projet'!$B$11,Paramètres!$A$1:$I$89,5,0)</f>
        <v>229.34971428571419</v>
      </c>
      <c r="BF53" s="14">
        <f t="shared" si="37"/>
        <v>56.142051394693567</v>
      </c>
      <c r="BG53" s="22">
        <f t="shared" si="7"/>
        <v>497.23149189337681</v>
      </c>
      <c r="BH53" s="61">
        <f t="shared" si="8"/>
        <v>790.56482522671013</v>
      </c>
      <c r="BI53" s="61">
        <f ca="1">AVERAGE(OFFSET($BH$3,0,0,'Données projet'!$E$11+1,1))-AVERAGE(OFFSET($H$3,0,0,'Données projet'!$E$11+1,1))</f>
        <v>374.79806286316051</v>
      </c>
      <c r="BJ53" s="61">
        <f t="shared" si="38"/>
        <v>350.01856672839466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12.790424362835378</v>
      </c>
      <c r="BR53" s="23">
        <f>EXP(-LN(2)/2)*BR52+(1-EXP(-LN(2)/2))/(LN(2)/2)*BL53*BO53*VLOOKUP('Données projet'!$B$11,Paramètres!$A$1:$I$89,3,0)*0.475*44/12</f>
        <v>1.0749786173520773E-2</v>
      </c>
      <c r="BS53" s="24">
        <f t="shared" si="9"/>
        <v>12.801174149008899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11.443589743589742</v>
      </c>
      <c r="BY53" s="13">
        <f>IF('Données projet'!$A$114&gt;35,BY52+BX53-CG52,IF(A53&lt;'Données projet'!$A$114,$BV$205^A53,IF(A53='Données projet'!$A$114,'Données projet'!$B$114,BY52+BX53-CG52)))</f>
        <v>376.12564102564124</v>
      </c>
      <c r="BZ53" s="14">
        <f>BY53*VLOOKUP('Données projet'!$B$12,Paramètres!$A$1:$I$89,3,0)*VLOOKUP('Données projet'!$B$12,Paramètres!$A$1:$I$89,5,0)</f>
        <v>176.02680000000012</v>
      </c>
      <c r="CA53" s="14">
        <f t="shared" si="39"/>
        <v>44.437077329889675</v>
      </c>
      <c r="CB53" s="22">
        <f t="shared" si="10"/>
        <v>383.97458634955802</v>
      </c>
      <c r="CC53" s="61">
        <f t="shared" si="11"/>
        <v>677.30791968289134</v>
      </c>
      <c r="CD53" s="61">
        <f ca="1">AVERAGE(OFFSET($CC$3,0,0,'Données projet'!$E$12+1,1))-AVERAGE(OFFSET($H$3,0,0,'Données projet'!$E$12+1,1))</f>
        <v>285.59863510278109</v>
      </c>
      <c r="CE53" s="61">
        <f t="shared" si="40"/>
        <v>190.4880882944471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225</v>
      </c>
      <c r="CR53" s="13">
        <f>VLOOKUP(A53,'Données projet'!$A$139:$I$159,9,0)</f>
        <v>8.9</v>
      </c>
      <c r="CS53" s="13">
        <f t="array" ref="CS53">INDEX(CR:CR,MIN(IF(ISNUMBER(CR53:CR249),ROW(CR53:CR249),"")))</f>
        <v>8.9</v>
      </c>
      <c r="CT53" s="13">
        <f>IF('Données projet'!$A$140&gt;35,CT52+CS53-DB52,IF(A53&lt;'Données projet'!$A$140,$CQ$205^A53,IF(A53='Données projet'!$A$140,'Données projet'!$B$140,CT52+CS53-DB52)))</f>
        <v>225.00000000000006</v>
      </c>
      <c r="CU53" s="18">
        <f>CT53*VLOOKUP('Données projet'!$B$13,Paramètres!$A$1:$I$89,3,0)*VLOOKUP('Données projet'!$B$13,Paramètres!$A$1:$I$89,5,0)</f>
        <v>108.22500000000002</v>
      </c>
      <c r="CV53" s="14">
        <f t="shared" si="41"/>
        <v>28.912385598873438</v>
      </c>
      <c r="CW53" s="22">
        <f t="shared" si="13"/>
        <v>238.84761325137129</v>
      </c>
      <c r="CX53" s="61">
        <f t="shared" si="14"/>
        <v>532.18094658470454</v>
      </c>
      <c r="CY53" s="61">
        <f ca="1">AVERAGE(OFFSET($CX$3,0,0,'Données projet'!$E$13+1,1))-AVERAGE(OFFSET($H$3,0,0,'Données projet'!$E$13+1,1))</f>
        <v>273.72618036666552</v>
      </c>
      <c r="CZ53" s="61">
        <f t="shared" si="42"/>
        <v>157.67999791700714</v>
      </c>
      <c r="DA53" s="16">
        <f>IF(ISNA(VLOOKUP(A53,'Données projet'!$A$139:$I$159,3,0)),0,VLOOKUP(A53,'Données projet'!$A$139:$I$159,3,0))</f>
        <v>2</v>
      </c>
      <c r="DB53" s="16">
        <f>IF(ISNA(VLOOKUP(A53,'Données projet'!$A$139:$I$159,4,0)),0,VLOOKUP(A53,'Données projet'!$A$139:$I$159,4,0))</f>
        <v>58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221.7948717948718</v>
      </c>
      <c r="DM53" s="13">
        <f>VLOOKUP(A53,'Données projet'!$A$165:$I$185,9,0)</f>
        <v>6.2820512820512819</v>
      </c>
      <c r="DN53" s="13">
        <f t="array" ref="DN53">INDEX(DM:DM,MIN(IF(ISNUMBER(DM53:DM249),ROW(DM53:DM249),"")))</f>
        <v>6.2820512820512819</v>
      </c>
      <c r="DO53" s="13">
        <f>IF('Données projet'!$A$166&gt;35,DO52+DN53-DW52,IF(A53&lt;'Données projet'!$A$166,$DL$205^A53,IF(A53='Données projet'!$A$166,'Données projet'!$B$166,DO52+DN53-DW52)))</f>
        <v>221.79487179487177</v>
      </c>
      <c r="DP53" s="18">
        <f>DO53*VLOOKUP('Données projet'!$B$14,Paramètres!$A$1:$I$89,3,0)*VLOOKUP('Données projet'!$B$14,Paramètres!$A$1:$I$89,5,0)</f>
        <v>148.78</v>
      </c>
      <c r="DQ53" s="14">
        <f t="shared" si="43"/>
        <v>38.301204605347834</v>
      </c>
      <c r="DR53" s="22">
        <f t="shared" si="16"/>
        <v>325.8330980209808</v>
      </c>
      <c r="DS53" s="61">
        <f t="shared" si="17"/>
        <v>619.16643135431411</v>
      </c>
      <c r="DT53" s="61">
        <f ca="1">AVERAGE(OFFSET($DS$3,0,0,'Données projet'!$E$14+1,1))-AVERAGE(OFFSET($H$3,0,0,'Données projet'!$E$14+1,1))</f>
        <v>312.06797204903796</v>
      </c>
      <c r="DU53" s="61">
        <f t="shared" si="44"/>
        <v>258.20189001775151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32.692307692307693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4.9272727272727277</v>
      </c>
      <c r="EJ53" s="13">
        <f>IF('Données projet'!$A$192&gt;35,EJ52+EI53-ER52,IF(A53&lt;'Données projet'!$A$192,$EG$205^A53,IF(A53='Données projet'!$A$192,'Données projet'!$B$192,EJ52+EI53-ER52)))</f>
        <v>143.85454545454542</v>
      </c>
      <c r="EK53" s="18">
        <f>EJ53*VLOOKUP('Données projet'!$B$15,Paramètres!$A$1:$I$89,3,0)*VLOOKUP('Données projet'!$B$15,Paramètres!$A$1:$I$89,5,0)</f>
        <v>116.69480727272725</v>
      </c>
      <c r="EL53" s="14">
        <f t="shared" si="45"/>
        <v>30.902868776101435</v>
      </c>
      <c r="EM53" s="22">
        <f t="shared" si="19"/>
        <v>257.06595245170996</v>
      </c>
      <c r="EN53" s="61">
        <f t="shared" si="20"/>
        <v>550.39928578504328</v>
      </c>
      <c r="EO53" s="61">
        <f ca="1">AVERAGE(OFFSET($EN$3,0,0,'Données projet'!$E$15+1,1))-AVERAGE(OFFSET($H$3,0,0,'Données projet'!$E$15+1,1))</f>
        <v>222.15256609836689</v>
      </c>
      <c r="EP53" s="61">
        <f t="shared" si="46"/>
        <v>221.10360210521077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10.375</v>
      </c>
      <c r="FE53" s="13">
        <f>IF('Données projet'!$A$218&gt;35,FE52+FD53-FM52,IF(A53&lt;'Données projet'!$A$218,$FB$205^A53,IF(A53='Données projet'!$A$218,'Données projet'!$B$218,FE52+FD53-FM52)))</f>
        <v>249.24999999999994</v>
      </c>
      <c r="FF53" s="18">
        <f>FE53*VLOOKUP('Données projet'!$B$16,Paramètres!$A$1:$I$89,3,0)*VLOOKUP('Données projet'!$B$16,Paramètres!$A$1:$I$89,5,0)</f>
        <v>194.41499999999996</v>
      </c>
      <c r="FG53" s="14">
        <f t="shared" si="47"/>
        <v>48.514737888684969</v>
      </c>
      <c r="FH53" s="22">
        <f t="shared" si="22"/>
        <v>423.1026268227929</v>
      </c>
      <c r="FI53" s="61">
        <f t="shared" si="23"/>
        <v>716.43596015612616</v>
      </c>
      <c r="FJ53" s="61">
        <f ca="1">AVERAGE(OFFSET($FI$3,0,0,'Données projet'!$E$16+1,1))-AVERAGE(OFFSET($H$3,0,0,'Données projet'!$E$16+1,1))</f>
        <v>292.57482726862594</v>
      </c>
      <c r="FK53" s="61">
        <f t="shared" si="48"/>
        <v>283.48738729114024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>
        <f>VLOOKUP(A53,'Données projet'!$A$243:$I$263,2,0)</f>
        <v>199</v>
      </c>
      <c r="FX53" s="13">
        <f>VLOOKUP(A53,'Données projet'!$A$243:$I$263,9,0)</f>
        <v>8.1999999999999993</v>
      </c>
      <c r="FY53" s="13">
        <f t="array" ref="FY53">INDEX(FX:FX,MIN(IF(ISNUMBER(FX53:FX249),ROW(FX53:FX249),"")))</f>
        <v>8.1999999999999993</v>
      </c>
      <c r="FZ53" s="13">
        <f>IF('Données projet'!$A$244&gt;35,FZ52+FY53-GH52,IF(A53&lt;'Données projet'!$A$244,$FW$205^A53,IF(A53='Données projet'!$A$244,'Données projet'!$B$244,FZ52+FY53-GH52)))</f>
        <v>199</v>
      </c>
      <c r="GA53" s="18">
        <f>FZ53*VLOOKUP('Données projet'!$B$17,Paramètres!$A$1:$I$89,3,0)*VLOOKUP('Données projet'!$B$17,Paramètres!$A$1:$I$89,5,0)</f>
        <v>192.47280000000001</v>
      </c>
      <c r="GB53" s="14">
        <f t="shared" si="49"/>
        <v>48.086241710923829</v>
      </c>
      <c r="GC53" s="22">
        <f t="shared" si="25"/>
        <v>418.97366431319239</v>
      </c>
      <c r="GD53" s="61">
        <f t="shared" si="26"/>
        <v>712.3069976465257</v>
      </c>
      <c r="GE53" s="61">
        <f ca="1">AVERAGE(OFFSET($GD$3,0,0,'Données projet'!$E$17+1,1))-AVERAGE(OFFSET($H$3,0,0,'Données projet'!$E$17+1,1))</f>
        <v>455.50822833641354</v>
      </c>
      <c r="GF53" s="61">
        <f t="shared" si="50"/>
        <v>261.14722581688039</v>
      </c>
      <c r="GG53" s="16">
        <f>IF(ISNA(VLOOKUP(A53,'Données projet'!$A$243:$I$263,3,0)),0,VLOOKUP(A53,'Données projet'!$A$243:$I$263,3,0))</f>
        <v>3</v>
      </c>
      <c r="GH53" s="16">
        <f>IF(ISNA(VLOOKUP(A53,'Données projet'!$A$243:$I$263,4,0)),0,VLOOKUP(A53,'Données projet'!$A$243:$I$263,4,0))</f>
        <v>42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>
        <f>VLOOKUP(A53,'Données projet'!$A$269:$I$289,2,0)</f>
        <v>199</v>
      </c>
      <c r="GS53" s="13">
        <f>VLOOKUP(A53,'Données projet'!$A$269:$I$289,9,0)</f>
        <v>8.1999999999999993</v>
      </c>
      <c r="GT53" s="13">
        <f t="array" ref="GT53">INDEX(GS:GS,MIN(IF(ISNUMBER(GS53:GS249),ROW(GS53:GS249),"")))</f>
        <v>8.1999999999999993</v>
      </c>
      <c r="GU53" s="13">
        <f>IF('Données projet'!$A$270&gt;35,GU52+GT53-HC52,IF(A53&lt;'Données projet'!$A$270,$GR$205^A53,IF(A53='Données projet'!$A$270,'Données projet'!$B$270,GU52+GT53-HC52)))</f>
        <v>199</v>
      </c>
      <c r="GV53" s="18">
        <f>GU53*VLOOKUP('Données projet'!$B$18,Paramètres!$A$1:$I$89,3,0)*VLOOKUP('Données projet'!$B$18,Paramètres!$A$1:$I$89,5,0)</f>
        <v>214.20360000000002</v>
      </c>
      <c r="GW53" s="14">
        <f t="shared" si="51"/>
        <v>52.853115789602029</v>
      </c>
      <c r="GX53" s="22">
        <f t="shared" si="28"/>
        <v>465.12378000022358</v>
      </c>
      <c r="GY53" s="61">
        <f t="shared" si="29"/>
        <v>758.45711333355689</v>
      </c>
      <c r="GZ53" s="61">
        <f ca="1">AVERAGE(OFFSET($GY$3,0,0,'Données projet'!$E$18+1,1))-AVERAGE(OFFSET($H$3,0,0,'Données projet'!$E$18+1,1))</f>
        <v>502.07782026233912</v>
      </c>
      <c r="HA53" s="61">
        <f t="shared" si="52"/>
        <v>285.83623046025156</v>
      </c>
      <c r="HB53" s="16">
        <f>IF(ISNA(VLOOKUP(A53,'Données projet'!$A$269:$I$289,3,0)),0,VLOOKUP(A53,'Données projet'!$A$269:$I$289,3,0))</f>
        <v>3</v>
      </c>
      <c r="HC53" s="16">
        <f>IF(ISNA(VLOOKUP(A53,'Données projet'!$A$269:$I$289,4,0)),0,VLOOKUP(A53,'Données projet'!$A$269:$I$289,4,0))</f>
        <v>42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149.29199999999997</v>
      </c>
      <c r="P54" s="14">
        <f t="shared" si="33"/>
        <v>38.417645803815411</v>
      </c>
      <c r="Q54" s="22">
        <f t="shared" si="53"/>
        <v>326.9276331083118</v>
      </c>
      <c r="R54" s="61">
        <f t="shared" si="0"/>
        <v>620.26096644164511</v>
      </c>
      <c r="S54" s="61">
        <f ca="1">AVERAGE(OFFSET($R$3,0,0,'Données projet'!$E$9+1,1))-AVERAGE(OFFSET($H$3,0,0,'Données projet'!$E$9+1,1))</f>
        <v>428.8489304403459</v>
      </c>
      <c r="T54" s="61">
        <f t="shared" si="34"/>
        <v>247.01165577562966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1">
        <f t="shared" si="5"/>
        <v>658.72976619125518</v>
      </c>
      <c r="AN54" s="61">
        <f ca="1">AVERAGE(OFFSET($AM$3,0,0,'Données projet'!$E$10+1,1))-AVERAGE(OFFSET($H$3,0,0,'Données projet'!$E$10+1,1))</f>
        <v>475.47920969424894</v>
      </c>
      <c r="AO54" s="61">
        <f t="shared" si="36"/>
        <v>271.73544012419364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17.285714285714285</v>
      </c>
      <c r="BD54" s="13">
        <f>IF('Données projet'!$A$88&gt;35,BD53+BC54-BL53,IF(A54&lt;'Données projet'!$A$88,$BA$205^A54,IF(A54='Données projet'!$A$88,'Données projet'!$B$88,BD53+BC54-BL53)))</f>
        <v>427.57142857142838</v>
      </c>
      <c r="BE54" s="14">
        <f>BD54*VLOOKUP('Données projet'!$B$11,Paramètres!$A$1:$I$89,3,0)*VLOOKUP('Données projet'!$B$11,Paramètres!$A$1:$I$89,5,0)</f>
        <v>239.01242857142847</v>
      </c>
      <c r="BF54" s="14">
        <f t="shared" si="37"/>
        <v>58.226998714225545</v>
      </c>
      <c r="BG54" s="22">
        <f t="shared" si="7"/>
        <v>517.69200252251403</v>
      </c>
      <c r="BH54" s="61">
        <f t="shared" si="8"/>
        <v>811.02533585584729</v>
      </c>
      <c r="BI54" s="61">
        <f ca="1">AVERAGE(OFFSET($BH$3,0,0,'Données projet'!$E$11+1,1))-AVERAGE(OFFSET($H$3,0,0,'Données projet'!$E$11+1,1))</f>
        <v>374.79806286316051</v>
      </c>
      <c r="BJ54" s="61">
        <f t="shared" si="38"/>
        <v>350.01856672839466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12.440669536014459</v>
      </c>
      <c r="BR54" s="23">
        <f>EXP(-LN(2)/2)*BR53+(1-EXP(-LN(2)/2))/(LN(2)/2)*BL54*BO54*VLOOKUP('Données projet'!$B$11,Paramètres!$A$1:$I$89,3,0)*0.475*44/12</f>
        <v>7.6012466996019275E-3</v>
      </c>
      <c r="BS54" s="24">
        <f t="shared" si="9"/>
        <v>12.448270782714062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>
        <f>VLOOKUP(A54,'Données projet'!$A$113:$I$133,2,0)</f>
        <v>387.56923076923073</v>
      </c>
      <c r="BW54" s="13">
        <f>VLOOKUP(A54,'Données projet'!$A$113:$I$133,9,0)</f>
        <v>11.443589743589742</v>
      </c>
      <c r="BX54" s="13">
        <f t="array" ref="BX54">INDEX(BW:BW,MIN(IF(ISNUMBER(BW54:BW250),ROW(BW54:BW250),"")))</f>
        <v>11.443589743589742</v>
      </c>
      <c r="BY54" s="13">
        <f>IF('Données projet'!$A$114&gt;35,BY53+BX54-CG53,IF(A54&lt;'Données projet'!$A$114,$BV$205^A54,IF(A54='Données projet'!$A$114,'Données projet'!$B$114,BY53+BX54-CG53)))</f>
        <v>387.56923076923101</v>
      </c>
      <c r="BZ54" s="14">
        <f>BY54*VLOOKUP('Données projet'!$B$12,Paramètres!$A$1:$I$89,3,0)*VLOOKUP('Données projet'!$B$12,Paramètres!$A$1:$I$89,5,0)</f>
        <v>181.3824000000001</v>
      </c>
      <c r="CA54" s="14">
        <f t="shared" si="39"/>
        <v>45.629607617375228</v>
      </c>
      <c r="CB54" s="22">
        <f t="shared" si="10"/>
        <v>395.37924660026198</v>
      </c>
      <c r="CC54" s="61">
        <f t="shared" si="11"/>
        <v>688.71257993359529</v>
      </c>
      <c r="CD54" s="61">
        <f ca="1">AVERAGE(OFFSET($CC$3,0,0,'Données projet'!$E$12+1,1))-AVERAGE(OFFSET($H$3,0,0,'Données projet'!$E$12+1,1))</f>
        <v>285.59863510278109</v>
      </c>
      <c r="CE54" s="61">
        <f t="shared" si="40"/>
        <v>190.4880882944471</v>
      </c>
      <c r="CF54" s="16">
        <f>IF(ISNA(VLOOKUP(A54,'Données projet'!$A$113:$I$133,3,0)),0,VLOOKUP(A54,'Données projet'!$A$113:$I$133,3,0))</f>
        <v>1</v>
      </c>
      <c r="CG54" s="16">
        <f>IF(ISNA(VLOOKUP(A54,'Données projet'!$A$113:$I$133,4,0)),0,VLOOKUP(A54,'Données projet'!$A$113:$I$133,4,0))</f>
        <v>170.16153846153847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9.4</v>
      </c>
      <c r="CT54" s="13">
        <f>IF('Données projet'!$A$140&gt;35,CT53+CS54-DB53,IF(A54&lt;'Données projet'!$A$140,$CQ$205^A54,IF(A54='Données projet'!$A$140,'Données projet'!$B$140,CT53+CS54-DB53)))</f>
        <v>176.40000000000006</v>
      </c>
      <c r="CU54" s="18">
        <f>CT54*VLOOKUP('Données projet'!$B$13,Paramètres!$A$1:$I$89,3,0)*VLOOKUP('Données projet'!$B$13,Paramètres!$A$1:$I$89,5,0)</f>
        <v>84.848400000000041</v>
      </c>
      <c r="CV54" s="14">
        <f t="shared" si="41"/>
        <v>23.318553158641894</v>
      </c>
      <c r="CW54" s="22">
        <f t="shared" si="13"/>
        <v>188.39077675130136</v>
      </c>
      <c r="CX54" s="61">
        <f t="shared" si="14"/>
        <v>481.72411008463467</v>
      </c>
      <c r="CY54" s="61">
        <f ca="1">AVERAGE(OFFSET($CX$3,0,0,'Données projet'!$E$13+1,1))-AVERAGE(OFFSET($H$3,0,0,'Données projet'!$E$13+1,1))</f>
        <v>273.72618036666552</v>
      </c>
      <c r="CZ54" s="61">
        <f t="shared" si="42"/>
        <v>157.67999791700714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5.7692307692307683</v>
      </c>
      <c r="DO54" s="13">
        <f>IF('Données projet'!$A$166&gt;35,DO53+DN54-DW53,IF(A54&lt;'Données projet'!$A$166,$DL$205^A54,IF(A54='Données projet'!$A$166,'Données projet'!$B$166,DO53+DN54-DW53)))</f>
        <v>194.87179487179486</v>
      </c>
      <c r="DP54" s="18">
        <f>DO54*VLOOKUP('Données projet'!$B$14,Paramètres!$A$1:$I$89,3,0)*VLOOKUP('Données projet'!$B$14,Paramètres!$A$1:$I$89,5,0)</f>
        <v>130.72</v>
      </c>
      <c r="DQ54" s="14">
        <f t="shared" si="43"/>
        <v>34.162676675108806</v>
      </c>
      <c r="DR54" s="22">
        <f t="shared" si="16"/>
        <v>287.17066187581446</v>
      </c>
      <c r="DS54" s="61">
        <f t="shared" si="17"/>
        <v>580.50399520914777</v>
      </c>
      <c r="DT54" s="61">
        <f ca="1">AVERAGE(OFFSET($DS$3,0,0,'Données projet'!$E$14+1,1))-AVERAGE(OFFSET($H$3,0,0,'Données projet'!$E$14+1,1))</f>
        <v>312.06797204903796</v>
      </c>
      <c r="DU54" s="61">
        <f t="shared" si="44"/>
        <v>258.20189001775151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4.9272727272727277</v>
      </c>
      <c r="EJ54" s="13">
        <f>IF('Données projet'!$A$192&gt;35,EJ53+EI54-ER53,IF(A54&lt;'Données projet'!$A$192,$EG$205^A54,IF(A54='Données projet'!$A$192,'Données projet'!$B$192,EJ53+EI54-ER53)))</f>
        <v>148.78181818181815</v>
      </c>
      <c r="EK54" s="18">
        <f>EJ54*VLOOKUP('Données projet'!$B$15,Paramètres!$A$1:$I$89,3,0)*VLOOKUP('Données projet'!$B$15,Paramètres!$A$1:$I$89,5,0)</f>
        <v>120.6918109090909</v>
      </c>
      <c r="EL54" s="14">
        <f t="shared" si="45"/>
        <v>31.836298804963395</v>
      </c>
      <c r="EM54" s="22">
        <f t="shared" si="19"/>
        <v>265.65312441864455</v>
      </c>
      <c r="EN54" s="61">
        <f t="shared" si="20"/>
        <v>558.98645775197792</v>
      </c>
      <c r="EO54" s="61">
        <f ca="1">AVERAGE(OFFSET($EN$3,0,0,'Données projet'!$E$15+1,1))-AVERAGE(OFFSET($H$3,0,0,'Données projet'!$E$15+1,1))</f>
        <v>222.15256609836689</v>
      </c>
      <c r="EP54" s="61">
        <f t="shared" si="46"/>
        <v>221.10360210521077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10.375</v>
      </c>
      <c r="FE54" s="13">
        <f>IF('Données projet'!$A$218&gt;35,FE53+FD54-FM53,IF(A54&lt;'Données projet'!$A$218,$FB$205^A54,IF(A54='Données projet'!$A$218,'Données projet'!$B$218,FE53+FD54-FM53)))</f>
        <v>259.62499999999994</v>
      </c>
      <c r="FF54" s="18">
        <f>FE54*VLOOKUP('Données projet'!$B$16,Paramètres!$A$1:$I$89,3,0)*VLOOKUP('Données projet'!$B$16,Paramètres!$A$1:$I$89,5,0)</f>
        <v>202.50749999999996</v>
      </c>
      <c r="FG54" s="14">
        <f t="shared" si="47"/>
        <v>50.294840086606349</v>
      </c>
      <c r="FH54" s="22">
        <f t="shared" si="22"/>
        <v>440.29740898417259</v>
      </c>
      <c r="FI54" s="61">
        <f t="shared" si="23"/>
        <v>733.63074231750591</v>
      </c>
      <c r="FJ54" s="61">
        <f ca="1">AVERAGE(OFFSET($FI$3,0,0,'Données projet'!$E$16+1,1))-AVERAGE(OFFSET($H$3,0,0,'Données projet'!$E$16+1,1))</f>
        <v>292.57482726862594</v>
      </c>
      <c r="FK54" s="61">
        <f t="shared" si="48"/>
        <v>283.48738729114024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8</v>
      </c>
      <c r="FZ54" s="13">
        <f>IF('Données projet'!$A$244&gt;35,FZ53+FY54-GH53,IF(A54&lt;'Données projet'!$A$244,$FW$205^A54,IF(A54='Données projet'!$A$244,'Données projet'!$B$244,FZ53+FY54-GH53)))</f>
        <v>165</v>
      </c>
      <c r="GA54" s="18">
        <f>FZ54*VLOOKUP('Données projet'!$B$17,Paramètres!$A$1:$I$89,3,0)*VLOOKUP('Données projet'!$B$17,Paramètres!$A$1:$I$89,5,0)</f>
        <v>159.58799999999999</v>
      </c>
      <c r="GB54" s="14">
        <f t="shared" si="49"/>
        <v>40.74957371668588</v>
      </c>
      <c r="GC54" s="22">
        <f t="shared" si="25"/>
        <v>348.92127422322784</v>
      </c>
      <c r="GD54" s="61">
        <f t="shared" si="26"/>
        <v>642.25460755656115</v>
      </c>
      <c r="GE54" s="61">
        <f ca="1">AVERAGE(OFFSET($GD$3,0,0,'Données projet'!$E$17+1,1))-AVERAGE(OFFSET($H$3,0,0,'Données projet'!$E$17+1,1))</f>
        <v>455.50822833641354</v>
      </c>
      <c r="GF54" s="61">
        <f t="shared" si="50"/>
        <v>261.14722581688039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8</v>
      </c>
      <c r="GU54" s="13">
        <f>IF('Données projet'!$A$270&gt;35,GU53+GT54-HC53,IF(A54&lt;'Données projet'!$A$270,$GR$205^A54,IF(A54='Données projet'!$A$270,'Données projet'!$B$270,GU53+GT54-HC53)))</f>
        <v>165</v>
      </c>
      <c r="GV54" s="18">
        <f>GU54*VLOOKUP('Données projet'!$B$18,Paramètres!$A$1:$I$89,3,0)*VLOOKUP('Données projet'!$B$18,Paramètres!$A$1:$I$89,5,0)</f>
        <v>177.60599999999999</v>
      </c>
      <c r="GW54" s="14">
        <f t="shared" si="51"/>
        <v>44.789150937858665</v>
      </c>
      <c r="GX54" s="22">
        <f t="shared" si="28"/>
        <v>387.33822121677048</v>
      </c>
      <c r="GY54" s="61">
        <f t="shared" si="29"/>
        <v>680.67155455010379</v>
      </c>
      <c r="GZ54" s="61">
        <f ca="1">AVERAGE(OFFSET($GY$3,0,0,'Données projet'!$E$18+1,1))-AVERAGE(OFFSET($H$3,0,0,'Données projet'!$E$18+1,1))</f>
        <v>502.07782026233912</v>
      </c>
      <c r="HA54" s="61">
        <f t="shared" si="52"/>
        <v>285.83623046025156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156.53039999999999</v>
      </c>
      <c r="P55" s="14">
        <f t="shared" si="33"/>
        <v>40.058941713182037</v>
      </c>
      <c r="Q55" s="22">
        <f t="shared" si="53"/>
        <v>342.393103483792</v>
      </c>
      <c r="R55" s="61">
        <f t="shared" si="0"/>
        <v>635.72643681712532</v>
      </c>
      <c r="S55" s="61">
        <f ca="1">AVERAGE(OFFSET($R$3,0,0,'Données projet'!$E$9+1,1))-AVERAGE(OFFSET($H$3,0,0,'Données projet'!$E$9+1,1))</f>
        <v>428.8489304403459</v>
      </c>
      <c r="T55" s="61">
        <f t="shared" si="34"/>
        <v>247.01165577562966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1">
        <f t="shared" si="5"/>
        <v>676.01954977643072</v>
      </c>
      <c r="AN55" s="61">
        <f ca="1">AVERAGE(OFFSET($AM$3,0,0,'Données projet'!$E$10+1,1))-AVERAGE(OFFSET($H$3,0,0,'Données projet'!$E$10+1,1))</f>
        <v>475.47920969424894</v>
      </c>
      <c r="AO55" s="61">
        <f t="shared" si="36"/>
        <v>271.73544012419364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17.285714285714285</v>
      </c>
      <c r="BD55" s="13">
        <f>IF('Données projet'!$A$88&gt;35,BD54+BC55-BL54,IF(A55&lt;'Données projet'!$A$88,$BA$205^A55,IF(A55='Données projet'!$A$88,'Données projet'!$B$88,BD54+BC55-BL54)))</f>
        <v>444.85714285714266</v>
      </c>
      <c r="BE55" s="14">
        <f>BD55*VLOOKUP('Données projet'!$B$11,Paramètres!$A$1:$I$89,3,0)*VLOOKUP('Données projet'!$B$11,Paramètres!$A$1:$I$89,5,0)</f>
        <v>248.67514285714276</v>
      </c>
      <c r="BF55" s="14">
        <f t="shared" si="37"/>
        <v>60.30215496200401</v>
      </c>
      <c r="BG55" s="22">
        <f t="shared" si="7"/>
        <v>538.13546036834725</v>
      </c>
      <c r="BH55" s="61">
        <f t="shared" si="8"/>
        <v>831.46879370168062</v>
      </c>
      <c r="BI55" s="61">
        <f ca="1">AVERAGE(OFFSET($BH$3,0,0,'Données projet'!$E$11+1,1))-AVERAGE(OFFSET($H$3,0,0,'Données projet'!$E$11+1,1))</f>
        <v>374.79806286316051</v>
      </c>
      <c r="BJ55" s="61">
        <f t="shared" si="38"/>
        <v>350.01856672839466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12.100478773325767</v>
      </c>
      <c r="BR55" s="23">
        <f>EXP(-LN(2)/2)*BR54+(1-EXP(-LN(2)/2))/(LN(2)/2)*BL55*BO55*VLOOKUP('Données projet'!$B$11,Paramètres!$A$1:$I$89,3,0)*0.475*44/12</f>
        <v>5.3748930867603874E-3</v>
      </c>
      <c r="BS55" s="24">
        <f t="shared" si="9"/>
        <v>12.105853666412527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11.170769230769238</v>
      </c>
      <c r="BY55" s="13">
        <f>IF('Données projet'!$A$114&gt;35,BY54+BX55-CG54,IF(A55&lt;'Données projet'!$A$114,$BV$205^A55,IF(A55='Données projet'!$A$114,'Données projet'!$B$114,BY54+BX55-CG54)))</f>
        <v>228.57846153846177</v>
      </c>
      <c r="BZ55" s="14">
        <f>BY55*VLOOKUP('Données projet'!$B$12,Paramètres!$A$1:$I$89,3,0)*VLOOKUP('Données projet'!$B$12,Paramètres!$A$1:$I$89,5,0)</f>
        <v>106.9747200000001</v>
      </c>
      <c r="CA55" s="14">
        <f t="shared" si="39"/>
        <v>28.617052249308387</v>
      </c>
      <c r="CB55" s="22">
        <f t="shared" si="10"/>
        <v>236.15567000087893</v>
      </c>
      <c r="CC55" s="61">
        <f t="shared" si="11"/>
        <v>529.48900333421227</v>
      </c>
      <c r="CD55" s="61">
        <f ca="1">AVERAGE(OFFSET($CC$3,0,0,'Données projet'!$E$12+1,1))-AVERAGE(OFFSET($H$3,0,0,'Données projet'!$E$12+1,1))</f>
        <v>285.59863510278109</v>
      </c>
      <c r="CE55" s="61">
        <f t="shared" si="40"/>
        <v>190.4880882944471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9.4</v>
      </c>
      <c r="CT55" s="13">
        <f>IF('Données projet'!$A$140&gt;35,CT54+CS55-DB54,IF(A55&lt;'Données projet'!$A$140,$CQ$205^A55,IF(A55='Données projet'!$A$140,'Données projet'!$B$140,CT54+CS55-DB54)))</f>
        <v>185.80000000000007</v>
      </c>
      <c r="CU55" s="18">
        <f>CT55*VLOOKUP('Données projet'!$B$13,Paramètres!$A$1:$I$89,3,0)*VLOOKUP('Données projet'!$B$13,Paramètres!$A$1:$I$89,5,0)</f>
        <v>89.369800000000041</v>
      </c>
      <c r="CV55" s="14">
        <f t="shared" si="41"/>
        <v>24.413173827089459</v>
      </c>
      <c r="CW55" s="22">
        <f t="shared" si="13"/>
        <v>198.17201274884755</v>
      </c>
      <c r="CX55" s="61">
        <f t="shared" si="14"/>
        <v>491.50534608218084</v>
      </c>
      <c r="CY55" s="61">
        <f ca="1">AVERAGE(OFFSET($CX$3,0,0,'Données projet'!$E$13+1,1))-AVERAGE(OFFSET($H$3,0,0,'Données projet'!$E$13+1,1))</f>
        <v>273.72618036666552</v>
      </c>
      <c r="CZ55" s="61">
        <f t="shared" si="42"/>
        <v>157.67999791700714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5.7692307692307683</v>
      </c>
      <c r="DO55" s="13">
        <f>IF('Données projet'!$A$166&gt;35,DO54+DN55-DW54,IF(A55&lt;'Données projet'!$A$166,$DL$205^A55,IF(A55='Données projet'!$A$166,'Données projet'!$B$166,DO54+DN55-DW54)))</f>
        <v>200.64102564102564</v>
      </c>
      <c r="DP55" s="18">
        <f>DO55*VLOOKUP('Données projet'!$B$14,Paramètres!$A$1:$I$89,3,0)*VLOOKUP('Données projet'!$B$14,Paramètres!$A$1:$I$89,5,0)</f>
        <v>134.59</v>
      </c>
      <c r="DQ55" s="14">
        <f t="shared" si="43"/>
        <v>35.054822215165878</v>
      </c>
      <c r="DR55" s="22">
        <f t="shared" si="16"/>
        <v>295.46473202474721</v>
      </c>
      <c r="DS55" s="61">
        <f t="shared" si="17"/>
        <v>588.79806535808052</v>
      </c>
      <c r="DT55" s="61">
        <f ca="1">AVERAGE(OFFSET($DS$3,0,0,'Données projet'!$E$14+1,1))-AVERAGE(OFFSET($H$3,0,0,'Données projet'!$E$14+1,1))</f>
        <v>312.06797204903796</v>
      </c>
      <c r="DU55" s="61">
        <f t="shared" si="44"/>
        <v>258.20189001775151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4.9272727272727277</v>
      </c>
      <c r="EJ55" s="13">
        <f>IF('Données projet'!$A$192&gt;35,EJ54+EI55-ER54,IF(A55&lt;'Données projet'!$A$192,$EG$205^A55,IF(A55='Données projet'!$A$192,'Données projet'!$B$192,EJ54+EI55-ER54)))</f>
        <v>153.70909090909089</v>
      </c>
      <c r="EK55" s="18">
        <f>EJ55*VLOOKUP('Données projet'!$B$15,Paramètres!$A$1:$I$89,3,0)*VLOOKUP('Données projet'!$B$15,Paramètres!$A$1:$I$89,5,0)</f>
        <v>124.68881454545455</v>
      </c>
      <c r="EL55" s="14">
        <f t="shared" si="45"/>
        <v>32.766136815380044</v>
      </c>
      <c r="EM55" s="22">
        <f t="shared" si="19"/>
        <v>274.23404028678686</v>
      </c>
      <c r="EN55" s="61">
        <f t="shared" si="20"/>
        <v>567.56737362012018</v>
      </c>
      <c r="EO55" s="61">
        <f ca="1">AVERAGE(OFFSET($EN$3,0,0,'Données projet'!$E$15+1,1))-AVERAGE(OFFSET($H$3,0,0,'Données projet'!$E$15+1,1))</f>
        <v>222.15256609836689</v>
      </c>
      <c r="EP55" s="61">
        <f t="shared" si="46"/>
        <v>221.10360210521077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>
        <f>VLOOKUP(A55,'Données projet'!$A$217:$I$237,2,0)</f>
        <v>270</v>
      </c>
      <c r="FC55" s="13">
        <f>VLOOKUP(A55,'Données projet'!$A$217:$I$237,9,0)</f>
        <v>10.375</v>
      </c>
      <c r="FD55" s="13">
        <f t="array" ref="FD55">INDEX(FC:FC,MIN(IF(ISNUMBER(FC55:FC251),ROW(FC55:FC251),"")))</f>
        <v>10.375</v>
      </c>
      <c r="FE55" s="13">
        <f>IF('Données projet'!$A$218&gt;35,FE54+FD55-FM54,IF(A55&lt;'Données projet'!$A$218,$FB$205^A55,IF(A55='Données projet'!$A$218,'Données projet'!$B$218,FE54+FD55-FM54)))</f>
        <v>269.99999999999994</v>
      </c>
      <c r="FF55" s="18">
        <f>FE55*VLOOKUP('Données projet'!$B$16,Paramètres!$A$1:$I$89,3,0)*VLOOKUP('Données projet'!$B$16,Paramètres!$A$1:$I$89,5,0)</f>
        <v>210.59999999999997</v>
      </c>
      <c r="FG55" s="14">
        <f t="shared" si="47"/>
        <v>52.066679014659961</v>
      </c>
      <c r="FH55" s="22">
        <f t="shared" si="22"/>
        <v>457.47779928386598</v>
      </c>
      <c r="FI55" s="61">
        <f t="shared" si="23"/>
        <v>750.81113261719929</v>
      </c>
      <c r="FJ55" s="61">
        <f ca="1">AVERAGE(OFFSET($FI$3,0,0,'Données projet'!$E$16+1,1))-AVERAGE(OFFSET($H$3,0,0,'Données projet'!$E$16+1,1))</f>
        <v>292.57482726862594</v>
      </c>
      <c r="FK55" s="61">
        <f t="shared" si="48"/>
        <v>283.48738729114024</v>
      </c>
      <c r="FL55" s="16">
        <f>IF(ISNA(VLOOKUP(A55,'Données projet'!$A$217:$I$237,3,0)),0,VLOOKUP(A55,'Données projet'!$A$217:$I$237,3,0))</f>
        <v>5</v>
      </c>
      <c r="FM55" s="16">
        <f>IF(ISNA(VLOOKUP(A55,'Données projet'!$A$217:$I$237,4,0)),0,VLOOKUP(A55,'Données projet'!$A$217:$I$237,4,0))</f>
        <v>48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8</v>
      </c>
      <c r="FZ55" s="13">
        <f>IF('Données projet'!$A$244&gt;35,FZ54+FY55-GH54,IF(A55&lt;'Données projet'!$A$244,$FW$205^A55,IF(A55='Données projet'!$A$244,'Données projet'!$B$244,FZ54+FY55-GH54)))</f>
        <v>173</v>
      </c>
      <c r="GA55" s="18">
        <f>FZ55*VLOOKUP('Données projet'!$B$17,Paramètres!$A$1:$I$89,3,0)*VLOOKUP('Données projet'!$B$17,Paramètres!$A$1:$I$89,5,0)</f>
        <v>167.32560000000001</v>
      </c>
      <c r="GB55" s="14">
        <f t="shared" si="49"/>
        <v>42.490495297127609</v>
      </c>
      <c r="GC55" s="22">
        <f t="shared" si="25"/>
        <v>365.42969930916388</v>
      </c>
      <c r="GD55" s="61">
        <f t="shared" si="26"/>
        <v>658.76303264249714</v>
      </c>
      <c r="GE55" s="61">
        <f ca="1">AVERAGE(OFFSET($GD$3,0,0,'Données projet'!$E$17+1,1))-AVERAGE(OFFSET($H$3,0,0,'Données projet'!$E$17+1,1))</f>
        <v>455.50822833641354</v>
      </c>
      <c r="GF55" s="61">
        <f t="shared" si="50"/>
        <v>261.14722581688039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0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0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8</v>
      </c>
      <c r="GU55" s="13">
        <f>IF('Données projet'!$A$270&gt;35,GU54+GT55-HC54,IF(A55&lt;'Données projet'!$A$270,$GR$205^A55,IF(A55='Données projet'!$A$270,'Données projet'!$B$270,GU54+GT55-HC54)))</f>
        <v>173</v>
      </c>
      <c r="GV55" s="18">
        <f>GU55*VLOOKUP('Données projet'!$B$18,Paramètres!$A$1:$I$89,3,0)*VLOOKUP('Données projet'!$B$18,Paramètres!$A$1:$I$89,5,0)</f>
        <v>186.21719999999999</v>
      </c>
      <c r="GW55" s="14">
        <f t="shared" si="51"/>
        <v>46.702653149673253</v>
      </c>
      <c r="GX55" s="22">
        <f t="shared" si="28"/>
        <v>405.66874423568089</v>
      </c>
      <c r="GY55" s="61">
        <f t="shared" si="29"/>
        <v>699.0020775690142</v>
      </c>
      <c r="GZ55" s="61">
        <f ca="1">AVERAGE(OFFSET($GY$3,0,0,'Données projet'!$E$18+1,1))-AVERAGE(OFFSET($H$3,0,0,'Données projet'!$E$18+1,1))</f>
        <v>502.07782026233912</v>
      </c>
      <c r="HA55" s="61">
        <f t="shared" si="52"/>
        <v>285.83623046025156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0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0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163.7688</v>
      </c>
      <c r="P56" s="14">
        <f t="shared" si="33"/>
        <v>41.691423503509803</v>
      </c>
      <c r="Q56" s="22">
        <f t="shared" si="53"/>
        <v>357.84322260194625</v>
      </c>
      <c r="R56" s="61">
        <f t="shared" si="0"/>
        <v>651.17655593527957</v>
      </c>
      <c r="S56" s="61">
        <f ca="1">AVERAGE(OFFSET($R$3,0,0,'Données projet'!$E$9+1,1))-AVERAGE(OFFSET($H$3,0,0,'Données projet'!$E$9+1,1))</f>
        <v>428.8489304403459</v>
      </c>
      <c r="T56" s="61">
        <f t="shared" si="34"/>
        <v>247.01165577562966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1">
        <f t="shared" si="5"/>
        <v>693.29235603832899</v>
      </c>
      <c r="AN56" s="61">
        <f ca="1">AVERAGE(OFFSET($AM$3,0,0,'Données projet'!$E$10+1,1))-AVERAGE(OFFSET($H$3,0,0,'Données projet'!$E$10+1,1))</f>
        <v>475.47920969424894</v>
      </c>
      <c r="AO56" s="61">
        <f t="shared" si="36"/>
        <v>271.73544012419364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17.285714285714285</v>
      </c>
      <c r="BD56" s="13">
        <f>IF('Données projet'!$A$88&gt;35,BD55+BC56-BL55,IF(A56&lt;'Données projet'!$A$88,$BA$205^A56,IF(A56='Données projet'!$A$88,'Données projet'!$B$88,BD55+BC56-BL55)))</f>
        <v>462.14285714285694</v>
      </c>
      <c r="BE56" s="14">
        <f>BD56*VLOOKUP('Données projet'!$B$11,Paramètres!$A$1:$I$89,3,0)*VLOOKUP('Données projet'!$B$11,Paramètres!$A$1:$I$89,5,0)</f>
        <v>258.33785714285705</v>
      </c>
      <c r="BF56" s="14">
        <f t="shared" si="37"/>
        <v>62.367944130057822</v>
      </c>
      <c r="BG56" s="22">
        <f t="shared" si="7"/>
        <v>558.56260388366002</v>
      </c>
      <c r="BH56" s="61">
        <f t="shared" si="8"/>
        <v>851.89593721699339</v>
      </c>
      <c r="BI56" s="61">
        <f ca="1">AVERAGE(OFFSET($BH$3,0,0,'Données projet'!$E$11+1,1))-AVERAGE(OFFSET($H$3,0,0,'Données projet'!$E$11+1,1))</f>
        <v>374.79806286316051</v>
      </c>
      <c r="BJ56" s="61">
        <f t="shared" si="38"/>
        <v>350.01856672839466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11.769590544932651</v>
      </c>
      <c r="BR56" s="23">
        <f>EXP(-LN(2)/2)*BR55+(1-EXP(-LN(2)/2))/(LN(2)/2)*BL56*BO56*VLOOKUP('Données projet'!$B$11,Paramètres!$A$1:$I$89,3,0)*0.475*44/12</f>
        <v>3.8006233498009646E-3</v>
      </c>
      <c r="BS56" s="24">
        <f t="shared" si="9"/>
        <v>11.773391168282451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11.170769230769238</v>
      </c>
      <c r="BY56" s="13">
        <f>IF('Données projet'!$A$114&gt;35,BY55+BX56-CG55,IF(A56&lt;'Données projet'!$A$114,$BV$205^A56,IF(A56='Données projet'!$A$114,'Données projet'!$B$114,BY55+BX56-CG55)))</f>
        <v>239.74923076923102</v>
      </c>
      <c r="BZ56" s="14">
        <f>BY56*VLOOKUP('Données projet'!$B$12,Paramètres!$A$1:$I$89,3,0)*VLOOKUP('Données projet'!$B$12,Paramètres!$A$1:$I$89,5,0)</f>
        <v>112.20264000000012</v>
      </c>
      <c r="CA56" s="14">
        <f t="shared" si="39"/>
        <v>29.84934340268536</v>
      </c>
      <c r="CB56" s="22">
        <f t="shared" si="10"/>
        <v>247.40720442634384</v>
      </c>
      <c r="CC56" s="61">
        <f t="shared" si="11"/>
        <v>540.74053775967718</v>
      </c>
      <c r="CD56" s="61">
        <f ca="1">AVERAGE(OFFSET($CC$3,0,0,'Données projet'!$E$12+1,1))-AVERAGE(OFFSET($H$3,0,0,'Données projet'!$E$12+1,1))</f>
        <v>285.59863510278109</v>
      </c>
      <c r="CE56" s="61">
        <f t="shared" si="40"/>
        <v>190.4880882944471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9.4</v>
      </c>
      <c r="CT56" s="13">
        <f>IF('Données projet'!$A$140&gt;35,CT55+CS56-DB55,IF(A56&lt;'Données projet'!$A$140,$CQ$205^A56,IF(A56='Données projet'!$A$140,'Données projet'!$B$140,CT55+CS56-DB55)))</f>
        <v>195.20000000000007</v>
      </c>
      <c r="CU56" s="18">
        <f>CT56*VLOOKUP('Données projet'!$B$13,Paramètres!$A$1:$I$89,3,0)*VLOOKUP('Données projet'!$B$13,Paramètres!$A$1:$I$89,5,0)</f>
        <v>93.89120000000004</v>
      </c>
      <c r="CV56" s="14">
        <f t="shared" si="41"/>
        <v>25.501364417068771</v>
      </c>
      <c r="CW56" s="22">
        <f t="shared" si="13"/>
        <v>207.94204969306148</v>
      </c>
      <c r="CX56" s="61">
        <f t="shared" si="14"/>
        <v>501.27538302639482</v>
      </c>
      <c r="CY56" s="61">
        <f ca="1">AVERAGE(OFFSET($CX$3,0,0,'Données projet'!$E$13+1,1))-AVERAGE(OFFSET($H$3,0,0,'Données projet'!$E$13+1,1))</f>
        <v>273.72618036666552</v>
      </c>
      <c r="CZ56" s="61">
        <f t="shared" si="42"/>
        <v>157.67999791700714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5.7692307692307683</v>
      </c>
      <c r="DO56" s="13">
        <f>IF('Données projet'!$A$166&gt;35,DO55+DN56-DW55,IF(A56&lt;'Données projet'!$A$166,$DL$205^A56,IF(A56='Données projet'!$A$166,'Données projet'!$B$166,DO55+DN56-DW55)))</f>
        <v>206.41025641025641</v>
      </c>
      <c r="DP56" s="18">
        <f>DO56*VLOOKUP('Données projet'!$B$14,Paramètres!$A$1:$I$89,3,0)*VLOOKUP('Données projet'!$B$14,Paramètres!$A$1:$I$89,5,0)</f>
        <v>138.45999999999998</v>
      </c>
      <c r="DQ56" s="14">
        <f t="shared" si="43"/>
        <v>35.943986332761526</v>
      </c>
      <c r="DR56" s="22">
        <f t="shared" si="16"/>
        <v>303.75360952955964</v>
      </c>
      <c r="DS56" s="61">
        <f t="shared" si="17"/>
        <v>597.08694286289301</v>
      </c>
      <c r="DT56" s="61">
        <f ca="1">AVERAGE(OFFSET($DS$3,0,0,'Données projet'!$E$14+1,1))-AVERAGE(OFFSET($H$3,0,0,'Données projet'!$E$14+1,1))</f>
        <v>312.06797204903796</v>
      </c>
      <c r="DU56" s="61">
        <f t="shared" si="44"/>
        <v>258.20189001775151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4.9272727272727277</v>
      </c>
      <c r="EJ56" s="13">
        <f>IF('Données projet'!$A$192&gt;35,EJ55+EI56-ER55,IF(A56&lt;'Données projet'!$A$192,$EG$205^A56,IF(A56='Données projet'!$A$192,'Données projet'!$B$192,EJ55+EI56-ER55)))</f>
        <v>158.63636363636363</v>
      </c>
      <c r="EK56" s="18">
        <f>EJ56*VLOOKUP('Données projet'!$B$15,Paramètres!$A$1:$I$89,3,0)*VLOOKUP('Données projet'!$B$15,Paramètres!$A$1:$I$89,5,0)</f>
        <v>128.68581818181818</v>
      </c>
      <c r="EL56" s="14">
        <f t="shared" si="45"/>
        <v>33.69251116047748</v>
      </c>
      <c r="EM56" s="22">
        <f t="shared" si="19"/>
        <v>282.80892360449826</v>
      </c>
      <c r="EN56" s="61">
        <f t="shared" si="20"/>
        <v>576.14225693783158</v>
      </c>
      <c r="EO56" s="61">
        <f ca="1">AVERAGE(OFFSET($EN$3,0,0,'Données projet'!$E$15+1,1))-AVERAGE(OFFSET($H$3,0,0,'Données projet'!$E$15+1,1))</f>
        <v>222.15256609836689</v>
      </c>
      <c r="EP56" s="61">
        <f t="shared" si="46"/>
        <v>221.10360210521077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9.375</v>
      </c>
      <c r="FE56" s="13">
        <f>IF('Données projet'!$A$218&gt;35,FE55+FD56-FM55,IF(A56&lt;'Données projet'!$A$218,$FB$205^A56,IF(A56='Données projet'!$A$218,'Données projet'!$B$218,FE55+FD56-FM55)))</f>
        <v>231.37499999999994</v>
      </c>
      <c r="FF56" s="18">
        <f>FE56*VLOOKUP('Données projet'!$B$16,Paramètres!$A$1:$I$89,3,0)*VLOOKUP('Données projet'!$B$16,Paramètres!$A$1:$I$89,5,0)</f>
        <v>180.47249999999997</v>
      </c>
      <c r="FG56" s="14">
        <f t="shared" si="47"/>
        <v>45.427292666837829</v>
      </c>
      <c r="FH56" s="22">
        <f t="shared" si="22"/>
        <v>393.44213889474253</v>
      </c>
      <c r="FI56" s="61">
        <f t="shared" si="23"/>
        <v>686.77547222807584</v>
      </c>
      <c r="FJ56" s="61">
        <f ca="1">AVERAGE(OFFSET($FI$3,0,0,'Données projet'!$E$16+1,1))-AVERAGE(OFFSET($H$3,0,0,'Données projet'!$E$16+1,1))</f>
        <v>292.57482726862594</v>
      </c>
      <c r="FK56" s="61">
        <f t="shared" si="48"/>
        <v>283.48738729114024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8</v>
      </c>
      <c r="FZ56" s="13">
        <f>IF('Données projet'!$A$244&gt;35,FZ55+FY56-GH55,IF(A56&lt;'Données projet'!$A$244,$FW$205^A56,IF(A56='Données projet'!$A$244,'Données projet'!$B$244,FZ55+FY56-GH55)))</f>
        <v>181</v>
      </c>
      <c r="GA56" s="18">
        <f>FZ56*VLOOKUP('Données projet'!$B$17,Paramètres!$A$1:$I$89,3,0)*VLOOKUP('Données projet'!$B$17,Paramètres!$A$1:$I$89,5,0)</f>
        <v>175.06319999999999</v>
      </c>
      <c r="GB56" s="14">
        <f t="shared" si="49"/>
        <v>44.22206774682472</v>
      </c>
      <c r="GC56" s="22">
        <f t="shared" si="25"/>
        <v>381.9218413257197</v>
      </c>
      <c r="GD56" s="61">
        <f t="shared" si="26"/>
        <v>675.25517465905295</v>
      </c>
      <c r="GE56" s="61">
        <f ca="1">AVERAGE(OFFSET($GD$3,0,0,'Données projet'!$E$17+1,1))-AVERAGE(OFFSET($H$3,0,0,'Données projet'!$E$17+1,1))</f>
        <v>455.50822833641354</v>
      </c>
      <c r="GF56" s="61">
        <f t="shared" si="50"/>
        <v>261.14722581688039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0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0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8</v>
      </c>
      <c r="GU56" s="13">
        <f>IF('Données projet'!$A$270&gt;35,GU55+GT56-HC55,IF(A56&lt;'Données projet'!$A$270,$GR$205^A56,IF(A56='Données projet'!$A$270,'Données projet'!$B$270,GU55+GT56-HC55)))</f>
        <v>181</v>
      </c>
      <c r="GV56" s="18">
        <f>GU56*VLOOKUP('Données projet'!$B$18,Paramètres!$A$1:$I$89,3,0)*VLOOKUP('Données projet'!$B$18,Paramètres!$A$1:$I$89,5,0)</f>
        <v>194.82839999999999</v>
      </c>
      <c r="GW56" s="14">
        <f t="shared" si="51"/>
        <v>48.605879434898533</v>
      </c>
      <c r="GX56" s="22">
        <f t="shared" si="28"/>
        <v>423.98137001578152</v>
      </c>
      <c r="GY56" s="61">
        <f t="shared" si="29"/>
        <v>717.31470334911478</v>
      </c>
      <c r="GZ56" s="61">
        <f ca="1">AVERAGE(OFFSET($GY$3,0,0,'Données projet'!$E$18+1,1))-AVERAGE(OFFSET($H$3,0,0,'Données projet'!$E$18+1,1))</f>
        <v>502.07782026233912</v>
      </c>
      <c r="HA56" s="61">
        <f t="shared" si="52"/>
        <v>285.83623046025156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0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0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171.00719999999998</v>
      </c>
      <c r="P57" s="14">
        <f t="shared" si="33"/>
        <v>43.315525267338089</v>
      </c>
      <c r="Q57" s="22">
        <f t="shared" si="53"/>
        <v>373.27874650728046</v>
      </c>
      <c r="R57" s="61">
        <f t="shared" si="0"/>
        <v>666.61207984061377</v>
      </c>
      <c r="S57" s="61">
        <f ca="1">AVERAGE(OFFSET($R$3,0,0,'Données projet'!$E$9+1,1))-AVERAGE(OFFSET($H$3,0,0,'Données projet'!$E$9+1,1))</f>
        <v>428.8489304403459</v>
      </c>
      <c r="T57" s="61">
        <f t="shared" si="34"/>
        <v>247.01165577562966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1">
        <f t="shared" si="5"/>
        <v>710.54902110468288</v>
      </c>
      <c r="AN57" s="61">
        <f ca="1">AVERAGE(OFFSET($AM$3,0,0,'Données projet'!$E$10+1,1))-AVERAGE(OFFSET($H$3,0,0,'Données projet'!$E$10+1,1))</f>
        <v>475.47920969424894</v>
      </c>
      <c r="AO57" s="61">
        <f t="shared" si="36"/>
        <v>271.73544012419364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17.285714285714285</v>
      </c>
      <c r="BD57" s="13">
        <f>IF('Données projet'!$A$88&gt;35,BD56+BC57-BL56,IF(A57&lt;'Données projet'!$A$88,$BA$205^A57,IF(A57='Données projet'!$A$88,'Données projet'!$B$88,BD56+BC57-BL56)))</f>
        <v>479.42857142857122</v>
      </c>
      <c r="BE57" s="14">
        <f>BD57*VLOOKUP('Données projet'!$B$11,Paramètres!$A$1:$I$89,3,0)*VLOOKUP('Données projet'!$B$11,Paramètres!$A$1:$I$89,5,0)</f>
        <v>268.00057142857128</v>
      </c>
      <c r="BF57" s="14">
        <f t="shared" si="37"/>
        <v>64.42475669606354</v>
      </c>
      <c r="BG57" s="22">
        <f t="shared" si="7"/>
        <v>578.97411315040551</v>
      </c>
      <c r="BH57" s="61">
        <f t="shared" si="8"/>
        <v>872.30744648373889</v>
      </c>
      <c r="BI57" s="61">
        <f ca="1">AVERAGE(OFFSET($BH$3,0,0,'Données projet'!$E$11+1,1))-AVERAGE(OFFSET($H$3,0,0,'Données projet'!$E$11+1,1))</f>
        <v>374.79806286316051</v>
      </c>
      <c r="BJ57" s="61">
        <f t="shared" si="38"/>
        <v>350.01856672839466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11.4477504725456</v>
      </c>
      <c r="BR57" s="23">
        <f>EXP(-LN(2)/2)*BR56+(1-EXP(-LN(2)/2))/(LN(2)/2)*BL57*BO57*VLOOKUP('Données projet'!$B$11,Paramètres!$A$1:$I$89,3,0)*0.475*44/12</f>
        <v>2.6874465433801942E-3</v>
      </c>
      <c r="BS57" s="24">
        <f t="shared" si="9"/>
        <v>11.45043791908898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11.170769230769238</v>
      </c>
      <c r="BY57" s="13">
        <f>IF('Données projet'!$A$114&gt;35,BY56+BX57-CG56,IF(A57&lt;'Données projet'!$A$114,$BV$205^A57,IF(A57='Données projet'!$A$114,'Données projet'!$B$114,BY56+BX57-CG56)))</f>
        <v>250.92000000000024</v>
      </c>
      <c r="BZ57" s="14">
        <f>BY57*VLOOKUP('Données projet'!$B$12,Paramètres!$A$1:$I$89,3,0)*VLOOKUP('Données projet'!$B$12,Paramètres!$A$1:$I$89,5,0)</f>
        <v>117.43056000000011</v>
      </c>
      <c r="CA57" s="14">
        <f t="shared" si="39"/>
        <v>31.074966780724139</v>
      </c>
      <c r="CB57" s="22">
        <f t="shared" si="10"/>
        <v>258.64712580976141</v>
      </c>
      <c r="CC57" s="61">
        <f t="shared" si="11"/>
        <v>551.98045914309478</v>
      </c>
      <c r="CD57" s="61">
        <f ca="1">AVERAGE(OFFSET($CC$3,0,0,'Données projet'!$E$12+1,1))-AVERAGE(OFFSET($H$3,0,0,'Données projet'!$E$12+1,1))</f>
        <v>285.59863510278109</v>
      </c>
      <c r="CE57" s="61">
        <f t="shared" si="40"/>
        <v>190.4880882944471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9.4</v>
      </c>
      <c r="CT57" s="13">
        <f>IF('Données projet'!$A$140&gt;35,CT56+CS57-DB56,IF(A57&lt;'Données projet'!$A$140,$CQ$205^A57,IF(A57='Données projet'!$A$140,'Données projet'!$B$140,CT56+CS57-DB56)))</f>
        <v>204.60000000000008</v>
      </c>
      <c r="CU57" s="18">
        <f>CT57*VLOOKUP('Données projet'!$B$13,Paramètres!$A$1:$I$89,3,0)*VLOOKUP('Données projet'!$B$13,Paramètres!$A$1:$I$89,5,0)</f>
        <v>98.41260000000004</v>
      </c>
      <c r="CV57" s="14">
        <f t="shared" si="41"/>
        <v>26.583469922255617</v>
      </c>
      <c r="CW57" s="22">
        <f t="shared" si="13"/>
        <v>217.7014884479286</v>
      </c>
      <c r="CX57" s="61">
        <f t="shared" si="14"/>
        <v>511.03482178126194</v>
      </c>
      <c r="CY57" s="61">
        <f ca="1">AVERAGE(OFFSET($CX$3,0,0,'Données projet'!$E$13+1,1))-AVERAGE(OFFSET($H$3,0,0,'Données projet'!$E$13+1,1))</f>
        <v>273.72618036666552</v>
      </c>
      <c r="CZ57" s="61">
        <f t="shared" si="42"/>
        <v>157.67999791700714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5.7692307692307683</v>
      </c>
      <c r="DO57" s="13">
        <f>IF('Données projet'!$A$166&gt;35,DO56+DN57-DW56,IF(A57&lt;'Données projet'!$A$166,$DL$205^A57,IF(A57='Données projet'!$A$166,'Données projet'!$B$166,DO56+DN57-DW56)))</f>
        <v>212.17948717948718</v>
      </c>
      <c r="DP57" s="18">
        <f>DO57*VLOOKUP('Données projet'!$B$14,Paramètres!$A$1:$I$89,3,0)*VLOOKUP('Données projet'!$B$14,Paramètres!$A$1:$I$89,5,0)</f>
        <v>142.33000000000001</v>
      </c>
      <c r="DQ57" s="14">
        <f t="shared" si="43"/>
        <v>36.830261932722308</v>
      </c>
      <c r="DR57" s="22">
        <f t="shared" si="16"/>
        <v>312.03745619949137</v>
      </c>
      <c r="DS57" s="61">
        <f t="shared" si="17"/>
        <v>605.37078953282469</v>
      </c>
      <c r="DT57" s="61">
        <f ca="1">AVERAGE(OFFSET($DS$3,0,0,'Données projet'!$E$14+1,1))-AVERAGE(OFFSET($H$3,0,0,'Données projet'!$E$14+1,1))</f>
        <v>312.06797204903796</v>
      </c>
      <c r="DU57" s="61">
        <f t="shared" si="44"/>
        <v>258.20189001775151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4.9272727272727277</v>
      </c>
      <c r="EJ57" s="13">
        <f>IF('Données projet'!$A$192&gt;35,EJ56+EI57-ER56,IF(A57&lt;'Données projet'!$A$192,$EG$205^A57,IF(A57='Données projet'!$A$192,'Données projet'!$B$192,EJ56+EI57-ER56)))</f>
        <v>163.56363636363636</v>
      </c>
      <c r="EK57" s="18">
        <f>EJ57*VLOOKUP('Données projet'!$B$15,Paramètres!$A$1:$I$89,3,0)*VLOOKUP('Données projet'!$B$15,Paramètres!$A$1:$I$89,5,0)</f>
        <v>132.68282181818182</v>
      </c>
      <c r="EL57" s="14">
        <f t="shared" si="45"/>
        <v>34.615541767117058</v>
      </c>
      <c r="EM57" s="22">
        <f t="shared" si="19"/>
        <v>291.37798324439558</v>
      </c>
      <c r="EN57" s="61">
        <f t="shared" si="20"/>
        <v>584.71131657772889</v>
      </c>
      <c r="EO57" s="61">
        <f ca="1">AVERAGE(OFFSET($EN$3,0,0,'Données projet'!$E$15+1,1))-AVERAGE(OFFSET($H$3,0,0,'Données projet'!$E$15+1,1))</f>
        <v>222.15256609836689</v>
      </c>
      <c r="EP57" s="61">
        <f t="shared" si="46"/>
        <v>221.10360210521077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9.375</v>
      </c>
      <c r="FE57" s="13">
        <f>IF('Données projet'!$A$218&gt;35,FE56+FD57-FM56,IF(A57&lt;'Données projet'!$A$218,$FB$205^A57,IF(A57='Données projet'!$A$218,'Données projet'!$B$218,FE56+FD57-FM56)))</f>
        <v>240.74999999999994</v>
      </c>
      <c r="FF57" s="18">
        <f>FE57*VLOOKUP('Données projet'!$B$16,Paramètres!$A$1:$I$89,3,0)*VLOOKUP('Données projet'!$B$16,Paramètres!$A$1:$I$89,5,0)</f>
        <v>187.78499999999997</v>
      </c>
      <c r="FG57" s="14">
        <f t="shared" si="47"/>
        <v>47.049914090154054</v>
      </c>
      <c r="FH57" s="22">
        <f t="shared" si="22"/>
        <v>409.00414204035161</v>
      </c>
      <c r="FI57" s="61">
        <f t="shared" si="23"/>
        <v>702.33747537368492</v>
      </c>
      <c r="FJ57" s="61">
        <f ca="1">AVERAGE(OFFSET($FI$3,0,0,'Données projet'!$E$16+1,1))-AVERAGE(OFFSET($H$3,0,0,'Données projet'!$E$16+1,1))</f>
        <v>292.57482726862594</v>
      </c>
      <c r="FK57" s="61">
        <f t="shared" si="48"/>
        <v>283.48738729114024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8</v>
      </c>
      <c r="FZ57" s="13">
        <f>IF('Données projet'!$A$244&gt;35,FZ56+FY57-GH56,IF(A57&lt;'Données projet'!$A$244,$FW$205^A57,IF(A57='Données projet'!$A$244,'Données projet'!$B$244,FZ56+FY57-GH56)))</f>
        <v>189</v>
      </c>
      <c r="GA57" s="18">
        <f>FZ57*VLOOKUP('Données projet'!$B$17,Paramètres!$A$1:$I$89,3,0)*VLOOKUP('Données projet'!$B$17,Paramètres!$A$1:$I$89,5,0)</f>
        <v>182.80079999999998</v>
      </c>
      <c r="GB57" s="14">
        <f t="shared" si="49"/>
        <v>45.944751507471658</v>
      </c>
      <c r="GC57" s="22">
        <f t="shared" si="25"/>
        <v>398.39850220884642</v>
      </c>
      <c r="GD57" s="61">
        <f t="shared" si="26"/>
        <v>691.73183554217974</v>
      </c>
      <c r="GE57" s="61">
        <f ca="1">AVERAGE(OFFSET($GD$3,0,0,'Données projet'!$E$17+1,1))-AVERAGE(OFFSET($H$3,0,0,'Données projet'!$E$17+1,1))</f>
        <v>455.50822833641354</v>
      </c>
      <c r="GF57" s="61">
        <f t="shared" si="50"/>
        <v>261.14722581688039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0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0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8</v>
      </c>
      <c r="GU57" s="13">
        <f>IF('Données projet'!$A$270&gt;35,GU56+GT57-HC56,IF(A57&lt;'Données projet'!$A$270,$GR$205^A57,IF(A57='Données projet'!$A$270,'Données projet'!$B$270,GU56+GT57-HC56)))</f>
        <v>189</v>
      </c>
      <c r="GV57" s="18">
        <f>GU57*VLOOKUP('Données projet'!$B$18,Paramètres!$A$1:$I$89,3,0)*VLOOKUP('Données projet'!$B$18,Paramètres!$A$1:$I$89,5,0)</f>
        <v>203.43960000000001</v>
      </c>
      <c r="GW57" s="14">
        <f t="shared" si="51"/>
        <v>50.499335879627459</v>
      </c>
      <c r="GX57" s="22">
        <f t="shared" si="28"/>
        <v>442.27697999035109</v>
      </c>
      <c r="GY57" s="61">
        <f t="shared" si="29"/>
        <v>735.61031332368441</v>
      </c>
      <c r="GZ57" s="61">
        <f ca="1">AVERAGE(OFFSET($GY$3,0,0,'Données projet'!$E$18+1,1))-AVERAGE(OFFSET($H$3,0,0,'Données projet'!$E$18+1,1))</f>
        <v>502.07782026233912</v>
      </c>
      <c r="HA57" s="61">
        <f t="shared" si="52"/>
        <v>285.83623046025156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0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0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178.2456</v>
      </c>
      <c r="P58" s="14">
        <f t="shared" si="33"/>
        <v>44.931642269910427</v>
      </c>
      <c r="Q58" s="22">
        <f t="shared" si="53"/>
        <v>388.70036362009404</v>
      </c>
      <c r="R58" s="61">
        <f t="shared" si="0"/>
        <v>682.03369695342735</v>
      </c>
      <c r="S58" s="61">
        <f ca="1">AVERAGE(OFFSET($R$3,0,0,'Données projet'!$E$9+1,1))-AVERAGE(OFFSET($H$3,0,0,'Données projet'!$E$9+1,1))</f>
        <v>428.8489304403459</v>
      </c>
      <c r="T58" s="61">
        <f t="shared" si="34"/>
        <v>247.01165577562966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1">
        <f t="shared" si="5"/>
        <v>727.79030631599562</v>
      </c>
      <c r="AN58" s="61">
        <f ca="1">AVERAGE(OFFSET($AM$3,0,0,'Données projet'!$E$10+1,1))-AVERAGE(OFFSET($H$3,0,0,'Données projet'!$E$10+1,1))</f>
        <v>475.47920969424894</v>
      </c>
      <c r="AO58" s="61">
        <f t="shared" si="36"/>
        <v>271.73544012419364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17.285714285714285</v>
      </c>
      <c r="BD58" s="13">
        <f>IF('Données projet'!$A$88&gt;35,BD57+BC58-BL57,IF(A58&lt;'Données projet'!$A$88,$BA$205^A58,IF(A58='Données projet'!$A$88,'Données projet'!$B$88,BD57+BC58-BL57)))</f>
        <v>496.7142857142855</v>
      </c>
      <c r="BE58" s="14">
        <f>BD58*VLOOKUP('Données projet'!$B$11,Paramètres!$A$1:$I$89,3,0)*VLOOKUP('Données projet'!$B$11,Paramètres!$A$1:$I$89,5,0)</f>
        <v>277.66328571428562</v>
      </c>
      <c r="BF58" s="14">
        <f t="shared" si="37"/>
        <v>66.47295338451616</v>
      </c>
      <c r="BG58" s="22">
        <f t="shared" si="7"/>
        <v>599.37061643041295</v>
      </c>
      <c r="BH58" s="61">
        <f t="shared" si="8"/>
        <v>892.70394976374632</v>
      </c>
      <c r="BI58" s="61">
        <f ca="1">AVERAGE(OFFSET($BH$3,0,0,'Données projet'!$E$11+1,1))-AVERAGE(OFFSET($H$3,0,0,'Données projet'!$E$11+1,1))</f>
        <v>374.79806286316051</v>
      </c>
      <c r="BJ58" s="61">
        <f t="shared" si="38"/>
        <v>350.01856672839466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11.134711133862808</v>
      </c>
      <c r="BR58" s="23">
        <f>EXP(-LN(2)/2)*BR57+(1-EXP(-LN(2)/2))/(LN(2)/2)*BL58*BO58*VLOOKUP('Données projet'!$B$11,Paramètres!$A$1:$I$89,3,0)*0.475*44/12</f>
        <v>1.9003116749004825E-3</v>
      </c>
      <c r="BS58" s="24">
        <f t="shared" si="9"/>
        <v>11.136611445537708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11.170769230769238</v>
      </c>
      <c r="BY58" s="13">
        <f>IF('Données projet'!$A$114&gt;35,BY57+BX58-CG57,IF(A58&lt;'Données projet'!$A$114,$BV$205^A58,IF(A58='Données projet'!$A$114,'Données projet'!$B$114,BY57+BX58-CG57)))</f>
        <v>262.09076923076947</v>
      </c>
      <c r="BZ58" s="14">
        <f>BY58*VLOOKUP('Données projet'!$B$12,Paramètres!$A$1:$I$89,3,0)*VLOOKUP('Données projet'!$B$12,Paramètres!$A$1:$I$89,5,0)</f>
        <v>122.6584800000001</v>
      </c>
      <c r="CA58" s="14">
        <f t="shared" si="39"/>
        <v>32.294253146422101</v>
      </c>
      <c r="CB58" s="22">
        <f t="shared" si="10"/>
        <v>269.87601023001861</v>
      </c>
      <c r="CC58" s="61">
        <f t="shared" si="11"/>
        <v>563.20934356335192</v>
      </c>
      <c r="CD58" s="61">
        <f ca="1">AVERAGE(OFFSET($CC$3,0,0,'Données projet'!$E$12+1,1))-AVERAGE(OFFSET($H$3,0,0,'Données projet'!$E$12+1,1))</f>
        <v>285.59863510278109</v>
      </c>
      <c r="CE58" s="61">
        <f t="shared" si="40"/>
        <v>190.4880882944471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9.4</v>
      </c>
      <c r="CT58" s="13">
        <f>IF('Données projet'!$A$140&gt;35,CT57+CS58-DB57,IF(A58&lt;'Données projet'!$A$140,$CQ$205^A58,IF(A58='Données projet'!$A$140,'Données projet'!$B$140,CT57+CS58-DB57)))</f>
        <v>214.00000000000009</v>
      </c>
      <c r="CU58" s="18">
        <f>CT58*VLOOKUP('Données projet'!$B$13,Paramètres!$A$1:$I$89,3,0)*VLOOKUP('Données projet'!$B$13,Paramètres!$A$1:$I$89,5,0)</f>
        <v>102.93400000000005</v>
      </c>
      <c r="CV58" s="14">
        <f t="shared" si="41"/>
        <v>27.659801844290865</v>
      </c>
      <c r="CW58" s="22">
        <f t="shared" si="13"/>
        <v>227.45087154547332</v>
      </c>
      <c r="CX58" s="61">
        <f t="shared" si="14"/>
        <v>520.78420487880658</v>
      </c>
      <c r="CY58" s="61">
        <f ca="1">AVERAGE(OFFSET($CX$3,0,0,'Données projet'!$E$13+1,1))-AVERAGE(OFFSET($H$3,0,0,'Données projet'!$E$13+1,1))</f>
        <v>273.72618036666552</v>
      </c>
      <c r="CZ58" s="61">
        <f t="shared" si="42"/>
        <v>157.67999791700714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217.94871794871793</v>
      </c>
      <c r="DM58" s="13">
        <f>VLOOKUP(A58,'Données projet'!$A$165:$I$185,9,0)</f>
        <v>5.7692307692307683</v>
      </c>
      <c r="DN58" s="13">
        <f t="array" ref="DN58">INDEX(DM:DM,MIN(IF(ISNUMBER(DM58:DM254),ROW(DM58:DM254),"")))</f>
        <v>5.7692307692307683</v>
      </c>
      <c r="DO58" s="13">
        <f>IF('Données projet'!$A$166&gt;35,DO57+DN58-DW57,IF(A58&lt;'Données projet'!$A$166,$DL$205^A58,IF(A58='Données projet'!$A$166,'Données projet'!$B$166,DO57+DN58-DW57)))</f>
        <v>217.94871794871796</v>
      </c>
      <c r="DP58" s="18">
        <f>DO58*VLOOKUP('Données projet'!$B$14,Paramètres!$A$1:$I$89,3,0)*VLOOKUP('Données projet'!$B$14,Paramètres!$A$1:$I$89,5,0)</f>
        <v>146.19999999999999</v>
      </c>
      <c r="DQ58" s="14">
        <f t="shared" si="43"/>
        <v>37.713736580072478</v>
      </c>
      <c r="DR58" s="22">
        <f t="shared" si="16"/>
        <v>320.31642454362617</v>
      </c>
      <c r="DS58" s="61">
        <f t="shared" si="17"/>
        <v>613.64975787695948</v>
      </c>
      <c r="DT58" s="61">
        <f ca="1">AVERAGE(OFFSET($DS$3,0,0,'Données projet'!$E$14+1,1))-AVERAGE(OFFSET($H$3,0,0,'Données projet'!$E$14+1,1))</f>
        <v>312.06797204903796</v>
      </c>
      <c r="DU58" s="61">
        <f t="shared" si="44"/>
        <v>258.20189001775151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4.9272727272727277</v>
      </c>
      <c r="EJ58" s="13">
        <f>IF('Données projet'!$A$192&gt;35,EJ57+EI58-ER57,IF(A58&lt;'Données projet'!$A$192,$EG$205^A58,IF(A58='Données projet'!$A$192,'Données projet'!$B$192,EJ57+EI58-ER57)))</f>
        <v>168.4909090909091</v>
      </c>
      <c r="EK58" s="18">
        <f>EJ58*VLOOKUP('Données projet'!$B$15,Paramètres!$A$1:$I$89,3,0)*VLOOKUP('Données projet'!$B$15,Paramètres!$A$1:$I$89,5,0)</f>
        <v>136.67982545454547</v>
      </c>
      <c r="EL58" s="14">
        <f t="shared" si="45"/>
        <v>35.535340926053507</v>
      </c>
      <c r="EM58" s="22">
        <f t="shared" si="19"/>
        <v>299.94141477954321</v>
      </c>
      <c r="EN58" s="61">
        <f t="shared" si="20"/>
        <v>593.27474811287652</v>
      </c>
      <c r="EO58" s="61">
        <f ca="1">AVERAGE(OFFSET($EN$3,0,0,'Données projet'!$E$15+1,1))-AVERAGE(OFFSET($H$3,0,0,'Données projet'!$E$15+1,1))</f>
        <v>222.15256609836689</v>
      </c>
      <c r="EP58" s="61">
        <f t="shared" si="46"/>
        <v>221.10360210521077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9.375</v>
      </c>
      <c r="FE58" s="13">
        <f>IF('Données projet'!$A$218&gt;35,FE57+FD58-FM57,IF(A58&lt;'Données projet'!$A$218,$FB$205^A58,IF(A58='Données projet'!$A$218,'Données projet'!$B$218,FE57+FD58-FM57)))</f>
        <v>250.12499999999994</v>
      </c>
      <c r="FF58" s="18">
        <f>FE58*VLOOKUP('Données projet'!$B$16,Paramètres!$A$1:$I$89,3,0)*VLOOKUP('Données projet'!$B$16,Paramètres!$A$1:$I$89,5,0)</f>
        <v>195.09749999999997</v>
      </c>
      <c r="FG58" s="14">
        <f t="shared" si="47"/>
        <v>48.66519532492584</v>
      </c>
      <c r="FH58" s="22">
        <f t="shared" si="22"/>
        <v>424.55336102424576</v>
      </c>
      <c r="FI58" s="61">
        <f t="shared" si="23"/>
        <v>717.88669435757902</v>
      </c>
      <c r="FJ58" s="61">
        <f ca="1">AVERAGE(OFFSET($FI$3,0,0,'Données projet'!$E$16+1,1))-AVERAGE(OFFSET($H$3,0,0,'Données projet'!$E$16+1,1))</f>
        <v>292.57482726862594</v>
      </c>
      <c r="FK58" s="61">
        <f t="shared" si="48"/>
        <v>283.48738729114024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>
        <f>VLOOKUP(A58,'Données projet'!$A$243:$I$263,2,0)</f>
        <v>197</v>
      </c>
      <c r="FX58" s="13">
        <f>VLOOKUP(A58,'Données projet'!$A$243:$I$263,9,0)</f>
        <v>8</v>
      </c>
      <c r="FY58" s="13">
        <f t="array" ref="FY58">INDEX(FX:FX,MIN(IF(ISNUMBER(FX58:FX254),ROW(FX58:FX254),"")))</f>
        <v>8</v>
      </c>
      <c r="FZ58" s="13">
        <f>IF('Données projet'!$A$244&gt;35,FZ57+FY58-GH57,IF(A58&lt;'Données projet'!$A$244,$FW$205^A58,IF(A58='Données projet'!$A$244,'Données projet'!$B$244,FZ57+FY58-GH57)))</f>
        <v>197</v>
      </c>
      <c r="GA58" s="18">
        <f>FZ58*VLOOKUP('Données projet'!$B$17,Paramètres!$A$1:$I$89,3,0)*VLOOKUP('Données projet'!$B$17,Paramètres!$A$1:$I$89,5,0)</f>
        <v>190.5384</v>
      </c>
      <c r="GB58" s="14">
        <f t="shared" si="49"/>
        <v>47.658965836673829</v>
      </c>
      <c r="GC58" s="22">
        <f t="shared" si="25"/>
        <v>414.86041216554025</v>
      </c>
      <c r="GD58" s="61">
        <f t="shared" si="26"/>
        <v>708.19374549887357</v>
      </c>
      <c r="GE58" s="61">
        <f ca="1">AVERAGE(OFFSET($GD$3,0,0,'Données projet'!$E$17+1,1))-AVERAGE(OFFSET($H$3,0,0,'Données projet'!$E$17+1,1))</f>
        <v>455.50822833641354</v>
      </c>
      <c r="GF58" s="61">
        <f t="shared" si="50"/>
        <v>261.14722581688039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0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0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>
        <f>VLOOKUP(A58,'Données projet'!$A$269:$I$289,2,0)</f>
        <v>197</v>
      </c>
      <c r="GS58" s="13">
        <f>VLOOKUP(A58,'Données projet'!$A$269:$I$289,9,0)</f>
        <v>8</v>
      </c>
      <c r="GT58" s="13">
        <f t="array" ref="GT58">INDEX(GS:GS,MIN(IF(ISNUMBER(GS58:GS254),ROW(GS58:GS254),"")))</f>
        <v>8</v>
      </c>
      <c r="GU58" s="13">
        <f>IF('Données projet'!$A$270&gt;35,GU57+GT58-HC57,IF(A58&lt;'Données projet'!$A$270,$GR$205^A58,IF(A58='Données projet'!$A$270,'Données projet'!$B$270,GU57+GT58-HC57)))</f>
        <v>197</v>
      </c>
      <c r="GV58" s="18">
        <f>GU58*VLOOKUP('Données projet'!$B$18,Paramètres!$A$1:$I$89,3,0)*VLOOKUP('Données projet'!$B$18,Paramètres!$A$1:$I$89,5,0)</f>
        <v>212.05079999999998</v>
      </c>
      <c r="GW58" s="14">
        <f t="shared" si="51"/>
        <v>52.383483303212302</v>
      </c>
      <c r="GX58" s="22">
        <f t="shared" si="28"/>
        <v>460.55637675309475</v>
      </c>
      <c r="GY58" s="61">
        <f t="shared" si="29"/>
        <v>753.88971008642807</v>
      </c>
      <c r="GZ58" s="61">
        <f ca="1">AVERAGE(OFFSET($GY$3,0,0,'Données projet'!$E$18+1,1))-AVERAGE(OFFSET($H$3,0,0,'Données projet'!$E$18+1,1))</f>
        <v>502.07782026233912</v>
      </c>
      <c r="HA58" s="61">
        <f t="shared" si="52"/>
        <v>285.83623046025156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0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0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185.12207999999998</v>
      </c>
      <c r="P59" s="14">
        <f t="shared" si="33"/>
        <v>46.459887003478677</v>
      </c>
      <c r="Q59" s="22">
        <f t="shared" si="53"/>
        <v>403.33859253105862</v>
      </c>
      <c r="R59" s="61">
        <f t="shared" si="0"/>
        <v>696.67192586439194</v>
      </c>
      <c r="S59" s="61">
        <f ca="1">AVERAGE(OFFSET($R$3,0,0,'Données projet'!$E$9+1,1))-AVERAGE(OFFSET($H$3,0,0,'Données projet'!$E$9+1,1))</f>
        <v>428.8489304403459</v>
      </c>
      <c r="T59" s="61">
        <f t="shared" si="34"/>
        <v>247.01165577562966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1">
        <f t="shared" si="5"/>
        <v>744.15591627769948</v>
      </c>
      <c r="AN59" s="61">
        <f ca="1">AVERAGE(OFFSET($AM$3,0,0,'Données projet'!$E$10+1,1))-AVERAGE(OFFSET($H$3,0,0,'Données projet'!$E$10+1,1))</f>
        <v>475.47920969424894</v>
      </c>
      <c r="AO59" s="61">
        <f t="shared" si="36"/>
        <v>271.73544012419364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>
        <f>VLOOKUP(A59,'Données projet'!$A$87:$I$107,2,0)</f>
        <v>514</v>
      </c>
      <c r="BB59" s="13">
        <f>VLOOKUP(A59,'Données projet'!$A$87:$I$107,9,0)</f>
        <v>17.285714285714285</v>
      </c>
      <c r="BC59" s="13">
        <f t="array" ref="BC59">INDEX(BB:BB,MIN(IF(ISNUMBER(BB59:BB255),ROW(BB59:BB255),"")))</f>
        <v>17.285714285714285</v>
      </c>
      <c r="BD59" s="13">
        <f>IF('Données projet'!$A$88&gt;35,BD58+BC59-BL58,IF(A59&lt;'Données projet'!$A$88,$BA$205^A59,IF(A59='Données projet'!$A$88,'Données projet'!$B$88,BD58+BC59-BL58)))</f>
        <v>513.99999999999977</v>
      </c>
      <c r="BE59" s="14">
        <f>BD59*VLOOKUP('Données projet'!$B$11,Paramètres!$A$1:$I$89,3,0)*VLOOKUP('Données projet'!$B$11,Paramètres!$A$1:$I$89,5,0)</f>
        <v>287.32599999999985</v>
      </c>
      <c r="BF59" s="14">
        <f t="shared" si="37"/>
        <v>68.512868389632061</v>
      </c>
      <c r="BG59" s="22">
        <f t="shared" si="7"/>
        <v>619.75269577860888</v>
      </c>
      <c r="BH59" s="61">
        <f t="shared" si="8"/>
        <v>913.08602911194225</v>
      </c>
      <c r="BI59" s="61">
        <f ca="1">AVERAGE(OFFSET($BH$3,0,0,'Données projet'!$E$11+1,1))-AVERAGE(OFFSET($H$3,0,0,'Données projet'!$E$11+1,1))</f>
        <v>374.79806286316051</v>
      </c>
      <c r="BJ59" s="61">
        <f t="shared" si="38"/>
        <v>350.01856672839466</v>
      </c>
      <c r="BK59" s="16">
        <f>IF(ISNA(VLOOKUP(A59,'Données projet'!$A$87:$I$107,3,0)),0,VLOOKUP(A59,'Données projet'!$A$87:$I$107,3,0))</f>
        <v>6</v>
      </c>
      <c r="BL59" s="16">
        <f>IF(ISNA(VLOOKUP(A59,'Données projet'!$A$87:$I$107,4,0)),0,VLOOKUP(A59,'Données projet'!$A$87:$I$107,4,0))</f>
        <v>85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10.83023187235832</v>
      </c>
      <c r="BR59" s="23">
        <f>EXP(-LN(2)/2)*BR58+(1-EXP(-LN(2)/2))/(LN(2)/2)*BL59*BO59*VLOOKUP('Données projet'!$B$11,Paramètres!$A$1:$I$89,3,0)*0.475*44/12</f>
        <v>1.3437232716900973E-3</v>
      </c>
      <c r="BS59" s="24">
        <f t="shared" si="9"/>
        <v>10.83157559563001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11.170769230769238</v>
      </c>
      <c r="BY59" s="13">
        <f>IF('Données projet'!$A$114&gt;35,BY58+BX59-CG58,IF(A59&lt;'Données projet'!$A$114,$BV$205^A59,IF(A59='Données projet'!$A$114,'Données projet'!$B$114,BY58+BX59-CG58)))</f>
        <v>273.26153846153869</v>
      </c>
      <c r="BZ59" s="14">
        <f>BY59*VLOOKUP('Données projet'!$B$12,Paramètres!$A$1:$I$89,3,0)*VLOOKUP('Données projet'!$B$12,Paramètres!$A$1:$I$89,5,0)</f>
        <v>127.88640000000011</v>
      </c>
      <c r="CA59" s="14">
        <f t="shared" si="39"/>
        <v>33.507503472593491</v>
      </c>
      <c r="CB59" s="22">
        <f t="shared" si="10"/>
        <v>281.09438188143378</v>
      </c>
      <c r="CC59" s="61">
        <f t="shared" si="11"/>
        <v>574.42771521476709</v>
      </c>
      <c r="CD59" s="61">
        <f ca="1">AVERAGE(OFFSET($CC$3,0,0,'Données projet'!$E$12+1,1))-AVERAGE(OFFSET($H$3,0,0,'Données projet'!$E$12+1,1))</f>
        <v>285.59863510278109</v>
      </c>
      <c r="CE59" s="61">
        <f t="shared" si="40"/>
        <v>190.4880882944471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9.4</v>
      </c>
      <c r="CT59" s="13">
        <f>IF('Données projet'!$A$140&gt;35,CT58+CS59-DB58,IF(A59&lt;'Données projet'!$A$140,$CQ$205^A59,IF(A59='Données projet'!$A$140,'Données projet'!$B$140,CT58+CS59-DB58)))</f>
        <v>223.40000000000009</v>
      </c>
      <c r="CU59" s="18">
        <f>CT59*VLOOKUP('Données projet'!$B$13,Paramètres!$A$1:$I$89,3,0)*VLOOKUP('Données projet'!$B$13,Paramètres!$A$1:$I$89,5,0)</f>
        <v>107.45540000000004</v>
      </c>
      <c r="CV59" s="14">
        <f t="shared" si="41"/>
        <v>28.730642771885091</v>
      </c>
      <c r="CW59" s="22">
        <f t="shared" si="13"/>
        <v>237.19069116103324</v>
      </c>
      <c r="CX59" s="61">
        <f t="shared" si="14"/>
        <v>530.52402449436659</v>
      </c>
      <c r="CY59" s="61">
        <f ca="1">AVERAGE(OFFSET($CX$3,0,0,'Données projet'!$E$13+1,1))-AVERAGE(OFFSET($H$3,0,0,'Données projet'!$E$13+1,1))</f>
        <v>273.72618036666552</v>
      </c>
      <c r="CZ59" s="61">
        <f t="shared" si="42"/>
        <v>157.67999791700714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5.3846153846153868</v>
      </c>
      <c r="DO59" s="13">
        <f>IF('Données projet'!$A$166&gt;35,DO58+DN59-DW58,IF(A59&lt;'Données projet'!$A$166,$DL$205^A59,IF(A59='Données projet'!$A$166,'Données projet'!$B$166,DO58+DN59-DW58)))</f>
        <v>223.33333333333334</v>
      </c>
      <c r="DP59" s="18">
        <f>DO59*VLOOKUP('Données projet'!$B$14,Paramètres!$A$1:$I$89,3,0)*VLOOKUP('Données projet'!$B$14,Paramètres!$A$1:$I$89,5,0)</f>
        <v>149.81200000000001</v>
      </c>
      <c r="DQ59" s="14">
        <f t="shared" si="43"/>
        <v>38.535858828351053</v>
      </c>
      <c r="DR59" s="22">
        <f t="shared" si="16"/>
        <v>328.03918745937807</v>
      </c>
      <c r="DS59" s="61">
        <f t="shared" si="17"/>
        <v>621.37252079271138</v>
      </c>
      <c r="DT59" s="61">
        <f ca="1">AVERAGE(OFFSET($DS$3,0,0,'Données projet'!$E$14+1,1))-AVERAGE(OFFSET($H$3,0,0,'Données projet'!$E$14+1,1))</f>
        <v>312.06797204903796</v>
      </c>
      <c r="DU59" s="61">
        <f t="shared" si="44"/>
        <v>258.20189001775151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4.9272727272727277</v>
      </c>
      <c r="EJ59" s="13">
        <f>IF('Données projet'!$A$192&gt;35,EJ58+EI59-ER58,IF(A59&lt;'Données projet'!$A$192,$EG$205^A59,IF(A59='Données projet'!$A$192,'Données projet'!$B$192,EJ58+EI59-ER58)))</f>
        <v>173.41818181818184</v>
      </c>
      <c r="EK59" s="18">
        <f>EJ59*VLOOKUP('Données projet'!$B$15,Paramètres!$A$1:$I$89,3,0)*VLOOKUP('Données projet'!$B$15,Paramètres!$A$1:$I$89,5,0)</f>
        <v>140.67682909090911</v>
      </c>
      <c r="EL59" s="14">
        <f t="shared" si="45"/>
        <v>36.452013987067843</v>
      </c>
      <c r="EM59" s="22">
        <f t="shared" si="19"/>
        <v>308.49940169414322</v>
      </c>
      <c r="EN59" s="61">
        <f t="shared" si="20"/>
        <v>601.83273502747647</v>
      </c>
      <c r="EO59" s="61">
        <f ca="1">AVERAGE(OFFSET($EN$3,0,0,'Données projet'!$E$15+1,1))-AVERAGE(OFFSET($H$3,0,0,'Données projet'!$E$15+1,1))</f>
        <v>222.15256609836689</v>
      </c>
      <c r="EP59" s="61">
        <f t="shared" si="46"/>
        <v>221.10360210521077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9.375</v>
      </c>
      <c r="FE59" s="13">
        <f>IF('Données projet'!$A$218&gt;35,FE58+FD59-FM58,IF(A59&lt;'Données projet'!$A$218,$FB$205^A59,IF(A59='Données projet'!$A$218,'Données projet'!$B$218,FE58+FD59-FM58)))</f>
        <v>259.49999999999994</v>
      </c>
      <c r="FF59" s="18">
        <f>FE59*VLOOKUP('Données projet'!$B$16,Paramètres!$A$1:$I$89,3,0)*VLOOKUP('Données projet'!$B$16,Paramètres!$A$1:$I$89,5,0)</f>
        <v>202.40999999999997</v>
      </c>
      <c r="FG59" s="14">
        <f t="shared" si="47"/>
        <v>50.273442991661867</v>
      </c>
      <c r="FH59" s="22">
        <f t="shared" si="22"/>
        <v>440.09032987714431</v>
      </c>
      <c r="FI59" s="61">
        <f t="shared" si="23"/>
        <v>733.42366321047757</v>
      </c>
      <c r="FJ59" s="61">
        <f ca="1">AVERAGE(OFFSET($FI$3,0,0,'Données projet'!$E$16+1,1))-AVERAGE(OFFSET($H$3,0,0,'Données projet'!$E$16+1,1))</f>
        <v>292.57482726862594</v>
      </c>
      <c r="FK59" s="61">
        <f t="shared" si="48"/>
        <v>283.48738729114024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7.6</v>
      </c>
      <c r="FZ59" s="13">
        <f>IF('Données projet'!$A$244&gt;35,FZ58+FY59-GH58,IF(A59&lt;'Données projet'!$A$244,$FW$205^A59,IF(A59='Données projet'!$A$244,'Données projet'!$B$244,FZ58+FY59-GH58)))</f>
        <v>204.6</v>
      </c>
      <c r="GA59" s="18">
        <f>FZ59*VLOOKUP('Données projet'!$B$17,Paramètres!$A$1:$I$89,3,0)*VLOOKUP('Données projet'!$B$17,Paramètres!$A$1:$I$89,5,0)</f>
        <v>197.88911999999999</v>
      </c>
      <c r="GB59" s="14">
        <f t="shared" si="49"/>
        <v>49.279974103179534</v>
      </c>
      <c r="GC59" s="22">
        <f t="shared" si="25"/>
        <v>430.48617222970438</v>
      </c>
      <c r="GD59" s="61">
        <f t="shared" si="26"/>
        <v>723.81950556303764</v>
      </c>
      <c r="GE59" s="61">
        <f ca="1">AVERAGE(OFFSET($GD$3,0,0,'Données projet'!$E$17+1,1))-AVERAGE(OFFSET($H$3,0,0,'Données projet'!$E$17+1,1))</f>
        <v>455.50822833641354</v>
      </c>
      <c r="GF59" s="61">
        <f t="shared" si="50"/>
        <v>261.14722581688039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0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0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7.6</v>
      </c>
      <c r="GU59" s="13">
        <f>IF('Données projet'!$A$270&gt;35,GU58+GT59-HC58,IF(A59&lt;'Données projet'!$A$270,$GR$205^A59,IF(A59='Données projet'!$A$270,'Données projet'!$B$270,GU58+GT59-HC58)))</f>
        <v>204.6</v>
      </c>
      <c r="GV59" s="18">
        <f>GU59*VLOOKUP('Données projet'!$B$18,Paramètres!$A$1:$I$89,3,0)*VLOOKUP('Données projet'!$B$18,Paramètres!$A$1:$I$89,5,0)</f>
        <v>220.23143999999996</v>
      </c>
      <c r="GW59" s="14">
        <f t="shared" si="51"/>
        <v>54.165184982469711</v>
      </c>
      <c r="GX59" s="22">
        <f t="shared" si="28"/>
        <v>477.9074551778013</v>
      </c>
      <c r="GY59" s="61">
        <f t="shared" si="29"/>
        <v>771.24078851113461</v>
      </c>
      <c r="GZ59" s="61">
        <f ca="1">AVERAGE(OFFSET($GY$3,0,0,'Données projet'!$E$18+1,1))-AVERAGE(OFFSET($H$3,0,0,'Données projet'!$E$18+1,1))</f>
        <v>502.07782026233912</v>
      </c>
      <c r="HA59" s="61">
        <f t="shared" si="52"/>
        <v>285.83623046025156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0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0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191.99855999999997</v>
      </c>
      <c r="P60" s="14">
        <f t="shared" si="33"/>
        <v>47.981536645873334</v>
      </c>
      <c r="Q60" s="22">
        <f t="shared" si="53"/>
        <v>417.96533499156266</v>
      </c>
      <c r="R60" s="61">
        <f t="shared" si="0"/>
        <v>711.29866832489597</v>
      </c>
      <c r="S60" s="61">
        <f ca="1">AVERAGE(OFFSET($R$3,0,0,'Données projet'!$E$9+1,1))-AVERAGE(OFFSET($H$3,0,0,'Données projet'!$E$9+1,1))</f>
        <v>428.8489304403459</v>
      </c>
      <c r="T60" s="61">
        <f t="shared" si="34"/>
        <v>247.01165577562966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1">
        <f t="shared" si="5"/>
        <v>760.50882309863516</v>
      </c>
      <c r="AN60" s="61">
        <f ca="1">AVERAGE(OFFSET($AM$3,0,0,'Données projet'!$E$10+1,1))-AVERAGE(OFFSET($H$3,0,0,'Données projet'!$E$10+1,1))</f>
        <v>475.47920969424894</v>
      </c>
      <c r="AO60" s="61">
        <f t="shared" si="36"/>
        <v>271.73544012419364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15.571428571428571</v>
      </c>
      <c r="BD60" s="13">
        <f>IF('Données projet'!$A$88&gt;35,BD59+BC60-BL59,IF(A60&lt;'Données projet'!$A$88,$BA$205^A60,IF(A60='Données projet'!$A$88,'Données projet'!$B$88,BD59+BC60-BL59)))</f>
        <v>444.57142857142833</v>
      </c>
      <c r="BE60" s="14">
        <f>BD60*VLOOKUP('Données projet'!$B$11,Paramètres!$A$1:$I$89,3,0)*VLOOKUP('Données projet'!$B$11,Paramètres!$A$1:$I$89,5,0)</f>
        <v>248.51542857142846</v>
      </c>
      <c r="BF60" s="14">
        <f t="shared" si="37"/>
        <v>60.267932112745214</v>
      </c>
      <c r="BG60" s="22">
        <f t="shared" si="7"/>
        <v>537.79768652493578</v>
      </c>
      <c r="BH60" s="61">
        <f t="shared" si="8"/>
        <v>831.13101985826916</v>
      </c>
      <c r="BI60" s="61">
        <f ca="1">AVERAGE(OFFSET($BH$3,0,0,'Données projet'!$E$11+1,1))-AVERAGE(OFFSET($H$3,0,0,'Données projet'!$E$11+1,1))</f>
        <v>374.79806286316051</v>
      </c>
      <c r="BJ60" s="61">
        <f t="shared" si="38"/>
        <v>350.01856672839466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10.534078612271541</v>
      </c>
      <c r="BR60" s="23">
        <f>EXP(-LN(2)/2)*BR59+(1-EXP(-LN(2)/2))/(LN(2)/2)*BL60*BO60*VLOOKUP('Données projet'!$B$11,Paramètres!$A$1:$I$89,3,0)*0.475*44/12</f>
        <v>9.5015583745024148E-4</v>
      </c>
      <c r="BS60" s="24">
        <f t="shared" si="9"/>
        <v>10.535028768108992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11.170769230769238</v>
      </c>
      <c r="BY60" s="13">
        <f>IF('Données projet'!$A$114&gt;35,BY59+BX60-CG59,IF(A60&lt;'Données projet'!$A$114,$BV$205^A60,IF(A60='Données projet'!$A$114,'Données projet'!$B$114,BY59+BX60-CG59)))</f>
        <v>284.43230769230792</v>
      </c>
      <c r="BZ60" s="14">
        <f>BY60*VLOOKUP('Données projet'!$B$12,Paramètres!$A$1:$I$89,3,0)*VLOOKUP('Données projet'!$B$12,Paramètres!$A$1:$I$89,5,0)</f>
        <v>133.11432000000011</v>
      </c>
      <c r="CA60" s="14">
        <f t="shared" si="39"/>
        <v>34.714992732392233</v>
      </c>
      <c r="CB60" s="22">
        <f t="shared" si="10"/>
        <v>292.30271967558332</v>
      </c>
      <c r="CC60" s="61">
        <f t="shared" si="11"/>
        <v>585.63605300891663</v>
      </c>
      <c r="CD60" s="61">
        <f ca="1">AVERAGE(OFFSET($CC$3,0,0,'Données projet'!$E$12+1,1))-AVERAGE(OFFSET($H$3,0,0,'Données projet'!$E$12+1,1))</f>
        <v>285.59863510278109</v>
      </c>
      <c r="CE60" s="61">
        <f t="shared" si="40"/>
        <v>190.4880882944471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9.4</v>
      </c>
      <c r="CT60" s="13">
        <f>IF('Données projet'!$A$140&gt;35,CT59+CS60-DB59,IF(A60&lt;'Données projet'!$A$140,$CQ$205^A60,IF(A60='Données projet'!$A$140,'Données projet'!$B$140,CT59+CS60-DB59)))</f>
        <v>232.8000000000001</v>
      </c>
      <c r="CU60" s="18">
        <f>CT60*VLOOKUP('Données projet'!$B$13,Paramètres!$A$1:$I$89,3,0)*VLOOKUP('Données projet'!$B$13,Paramètres!$A$1:$I$89,5,0)</f>
        <v>111.97680000000005</v>
      </c>
      <c r="CV60" s="14">
        <f t="shared" si="41"/>
        <v>29.796250167500443</v>
      </c>
      <c r="CW60" s="22">
        <f t="shared" si="13"/>
        <v>246.92139570839672</v>
      </c>
      <c r="CX60" s="61">
        <f t="shared" si="14"/>
        <v>540.25472904173</v>
      </c>
      <c r="CY60" s="61">
        <f ca="1">AVERAGE(OFFSET($CX$3,0,0,'Données projet'!$E$13+1,1))-AVERAGE(OFFSET($H$3,0,0,'Données projet'!$E$13+1,1))</f>
        <v>273.72618036666552</v>
      </c>
      <c r="CZ60" s="61">
        <f t="shared" si="42"/>
        <v>157.67999791700714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5.3846153846153868</v>
      </c>
      <c r="DO60" s="13">
        <f>IF('Données projet'!$A$166&gt;35,DO59+DN60-DW59,IF(A60&lt;'Données projet'!$A$166,$DL$205^A60,IF(A60='Données projet'!$A$166,'Données projet'!$B$166,DO59+DN60-DW59)))</f>
        <v>228.71794871794873</v>
      </c>
      <c r="DP60" s="18">
        <f>DO60*VLOOKUP('Données projet'!$B$14,Paramètres!$A$1:$I$89,3,0)*VLOOKUP('Données projet'!$B$14,Paramètres!$A$1:$I$89,5,0)</f>
        <v>153.42400000000001</v>
      </c>
      <c r="DQ60" s="14">
        <f t="shared" si="43"/>
        <v>39.355676847161391</v>
      </c>
      <c r="DR60" s="22">
        <f t="shared" si="16"/>
        <v>335.75793717547276</v>
      </c>
      <c r="DS60" s="61">
        <f t="shared" si="17"/>
        <v>629.09127050880602</v>
      </c>
      <c r="DT60" s="61">
        <f ca="1">AVERAGE(OFFSET($DS$3,0,0,'Données projet'!$E$14+1,1))-AVERAGE(OFFSET($H$3,0,0,'Données projet'!$E$14+1,1))</f>
        <v>312.06797204903796</v>
      </c>
      <c r="DU60" s="61">
        <f t="shared" si="44"/>
        <v>258.20189001775151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4.9272727272727277</v>
      </c>
      <c r="EJ60" s="13">
        <f>IF('Données projet'!$A$192&gt;35,EJ59+EI60-ER59,IF(A60&lt;'Données projet'!$A$192,$EG$205^A60,IF(A60='Données projet'!$A$192,'Données projet'!$B$192,EJ59+EI60-ER59)))</f>
        <v>178.34545454545457</v>
      </c>
      <c r="EK60" s="18">
        <f>EJ60*VLOOKUP('Données projet'!$B$15,Paramètres!$A$1:$I$89,3,0)*VLOOKUP('Données projet'!$B$15,Paramètres!$A$1:$I$89,5,0)</f>
        <v>144.67383272727275</v>
      </c>
      <c r="EL60" s="14">
        <f t="shared" si="45"/>
        <v>37.36565997287736</v>
      </c>
      <c r="EM60" s="22">
        <f t="shared" si="19"/>
        <v>317.05211645276142</v>
      </c>
      <c r="EN60" s="61">
        <f t="shared" si="20"/>
        <v>610.3854497860948</v>
      </c>
      <c r="EO60" s="61">
        <f ca="1">AVERAGE(OFFSET($EN$3,0,0,'Données projet'!$E$15+1,1))-AVERAGE(OFFSET($H$3,0,0,'Données projet'!$E$15+1,1))</f>
        <v>222.15256609836689</v>
      </c>
      <c r="EP60" s="61">
        <f t="shared" si="46"/>
        <v>221.10360210521077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9.375</v>
      </c>
      <c r="FE60" s="13">
        <f>IF('Données projet'!$A$218&gt;35,FE59+FD60-FM59,IF(A60&lt;'Données projet'!$A$218,$FB$205^A60,IF(A60='Données projet'!$A$218,'Données projet'!$B$218,FE59+FD60-FM59)))</f>
        <v>268.87499999999994</v>
      </c>
      <c r="FF60" s="18">
        <f>FE60*VLOOKUP('Données projet'!$B$16,Paramètres!$A$1:$I$89,3,0)*VLOOKUP('Données projet'!$B$16,Paramètres!$A$1:$I$89,5,0)</f>
        <v>209.72249999999997</v>
      </c>
      <c r="FG60" s="14">
        <f t="shared" si="47"/>
        <v>51.874940300502296</v>
      </c>
      <c r="FH60" s="22">
        <f t="shared" si="22"/>
        <v>455.61554185670815</v>
      </c>
      <c r="FI60" s="61">
        <f t="shared" si="23"/>
        <v>748.94887519004146</v>
      </c>
      <c r="FJ60" s="61">
        <f ca="1">AVERAGE(OFFSET($FI$3,0,0,'Données projet'!$E$16+1,1))-AVERAGE(OFFSET($H$3,0,0,'Données projet'!$E$16+1,1))</f>
        <v>292.57482726862594</v>
      </c>
      <c r="FK60" s="61">
        <f t="shared" si="48"/>
        <v>283.48738729114024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7.6</v>
      </c>
      <c r="FZ60" s="13">
        <f>IF('Données projet'!$A$244&gt;35,FZ59+FY60-GH59,IF(A60&lt;'Données projet'!$A$244,$FW$205^A60,IF(A60='Données projet'!$A$244,'Données projet'!$B$244,FZ59+FY60-GH59)))</f>
        <v>212.2</v>
      </c>
      <c r="GA60" s="18">
        <f>FZ60*VLOOKUP('Données projet'!$B$17,Paramètres!$A$1:$I$89,3,0)*VLOOKUP('Données projet'!$B$17,Paramètres!$A$1:$I$89,5,0)</f>
        <v>205.23983999999999</v>
      </c>
      <c r="GB60" s="14">
        <f t="shared" si="49"/>
        <v>50.893986960458122</v>
      </c>
      <c r="GC60" s="22">
        <f t="shared" si="25"/>
        <v>446.0997486227979</v>
      </c>
      <c r="GD60" s="61">
        <f t="shared" si="26"/>
        <v>739.43308195613122</v>
      </c>
      <c r="GE60" s="61">
        <f ca="1">AVERAGE(OFFSET($GD$3,0,0,'Données projet'!$E$17+1,1))-AVERAGE(OFFSET($H$3,0,0,'Données projet'!$E$17+1,1))</f>
        <v>455.50822833641354</v>
      </c>
      <c r="GF60" s="61">
        <f t="shared" si="50"/>
        <v>261.14722581688039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0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0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7.6</v>
      </c>
      <c r="GU60" s="13">
        <f>IF('Données projet'!$A$270&gt;35,GU59+GT60-HC59,IF(A60&lt;'Données projet'!$A$270,$GR$205^A60,IF(A60='Données projet'!$A$270,'Données projet'!$B$270,GU59+GT60-HC59)))</f>
        <v>212.2</v>
      </c>
      <c r="GV60" s="18">
        <f>GU60*VLOOKUP('Données projet'!$B$18,Paramètres!$A$1:$I$89,3,0)*VLOOKUP('Données projet'!$B$18,Paramètres!$A$1:$I$89,5,0)</f>
        <v>228.41207999999997</v>
      </c>
      <c r="GW60" s="14">
        <f t="shared" si="51"/>
        <v>55.939197785226767</v>
      </c>
      <c r="GX60" s="22">
        <f t="shared" si="28"/>
        <v>495.24514214260324</v>
      </c>
      <c r="GY60" s="61">
        <f t="shared" si="29"/>
        <v>788.57847547593656</v>
      </c>
      <c r="GZ60" s="61">
        <f ca="1">AVERAGE(OFFSET($GY$3,0,0,'Données projet'!$E$18+1,1))-AVERAGE(OFFSET($H$3,0,0,'Données projet'!$E$18+1,1))</f>
        <v>502.07782026233912</v>
      </c>
      <c r="HA60" s="61">
        <f t="shared" si="52"/>
        <v>285.83623046025156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0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0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198.87503999999998</v>
      </c>
      <c r="P61" s="14">
        <f t="shared" si="33"/>
        <v>49.496854461868558</v>
      </c>
      <c r="Q61" s="22">
        <f t="shared" si="53"/>
        <v>432.58104952108766</v>
      </c>
      <c r="R61" s="61">
        <f t="shared" si="0"/>
        <v>725.91438285442098</v>
      </c>
      <c r="S61" s="61">
        <f ca="1">AVERAGE(OFFSET($R$3,0,0,'Données projet'!$E$9+1,1))-AVERAGE(OFFSET($H$3,0,0,'Données projet'!$E$9+1,1))</f>
        <v>428.8489304403459</v>
      </c>
      <c r="T61" s="61">
        <f t="shared" si="34"/>
        <v>247.01165577562966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1">
        <f t="shared" si="5"/>
        <v>776.84953386648317</v>
      </c>
      <c r="AN61" s="61">
        <f ca="1">AVERAGE(OFFSET($AM$3,0,0,'Données projet'!$E$10+1,1))-AVERAGE(OFFSET($H$3,0,0,'Données projet'!$E$10+1,1))</f>
        <v>475.47920969424894</v>
      </c>
      <c r="AO61" s="61">
        <f t="shared" si="36"/>
        <v>271.73544012419364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15.571428571428571</v>
      </c>
      <c r="BD61" s="13">
        <f>IF('Données projet'!$A$88&gt;35,BD60+BC61-BL60,IF(A61&lt;'Données projet'!$A$88,$BA$205^A61,IF(A61='Données projet'!$A$88,'Données projet'!$B$88,BD60+BC61-BL60)))</f>
        <v>460.14285714285688</v>
      </c>
      <c r="BE61" s="14">
        <f>BD61*VLOOKUP('Données projet'!$B$11,Paramètres!$A$1:$I$89,3,0)*VLOOKUP('Données projet'!$B$11,Paramètres!$A$1:$I$89,5,0)</f>
        <v>257.21985714285699</v>
      </c>
      <c r="BF61" s="14">
        <f t="shared" si="37"/>
        <v>62.129393573116417</v>
      </c>
      <c r="BG61" s="22">
        <f t="shared" si="7"/>
        <v>556.19994499698703</v>
      </c>
      <c r="BH61" s="61">
        <f t="shared" si="8"/>
        <v>849.5332783303204</v>
      </c>
      <c r="BI61" s="61">
        <f ca="1">AVERAGE(OFFSET($BH$3,0,0,'Données projet'!$E$11+1,1))-AVERAGE(OFFSET($H$3,0,0,'Données projet'!$E$11+1,1))</f>
        <v>374.79806286316051</v>
      </c>
      <c r="BJ61" s="61">
        <f t="shared" si="38"/>
        <v>350.01856672839466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10.246023678655858</v>
      </c>
      <c r="BR61" s="23">
        <f>EXP(-LN(2)/2)*BR60+(1-EXP(-LN(2)/2))/(LN(2)/2)*BL61*BO61*VLOOKUP('Données projet'!$B$11,Paramètres!$A$1:$I$89,3,0)*0.475*44/12</f>
        <v>6.7186163584504876E-4</v>
      </c>
      <c r="BS61" s="24">
        <f t="shared" si="9"/>
        <v>10.246695540291704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11.170769230769238</v>
      </c>
      <c r="BY61" s="13">
        <f>IF('Données projet'!$A$114&gt;35,BY60+BX61-CG60,IF(A61&lt;'Données projet'!$A$114,$BV$205^A61,IF(A61='Données projet'!$A$114,'Données projet'!$B$114,BY60+BX61-CG60)))</f>
        <v>295.60307692307714</v>
      </c>
      <c r="BZ61" s="14">
        <f>BY61*VLOOKUP('Données projet'!$B$12,Paramètres!$A$1:$I$89,3,0)*VLOOKUP('Données projet'!$B$12,Paramètres!$A$1:$I$89,5,0)</f>
        <v>138.34224000000009</v>
      </c>
      <c r="CA61" s="14">
        <f t="shared" si="39"/>
        <v>35.916973077604602</v>
      </c>
      <c r="CB61" s="22">
        <f t="shared" si="10"/>
        <v>303.50146277682819</v>
      </c>
      <c r="CC61" s="61">
        <f t="shared" si="11"/>
        <v>596.83479611016151</v>
      </c>
      <c r="CD61" s="61">
        <f ca="1">AVERAGE(OFFSET($CC$3,0,0,'Données projet'!$E$12+1,1))-AVERAGE(OFFSET($H$3,0,0,'Données projet'!$E$12+1,1))</f>
        <v>285.59863510278109</v>
      </c>
      <c r="CE61" s="61">
        <f t="shared" si="40"/>
        <v>190.4880882944471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9.4</v>
      </c>
      <c r="CT61" s="13">
        <f>IF('Données projet'!$A$140&gt;35,CT60+CS61-DB60,IF(A61&lt;'Données projet'!$A$140,$CQ$205^A61,IF(A61='Données projet'!$A$140,'Données projet'!$B$140,CT60+CS61-DB60)))</f>
        <v>242.2000000000001</v>
      </c>
      <c r="CU61" s="18">
        <f>CT61*VLOOKUP('Données projet'!$B$13,Paramètres!$A$1:$I$89,3,0)*VLOOKUP('Données projet'!$B$13,Paramètres!$A$1:$I$89,5,0)</f>
        <v>116.49820000000004</v>
      </c>
      <c r="CV61" s="14">
        <f t="shared" si="41"/>
        <v>30.856859525217992</v>
      </c>
      <c r="CW61" s="22">
        <f t="shared" si="13"/>
        <v>256.6433953397547</v>
      </c>
      <c r="CX61" s="61">
        <f t="shared" si="14"/>
        <v>549.97672867308802</v>
      </c>
      <c r="CY61" s="61">
        <f ca="1">AVERAGE(OFFSET($CX$3,0,0,'Données projet'!$E$13+1,1))-AVERAGE(OFFSET($H$3,0,0,'Données projet'!$E$13+1,1))</f>
        <v>273.72618036666552</v>
      </c>
      <c r="CZ61" s="61">
        <f t="shared" si="42"/>
        <v>157.67999791700714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5.3846153846153868</v>
      </c>
      <c r="DO61" s="13">
        <f>IF('Données projet'!$A$166&gt;35,DO60+DN61-DW60,IF(A61&lt;'Données projet'!$A$166,$DL$205^A61,IF(A61='Données projet'!$A$166,'Données projet'!$B$166,DO60+DN61-DW60)))</f>
        <v>234.10256410256412</v>
      </c>
      <c r="DP61" s="18">
        <f>DO61*VLOOKUP('Données projet'!$B$14,Paramètres!$A$1:$I$89,3,0)*VLOOKUP('Données projet'!$B$14,Paramètres!$A$1:$I$89,5,0)</f>
        <v>157.036</v>
      </c>
      <c r="DQ61" s="14">
        <f t="shared" si="43"/>
        <v>40.17325112686504</v>
      </c>
      <c r="DR61" s="22">
        <f t="shared" si="16"/>
        <v>343.47277904595654</v>
      </c>
      <c r="DS61" s="61">
        <f t="shared" si="17"/>
        <v>636.80611237928986</v>
      </c>
      <c r="DT61" s="61">
        <f ca="1">AVERAGE(OFFSET($DS$3,0,0,'Données projet'!$E$14+1,1))-AVERAGE(OFFSET($H$3,0,0,'Données projet'!$E$14+1,1))</f>
        <v>312.06797204903796</v>
      </c>
      <c r="DU61" s="61">
        <f t="shared" si="44"/>
        <v>258.20189001775151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4.9272727272727277</v>
      </c>
      <c r="EJ61" s="13">
        <f>IF('Données projet'!$A$192&gt;35,EJ60+EI61-ER60,IF(A61&lt;'Données projet'!$A$192,$EG$205^A61,IF(A61='Données projet'!$A$192,'Données projet'!$B$192,EJ60+EI61-ER60)))</f>
        <v>183.27272727272731</v>
      </c>
      <c r="EK61" s="18">
        <f>EJ61*VLOOKUP('Données projet'!$B$15,Paramètres!$A$1:$I$89,3,0)*VLOOKUP('Données projet'!$B$15,Paramètres!$A$1:$I$89,5,0)</f>
        <v>148.6708363636364</v>
      </c>
      <c r="EL61" s="14">
        <f t="shared" si="45"/>
        <v>38.27637212329423</v>
      </c>
      <c r="EM61" s="22">
        <f t="shared" si="19"/>
        <v>325.59972144807085</v>
      </c>
      <c r="EN61" s="61">
        <f t="shared" si="20"/>
        <v>618.93305478140417</v>
      </c>
      <c r="EO61" s="61">
        <f ca="1">AVERAGE(OFFSET($EN$3,0,0,'Données projet'!$E$15+1,1))-AVERAGE(OFFSET($H$3,0,0,'Données projet'!$E$15+1,1))</f>
        <v>222.15256609836689</v>
      </c>
      <c r="EP61" s="61">
        <f t="shared" si="46"/>
        <v>221.10360210521077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9.375</v>
      </c>
      <c r="FE61" s="13">
        <f>IF('Données projet'!$A$218&gt;35,FE60+FD61-FM60,IF(A61&lt;'Données projet'!$A$218,$FB$205^A61,IF(A61='Données projet'!$A$218,'Données projet'!$B$218,FE60+FD61-FM60)))</f>
        <v>278.24999999999994</v>
      </c>
      <c r="FF61" s="18">
        <f>FE61*VLOOKUP('Données projet'!$B$16,Paramètres!$A$1:$I$89,3,0)*VLOOKUP('Données projet'!$B$16,Paramètres!$A$1:$I$89,5,0)</f>
        <v>217.03499999999997</v>
      </c>
      <c r="FG61" s="14">
        <f t="shared" si="47"/>
        <v>53.469949591969474</v>
      </c>
      <c r="FH61" s="22">
        <f t="shared" si="22"/>
        <v>471.12945387268002</v>
      </c>
      <c r="FI61" s="61">
        <f t="shared" si="23"/>
        <v>764.46278720601333</v>
      </c>
      <c r="FJ61" s="61">
        <f ca="1">AVERAGE(OFFSET($FI$3,0,0,'Données projet'!$E$16+1,1))-AVERAGE(OFFSET($H$3,0,0,'Données projet'!$E$16+1,1))</f>
        <v>292.57482726862594</v>
      </c>
      <c r="FK61" s="61">
        <f t="shared" si="48"/>
        <v>283.48738729114024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7.6</v>
      </c>
      <c r="FZ61" s="13">
        <f>IF('Données projet'!$A$244&gt;35,FZ60+FY61-GH60,IF(A61&lt;'Données projet'!$A$244,$FW$205^A61,IF(A61='Données projet'!$A$244,'Données projet'!$B$244,FZ60+FY61-GH60)))</f>
        <v>219.79999999999998</v>
      </c>
      <c r="GA61" s="18">
        <f>FZ61*VLOOKUP('Données projet'!$B$17,Paramètres!$A$1:$I$89,3,0)*VLOOKUP('Données projet'!$B$17,Paramètres!$A$1:$I$89,5,0)</f>
        <v>212.59055999999998</v>
      </c>
      <c r="GB61" s="14">
        <f t="shared" si="49"/>
        <v>52.501283653296404</v>
      </c>
      <c r="GC61" s="22">
        <f t="shared" si="25"/>
        <v>461.70162769615786</v>
      </c>
      <c r="GD61" s="61">
        <f t="shared" si="26"/>
        <v>755.03496102949111</v>
      </c>
      <c r="GE61" s="61">
        <f ca="1">AVERAGE(OFFSET($GD$3,0,0,'Données projet'!$E$17+1,1))-AVERAGE(OFFSET($H$3,0,0,'Données projet'!$E$17+1,1))</f>
        <v>455.50822833641354</v>
      </c>
      <c r="GF61" s="61">
        <f t="shared" si="50"/>
        <v>261.14722581688039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0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0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7.6</v>
      </c>
      <c r="GU61" s="13">
        <f>IF('Données projet'!$A$270&gt;35,GU60+GT61-HC60,IF(A61&lt;'Données projet'!$A$270,$GR$205^A61,IF(A61='Données projet'!$A$270,'Données projet'!$B$270,GU60+GT61-HC60)))</f>
        <v>219.79999999999998</v>
      </c>
      <c r="GV61" s="18">
        <f>GU61*VLOOKUP('Données projet'!$B$18,Paramètres!$A$1:$I$89,3,0)*VLOOKUP('Données projet'!$B$18,Paramètres!$A$1:$I$89,5,0)</f>
        <v>236.59271999999999</v>
      </c>
      <c r="GW61" s="14">
        <f t="shared" si="51"/>
        <v>57.705828638299394</v>
      </c>
      <c r="GX61" s="22">
        <f t="shared" si="28"/>
        <v>512.56997221170479</v>
      </c>
      <c r="GY61" s="61">
        <f t="shared" si="29"/>
        <v>805.90330554503817</v>
      </c>
      <c r="GZ61" s="61">
        <f ca="1">AVERAGE(OFFSET($GY$3,0,0,'Données projet'!$E$18+1,1))-AVERAGE(OFFSET($H$3,0,0,'Données projet'!$E$18+1,1))</f>
        <v>502.07782026233912</v>
      </c>
      <c r="HA61" s="61">
        <f t="shared" si="52"/>
        <v>285.83623046025156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0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0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205.75151999999994</v>
      </c>
      <c r="P62" s="14">
        <f t="shared" si="33"/>
        <v>51.006084477955554</v>
      </c>
      <c r="Q62" s="22">
        <f t="shared" si="53"/>
        <v>447.18616113243911</v>
      </c>
      <c r="R62" s="61">
        <f t="shared" si="0"/>
        <v>740.51949446577237</v>
      </c>
      <c r="S62" s="61">
        <f ca="1">AVERAGE(OFFSET($R$3,0,0,'Données projet'!$E$9+1,1))-AVERAGE(OFFSET($H$3,0,0,'Données projet'!$E$9+1,1))</f>
        <v>428.8489304403459</v>
      </c>
      <c r="T62" s="61">
        <f t="shared" si="34"/>
        <v>247.01165577562966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1">
        <f t="shared" si="5"/>
        <v>793.17851861308782</v>
      </c>
      <c r="AN62" s="61">
        <f ca="1">AVERAGE(OFFSET($AM$3,0,0,'Données projet'!$E$10+1,1))-AVERAGE(OFFSET($H$3,0,0,'Données projet'!$E$10+1,1))</f>
        <v>475.47920969424894</v>
      </c>
      <c r="AO62" s="61">
        <f t="shared" si="36"/>
        <v>271.73544012419364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15.571428571428571</v>
      </c>
      <c r="BD62" s="13">
        <f>IF('Données projet'!$A$88&gt;35,BD61+BC62-BL61,IF(A62&lt;'Données projet'!$A$88,$BA$205^A62,IF(A62='Données projet'!$A$88,'Données projet'!$B$88,BD61+BC62-BL61)))</f>
        <v>475.71428571428544</v>
      </c>
      <c r="BE62" s="14">
        <f>BD62*VLOOKUP('Données projet'!$B$11,Paramètres!$A$1:$I$89,3,0)*VLOOKUP('Données projet'!$B$11,Paramètres!$A$1:$I$89,5,0)</f>
        <v>265.92428571428559</v>
      </c>
      <c r="BF62" s="14">
        <f t="shared" si="37"/>
        <v>63.983535636381461</v>
      </c>
      <c r="BG62" s="22">
        <f t="shared" si="7"/>
        <v>574.58945551907846</v>
      </c>
      <c r="BH62" s="61">
        <f t="shared" si="8"/>
        <v>867.92278885241171</v>
      </c>
      <c r="BI62" s="61">
        <f ca="1">AVERAGE(OFFSET($BH$3,0,0,'Données projet'!$E$11+1,1))-AVERAGE(OFFSET($H$3,0,0,'Données projet'!$E$11+1,1))</f>
        <v>374.79806286316051</v>
      </c>
      <c r="BJ62" s="61">
        <f t="shared" si="38"/>
        <v>350.01856672839466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9.9658456223480449</v>
      </c>
      <c r="BR62" s="23">
        <f>EXP(-LN(2)/2)*BR61+(1-EXP(-LN(2)/2))/(LN(2)/2)*BL62*BO62*VLOOKUP('Données projet'!$B$11,Paramètres!$A$1:$I$89,3,0)*0.475*44/12</f>
        <v>4.7507791872512079E-4</v>
      </c>
      <c r="BS62" s="24">
        <f t="shared" si="9"/>
        <v>9.9663207002667704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11.170769230769238</v>
      </c>
      <c r="BY62" s="13">
        <f>IF('Données projet'!$A$114&gt;35,BY61+BX62-CG61,IF(A62&lt;'Données projet'!$A$114,$BV$205^A62,IF(A62='Données projet'!$A$114,'Données projet'!$B$114,BY61+BX62-CG61)))</f>
        <v>306.77384615384636</v>
      </c>
      <c r="BZ62" s="14">
        <f>BY62*VLOOKUP('Données projet'!$B$12,Paramètres!$A$1:$I$89,3,0)*VLOOKUP('Données projet'!$B$12,Paramètres!$A$1:$I$89,5,0)</f>
        <v>143.5701600000001</v>
      </c>
      <c r="CA62" s="14">
        <f t="shared" si="39"/>
        <v>37.113676523004848</v>
      </c>
      <c r="CB62" s="22">
        <f t="shared" si="10"/>
        <v>314.69101527756692</v>
      </c>
      <c r="CC62" s="61">
        <f t="shared" si="11"/>
        <v>608.02434861090023</v>
      </c>
      <c r="CD62" s="61">
        <f ca="1">AVERAGE(OFFSET($CC$3,0,0,'Données projet'!$E$12+1,1))-AVERAGE(OFFSET($H$3,0,0,'Données projet'!$E$12+1,1))</f>
        <v>285.59863510278109</v>
      </c>
      <c r="CE62" s="61">
        <f t="shared" si="40"/>
        <v>190.4880882944471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9.4</v>
      </c>
      <c r="CT62" s="13">
        <f>IF('Données projet'!$A$140&gt;35,CT61+CS62-DB61,IF(A62&lt;'Données projet'!$A$140,$CQ$205^A62,IF(A62='Données projet'!$A$140,'Données projet'!$B$140,CT61+CS62-DB61)))</f>
        <v>251.60000000000011</v>
      </c>
      <c r="CU62" s="18">
        <f>CT62*VLOOKUP('Données projet'!$B$13,Paramètres!$A$1:$I$89,3,0)*VLOOKUP('Données projet'!$B$13,Paramètres!$A$1:$I$89,5,0)</f>
        <v>121.01960000000005</v>
      </c>
      <c r="CV62" s="14">
        <f t="shared" si="41"/>
        <v>31.912687024575664</v>
      </c>
      <c r="CW62" s="22">
        <f t="shared" si="13"/>
        <v>266.35706656780263</v>
      </c>
      <c r="CX62" s="61">
        <f t="shared" si="14"/>
        <v>559.69039990113595</v>
      </c>
      <c r="CY62" s="61">
        <f ca="1">AVERAGE(OFFSET($CX$3,0,0,'Données projet'!$E$13+1,1))-AVERAGE(OFFSET($H$3,0,0,'Données projet'!$E$13+1,1))</f>
        <v>273.72618036666552</v>
      </c>
      <c r="CZ62" s="61">
        <f t="shared" si="42"/>
        <v>157.67999791700714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5.3846153846153868</v>
      </c>
      <c r="DO62" s="13">
        <f>IF('Données projet'!$A$166&gt;35,DO61+DN62-DW61,IF(A62&lt;'Données projet'!$A$166,$DL$205^A62,IF(A62='Données projet'!$A$166,'Données projet'!$B$166,DO61+DN62-DW61)))</f>
        <v>239.4871794871795</v>
      </c>
      <c r="DP62" s="18">
        <f>DO62*VLOOKUP('Données projet'!$B$14,Paramètres!$A$1:$I$89,3,0)*VLOOKUP('Données projet'!$B$14,Paramètres!$A$1:$I$89,5,0)</f>
        <v>160.648</v>
      </c>
      <c r="DQ62" s="14">
        <f t="shared" si="43"/>
        <v>40.988639216339969</v>
      </c>
      <c r="DR62" s="22">
        <f t="shared" si="16"/>
        <v>351.1838133017921</v>
      </c>
      <c r="DS62" s="61">
        <f t="shared" si="17"/>
        <v>644.51714663512541</v>
      </c>
      <c r="DT62" s="61">
        <f ca="1">AVERAGE(OFFSET($DS$3,0,0,'Données projet'!$E$14+1,1))-AVERAGE(OFFSET($H$3,0,0,'Données projet'!$E$14+1,1))</f>
        <v>312.06797204903796</v>
      </c>
      <c r="DU62" s="61">
        <f t="shared" si="44"/>
        <v>258.20189001775151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4.9272727272727277</v>
      </c>
      <c r="EJ62" s="13">
        <f>IF('Données projet'!$A$192&gt;35,EJ61+EI62-ER61,IF(A62&lt;'Données projet'!$A$192,$EG$205^A62,IF(A62='Données projet'!$A$192,'Données projet'!$B$192,EJ61+EI62-ER61)))</f>
        <v>188.20000000000005</v>
      </c>
      <c r="EK62" s="18">
        <f>EJ62*VLOOKUP('Données projet'!$B$15,Paramètres!$A$1:$I$89,3,0)*VLOOKUP('Données projet'!$B$15,Paramètres!$A$1:$I$89,5,0)</f>
        <v>152.66784000000007</v>
      </c>
      <c r="EL62" s="14">
        <f t="shared" si="45"/>
        <v>39.184238379220069</v>
      </c>
      <c r="EM62" s="22">
        <f t="shared" si="19"/>
        <v>334.14236984380841</v>
      </c>
      <c r="EN62" s="61">
        <f t="shared" si="20"/>
        <v>627.47570317714167</v>
      </c>
      <c r="EO62" s="61">
        <f ca="1">AVERAGE(OFFSET($EN$3,0,0,'Données projet'!$E$15+1,1))-AVERAGE(OFFSET($H$3,0,0,'Données projet'!$E$15+1,1))</f>
        <v>222.15256609836689</v>
      </c>
      <c r="EP62" s="61">
        <f t="shared" si="46"/>
        <v>221.10360210521077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9.375</v>
      </c>
      <c r="FE62" s="13">
        <f>IF('Données projet'!$A$218&gt;35,FE61+FD62-FM61,IF(A62&lt;'Données projet'!$A$218,$FB$205^A62,IF(A62='Données projet'!$A$218,'Données projet'!$B$218,FE61+FD62-FM61)))</f>
        <v>287.62499999999994</v>
      </c>
      <c r="FF62" s="18">
        <f>FE62*VLOOKUP('Données projet'!$B$16,Paramètres!$A$1:$I$89,3,0)*VLOOKUP('Données projet'!$B$16,Paramètres!$A$1:$I$89,5,0)</f>
        <v>224.34749999999997</v>
      </c>
      <c r="FG62" s="14">
        <f t="shared" si="47"/>
        <v>55.058714525680479</v>
      </c>
      <c r="FH62" s="22">
        <f t="shared" si="22"/>
        <v>486.63249029889352</v>
      </c>
      <c r="FI62" s="61">
        <f t="shared" si="23"/>
        <v>779.96582363222683</v>
      </c>
      <c r="FJ62" s="61">
        <f ca="1">AVERAGE(OFFSET($FI$3,0,0,'Données projet'!$E$16+1,1))-AVERAGE(OFFSET($H$3,0,0,'Données projet'!$E$16+1,1))</f>
        <v>292.57482726862594</v>
      </c>
      <c r="FK62" s="61">
        <f t="shared" si="48"/>
        <v>283.48738729114024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7.6</v>
      </c>
      <c r="FZ62" s="13">
        <f>IF('Données projet'!$A$244&gt;35,FZ61+FY62-GH61,IF(A62&lt;'Données projet'!$A$244,$FW$205^A62,IF(A62='Données projet'!$A$244,'Données projet'!$B$244,FZ61+FY62-GH61)))</f>
        <v>227.39999999999998</v>
      </c>
      <c r="GA62" s="18">
        <f>FZ62*VLOOKUP('Données projet'!$B$17,Paramètres!$A$1:$I$89,3,0)*VLOOKUP('Données projet'!$B$17,Paramètres!$A$1:$I$89,5,0)</f>
        <v>219.94127999999995</v>
      </c>
      <c r="GB62" s="14">
        <f t="shared" si="49"/>
        <v>54.102123020446285</v>
      </c>
      <c r="GC62" s="22">
        <f t="shared" si="25"/>
        <v>477.29226026061059</v>
      </c>
      <c r="GD62" s="61">
        <f t="shared" si="26"/>
        <v>770.6255935939439</v>
      </c>
      <c r="GE62" s="61">
        <f ca="1">AVERAGE(OFFSET($GD$3,0,0,'Données projet'!$E$17+1,1))-AVERAGE(OFFSET($H$3,0,0,'Données projet'!$E$17+1,1))</f>
        <v>455.50822833641354</v>
      </c>
      <c r="GF62" s="61">
        <f t="shared" si="50"/>
        <v>261.14722581688039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0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0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7.6</v>
      </c>
      <c r="GU62" s="13">
        <f>IF('Données projet'!$A$270&gt;35,GU61+GT62-HC61,IF(A62&lt;'Données projet'!$A$270,$GR$205^A62,IF(A62='Données projet'!$A$270,'Données projet'!$B$270,GU61+GT62-HC61)))</f>
        <v>227.39999999999998</v>
      </c>
      <c r="GV62" s="18">
        <f>GU62*VLOOKUP('Données projet'!$B$18,Paramètres!$A$1:$I$89,3,0)*VLOOKUP('Données projet'!$B$18,Paramètres!$A$1:$I$89,5,0)</f>
        <v>244.77335999999997</v>
      </c>
      <c r="GW62" s="14">
        <f t="shared" si="51"/>
        <v>59.465362039582196</v>
      </c>
      <c r="GX62" s="22">
        <f t="shared" si="28"/>
        <v>529.88244088560566</v>
      </c>
      <c r="GY62" s="61">
        <f t="shared" si="29"/>
        <v>823.21577421893903</v>
      </c>
      <c r="GZ62" s="61">
        <f ca="1">AVERAGE(OFFSET($GY$3,0,0,'Données projet'!$E$18+1,1))-AVERAGE(OFFSET($H$3,0,0,'Données projet'!$E$18+1,1))</f>
        <v>502.07782026233912</v>
      </c>
      <c r="HA62" s="61">
        <f t="shared" si="52"/>
        <v>285.83623046025156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0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0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212.62799999999999</v>
      </c>
      <c r="P63" s="14">
        <f t="shared" si="33"/>
        <v>52.509453483719035</v>
      </c>
      <c r="Q63" s="22">
        <f t="shared" si="53"/>
        <v>461.78106481747727</v>
      </c>
      <c r="R63" s="61">
        <f t="shared" si="0"/>
        <v>755.11439815081053</v>
      </c>
      <c r="S63" s="61">
        <f ca="1">AVERAGE(OFFSET($R$3,0,0,'Données projet'!$E$9+1,1))-AVERAGE(OFFSET($H$3,0,0,'Données projet'!$E$9+1,1))</f>
        <v>428.8489304403459</v>
      </c>
      <c r="T63" s="61">
        <f t="shared" si="34"/>
        <v>247.01165577562966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1">
        <f t="shared" si="5"/>
        <v>809.49621416941091</v>
      </c>
      <c r="AN63" s="61">
        <f ca="1">AVERAGE(OFFSET($AM$3,0,0,'Données projet'!$E$10+1,1))-AVERAGE(OFFSET($H$3,0,0,'Données projet'!$E$10+1,1))</f>
        <v>475.47920969424894</v>
      </c>
      <c r="AO63" s="61">
        <f t="shared" si="36"/>
        <v>271.73544012419364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15.571428571428571</v>
      </c>
      <c r="BD63" s="13">
        <f>IF('Données projet'!$A$88&gt;35,BD62+BC63-BL62,IF(A63&lt;'Données projet'!$A$88,$BA$205^A63,IF(A63='Données projet'!$A$88,'Données projet'!$B$88,BD62+BC63-BL62)))</f>
        <v>491.28571428571399</v>
      </c>
      <c r="BE63" s="14">
        <f>BD63*VLOOKUP('Données projet'!$B$11,Paramètres!$A$1:$I$89,3,0)*VLOOKUP('Données projet'!$B$11,Paramètres!$A$1:$I$89,5,0)</f>
        <v>274.62871428571412</v>
      </c>
      <c r="BF63" s="14">
        <f t="shared" si="37"/>
        <v>65.830625361909483</v>
      </c>
      <c r="BG63" s="22">
        <f t="shared" si="7"/>
        <v>592.96668321961113</v>
      </c>
      <c r="BH63" s="61">
        <f t="shared" si="8"/>
        <v>886.3000165529445</v>
      </c>
      <c r="BI63" s="61">
        <f ca="1">AVERAGE(OFFSET($BH$3,0,0,'Données projet'!$E$11+1,1))-AVERAGE(OFFSET($H$3,0,0,'Données projet'!$E$11+1,1))</f>
        <v>374.79806286316051</v>
      </c>
      <c r="BJ63" s="61">
        <f t="shared" si="38"/>
        <v>350.01856672839466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9.6933290497238929</v>
      </c>
      <c r="BR63" s="23">
        <f>EXP(-LN(2)/2)*BR62+(1-EXP(-LN(2)/2))/(LN(2)/2)*BL63*BO63*VLOOKUP('Données projet'!$B$11,Paramètres!$A$1:$I$89,3,0)*0.475*44/12</f>
        <v>3.3593081792252443E-4</v>
      </c>
      <c r="BS63" s="24">
        <f t="shared" si="9"/>
        <v>9.6936649805418149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11.170769230769238</v>
      </c>
      <c r="BY63" s="13">
        <f>IF('Données projet'!$A$114&gt;35,BY62+BX63-CG62,IF(A63&lt;'Données projet'!$A$114,$BV$205^A63,IF(A63='Données projet'!$A$114,'Données projet'!$B$114,BY62+BX63-CG62)))</f>
        <v>317.94461538461559</v>
      </c>
      <c r="BZ63" s="14">
        <f>BY63*VLOOKUP('Données projet'!$B$12,Paramètres!$A$1:$I$89,3,0)*VLOOKUP('Données projet'!$B$12,Paramètres!$A$1:$I$89,5,0)</f>
        <v>148.79808000000008</v>
      </c>
      <c r="CA63" s="14">
        <f t="shared" si="39"/>
        <v>38.305317228732633</v>
      </c>
      <c r="CB63" s="22">
        <f t="shared" si="10"/>
        <v>325.87175017337614</v>
      </c>
      <c r="CC63" s="61">
        <f t="shared" si="11"/>
        <v>619.20508350670946</v>
      </c>
      <c r="CD63" s="61">
        <f ca="1">AVERAGE(OFFSET($CC$3,0,0,'Données projet'!$E$12+1,1))-AVERAGE(OFFSET($H$3,0,0,'Données projet'!$E$12+1,1))</f>
        <v>285.59863510278109</v>
      </c>
      <c r="CE63" s="61">
        <f t="shared" si="40"/>
        <v>190.4880882944471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261</v>
      </c>
      <c r="CR63" s="13">
        <f>VLOOKUP(A63,'Données projet'!$A$139:$I$159,9,0)</f>
        <v>9.4</v>
      </c>
      <c r="CS63" s="13">
        <f t="array" ref="CS63">INDEX(CR:CR,MIN(IF(ISNUMBER(CR63:CR259),ROW(CR63:CR259),"")))</f>
        <v>9.4</v>
      </c>
      <c r="CT63" s="13">
        <f>IF('Données projet'!$A$140&gt;35,CT62+CS63-DB62,IF(A63&lt;'Données projet'!$A$140,$CQ$205^A63,IF(A63='Données projet'!$A$140,'Données projet'!$B$140,CT62+CS63-DB62)))</f>
        <v>261.00000000000011</v>
      </c>
      <c r="CU63" s="18">
        <f>CT63*VLOOKUP('Données projet'!$B$13,Paramètres!$A$1:$I$89,3,0)*VLOOKUP('Données projet'!$B$13,Paramètres!$A$1:$I$89,5,0)</f>
        <v>125.54100000000005</v>
      </c>
      <c r="CV63" s="14">
        <f t="shared" si="41"/>
        <v>32.963931776656402</v>
      </c>
      <c r="CW63" s="22">
        <f t="shared" si="13"/>
        <v>276.06275617767665</v>
      </c>
      <c r="CX63" s="61">
        <f t="shared" si="14"/>
        <v>569.3960895110099</v>
      </c>
      <c r="CY63" s="61">
        <f ca="1">AVERAGE(OFFSET($CX$3,0,0,'Données projet'!$E$13+1,1))-AVERAGE(OFFSET($H$3,0,0,'Données projet'!$E$13+1,1))</f>
        <v>273.72618036666552</v>
      </c>
      <c r="CZ63" s="61">
        <f t="shared" si="42"/>
        <v>157.67999791700714</v>
      </c>
      <c r="DA63" s="16">
        <f>IF(ISNA(VLOOKUP(A63,'Données projet'!$A$139:$I$159,3,0)),0,VLOOKUP(A63,'Données projet'!$A$139:$I$159,3,0))</f>
        <v>3</v>
      </c>
      <c r="DB63" s="16">
        <f>IF(ISNA(VLOOKUP(A63,'Données projet'!$A$139:$I$159,4,0)),0,VLOOKUP(A63,'Données projet'!$A$139:$I$159,4,0))</f>
        <v>58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244.87179487179486</v>
      </c>
      <c r="DM63" s="13">
        <f>VLOOKUP(A63,'Données projet'!$A$165:$I$185,9,0)</f>
        <v>5.3846153846153868</v>
      </c>
      <c r="DN63" s="13">
        <f t="array" ref="DN63">INDEX(DM:DM,MIN(IF(ISNUMBER(DM63:DM259),ROW(DM63:DM259),"")))</f>
        <v>5.3846153846153868</v>
      </c>
      <c r="DO63" s="13">
        <f>IF('Données projet'!$A$166&gt;35,DO62+DN63-DW62,IF(A63&lt;'Données projet'!$A$166,$DL$205^A63,IF(A63='Données projet'!$A$166,'Données projet'!$B$166,DO62+DN63-DW62)))</f>
        <v>244.87179487179489</v>
      </c>
      <c r="DP63" s="18">
        <f>DO63*VLOOKUP('Données projet'!$B$14,Paramètres!$A$1:$I$89,3,0)*VLOOKUP('Données projet'!$B$14,Paramètres!$A$1:$I$89,5,0)</f>
        <v>164.26000000000002</v>
      </c>
      <c r="DQ63" s="14">
        <f t="shared" si="43"/>
        <v>41.801895928887475</v>
      </c>
      <c r="DR63" s="22">
        <f t="shared" si="16"/>
        <v>358.89113540947909</v>
      </c>
      <c r="DS63" s="61">
        <f t="shared" si="17"/>
        <v>652.22446874281241</v>
      </c>
      <c r="DT63" s="61">
        <f ca="1">AVERAGE(OFFSET($DS$3,0,0,'Données projet'!$E$14+1,1))-AVERAGE(OFFSET($H$3,0,0,'Données projet'!$E$14+1,1))</f>
        <v>312.06797204903796</v>
      </c>
      <c r="DU63" s="61">
        <f t="shared" si="44"/>
        <v>258.20189001775151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30.128205128205128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4.9272727272727277</v>
      </c>
      <c r="EJ63" s="13">
        <f>IF('Données projet'!$A$192&gt;35,EJ62+EI63-ER62,IF(A63&lt;'Données projet'!$A$192,$EG$205^A63,IF(A63='Données projet'!$A$192,'Données projet'!$B$192,EJ62+EI63-ER62)))</f>
        <v>193.12727272727278</v>
      </c>
      <c r="EK63" s="18">
        <f>EJ63*VLOOKUP('Données projet'!$B$15,Paramètres!$A$1:$I$89,3,0)*VLOOKUP('Données projet'!$B$15,Paramètres!$A$1:$I$89,5,0)</f>
        <v>156.66484363636368</v>
      </c>
      <c r="EL63" s="14">
        <f t="shared" si="45"/>
        <v>40.089341814528481</v>
      </c>
      <c r="EM63" s="22">
        <f t="shared" si="19"/>
        <v>342.68020632697056</v>
      </c>
      <c r="EN63" s="61">
        <f t="shared" si="20"/>
        <v>636.01353966030388</v>
      </c>
      <c r="EO63" s="61">
        <f ca="1">AVERAGE(OFFSET($EN$3,0,0,'Données projet'!$E$15+1,1))-AVERAGE(OFFSET($H$3,0,0,'Données projet'!$E$15+1,1))</f>
        <v>222.15256609836689</v>
      </c>
      <c r="EP63" s="61">
        <f t="shared" si="46"/>
        <v>221.10360210521077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297</v>
      </c>
      <c r="FC63" s="13">
        <f>VLOOKUP(A63,'Données projet'!$A$217:$I$237,9,0)</f>
        <v>9.375</v>
      </c>
      <c r="FD63" s="13">
        <f t="array" ref="FD63">INDEX(FC:FC,MIN(IF(ISNUMBER(FC63:FC259),ROW(FC63:FC259),"")))</f>
        <v>9.375</v>
      </c>
      <c r="FE63" s="13">
        <f>IF('Données projet'!$A$218&gt;35,FE62+FD63-FM62,IF(A63&lt;'Données projet'!$A$218,$FB$205^A63,IF(A63='Données projet'!$A$218,'Données projet'!$B$218,FE62+FD63-FM62)))</f>
        <v>296.99999999999994</v>
      </c>
      <c r="FF63" s="18">
        <f>FE63*VLOOKUP('Données projet'!$B$16,Paramètres!$A$1:$I$89,3,0)*VLOOKUP('Données projet'!$B$16,Paramètres!$A$1:$I$89,5,0)</f>
        <v>231.65999999999997</v>
      </c>
      <c r="FG63" s="14">
        <f t="shared" si="47"/>
        <v>56.641461975682766</v>
      </c>
      <c r="FH63" s="22">
        <f t="shared" si="22"/>
        <v>502.12504627431412</v>
      </c>
      <c r="FI63" s="61">
        <f t="shared" si="23"/>
        <v>795.45837960764743</v>
      </c>
      <c r="FJ63" s="61">
        <f ca="1">AVERAGE(OFFSET($FI$3,0,0,'Données projet'!$E$16+1,1))-AVERAGE(OFFSET($H$3,0,0,'Données projet'!$E$16+1,1))</f>
        <v>292.57482726862594</v>
      </c>
      <c r="FK63" s="61">
        <f t="shared" si="48"/>
        <v>283.48738729114024</v>
      </c>
      <c r="FL63" s="16">
        <f>IF(ISNA(VLOOKUP(A63,'Données projet'!$A$217:$I$237,3,0)),0,VLOOKUP(A63,'Données projet'!$A$217:$I$237,3,0))</f>
        <v>6</v>
      </c>
      <c r="FM63" s="16">
        <f>IF(ISNA(VLOOKUP(A63,'Données projet'!$A$217:$I$237,4,0)),0,VLOOKUP(A63,'Données projet'!$A$217:$I$237,4,0))</f>
        <v>47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235</v>
      </c>
      <c r="FX63" s="13">
        <f>VLOOKUP(A63,'Données projet'!$A$243:$I$263,9,0)</f>
        <v>7.6</v>
      </c>
      <c r="FY63" s="13">
        <f t="array" ref="FY63">INDEX(FX:FX,MIN(IF(ISNUMBER(FX63:FX259),ROW(FX63:FX259),"")))</f>
        <v>7.6</v>
      </c>
      <c r="FZ63" s="13">
        <f>IF('Données projet'!$A$244&gt;35,FZ62+FY63-GH62,IF(A63&lt;'Données projet'!$A$244,$FW$205^A63,IF(A63='Données projet'!$A$244,'Données projet'!$B$244,FZ62+FY63-GH62)))</f>
        <v>234.99999999999997</v>
      </c>
      <c r="GA63" s="18">
        <f>FZ63*VLOOKUP('Données projet'!$B$17,Paramètres!$A$1:$I$89,3,0)*VLOOKUP('Données projet'!$B$17,Paramètres!$A$1:$I$89,5,0)</f>
        <v>227.292</v>
      </c>
      <c r="GB63" s="14">
        <f t="shared" si="49"/>
        <v>55.6967456174837</v>
      </c>
      <c r="GC63" s="22">
        <f t="shared" si="25"/>
        <v>492.87206528378402</v>
      </c>
      <c r="GD63" s="61">
        <f t="shared" si="26"/>
        <v>786.20539861711734</v>
      </c>
      <c r="GE63" s="61">
        <f ca="1">AVERAGE(OFFSET($GD$3,0,0,'Données projet'!$E$17+1,1))-AVERAGE(OFFSET($H$3,0,0,'Données projet'!$E$17+1,1))</f>
        <v>455.50822833641354</v>
      </c>
      <c r="GF63" s="61">
        <f t="shared" si="50"/>
        <v>261.14722581688039</v>
      </c>
      <c r="GG63" s="16">
        <f>IF(ISNA(VLOOKUP(A63,'Données projet'!$A$243:$I$263,3,0)),0,VLOOKUP(A63,'Données projet'!$A$243:$I$263,3,0))</f>
        <v>4</v>
      </c>
      <c r="GH63" s="16">
        <f>IF(ISNA(VLOOKUP(A63,'Données projet'!$A$243:$I$263,4,0)),0,VLOOKUP(A63,'Données projet'!$A$243:$I$263,4,0))</f>
        <v>42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0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0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235</v>
      </c>
      <c r="GS63" s="13">
        <f>VLOOKUP(A63,'Données projet'!$A$269:$I$289,9,0)</f>
        <v>7.6</v>
      </c>
      <c r="GT63" s="13">
        <f t="array" ref="GT63">INDEX(GS:GS,MIN(IF(ISNUMBER(GS63:GS259),ROW(GS63:GS259),"")))</f>
        <v>7.6</v>
      </c>
      <c r="GU63" s="13">
        <f>IF('Données projet'!$A$270&gt;35,GU62+GT63-HC62,IF(A63&lt;'Données projet'!$A$270,$GR$205^A63,IF(A63='Données projet'!$A$270,'Données projet'!$B$270,GU62+GT63-HC62)))</f>
        <v>234.99999999999997</v>
      </c>
      <c r="GV63" s="18">
        <f>GU63*VLOOKUP('Données projet'!$B$18,Paramètres!$A$1:$I$89,3,0)*VLOOKUP('Données projet'!$B$18,Paramètres!$A$1:$I$89,5,0)</f>
        <v>252.95399999999998</v>
      </c>
      <c r="GW63" s="14">
        <f t="shared" si="51"/>
        <v>61.218062391350081</v>
      </c>
      <c r="GX63" s="22">
        <f t="shared" si="28"/>
        <v>547.18300866493462</v>
      </c>
      <c r="GY63" s="61">
        <f t="shared" si="29"/>
        <v>840.51634199826799</v>
      </c>
      <c r="GZ63" s="61">
        <f ca="1">AVERAGE(OFFSET($GY$3,0,0,'Données projet'!$E$18+1,1))-AVERAGE(OFFSET($H$3,0,0,'Données projet'!$E$18+1,1))</f>
        <v>502.07782026233912</v>
      </c>
      <c r="HA63" s="61">
        <f t="shared" si="52"/>
        <v>285.83623046025156</v>
      </c>
      <c r="HB63" s="16">
        <f>IF(ISNA(VLOOKUP(A63,'Données projet'!$A$269:$I$289,3,0)),0,VLOOKUP(A63,'Données projet'!$A$269:$I$289,3,0))</f>
        <v>4</v>
      </c>
      <c r="HC63" s="16">
        <f>IF(ISNA(VLOOKUP(A63,'Données projet'!$A$269:$I$289,4,0)),0,VLOOKUP(A63,'Données projet'!$A$269:$I$289,4,0))</f>
        <v>42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0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0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181.14095999999995</v>
      </c>
      <c r="P64" s="14">
        <f t="shared" si="33"/>
        <v>45.575935320610945</v>
      </c>
      <c r="Q64" s="22">
        <f t="shared" si="53"/>
        <v>394.86525935006392</v>
      </c>
      <c r="R64" s="61">
        <f t="shared" si="0"/>
        <v>688.19859268339724</v>
      </c>
      <c r="S64" s="61">
        <f ca="1">AVERAGE(OFFSET($R$3,0,0,'Données projet'!$E$9+1,1))-AVERAGE(OFFSET($H$3,0,0,'Données projet'!$E$9+1,1))</f>
        <v>428.8489304403459</v>
      </c>
      <c r="T64" s="61">
        <f t="shared" si="34"/>
        <v>247.01165577562966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1">
        <f t="shared" si="5"/>
        <v>734.68267195239741</v>
      </c>
      <c r="AN64" s="61">
        <f ca="1">AVERAGE(OFFSET($AM$3,0,0,'Données projet'!$E$10+1,1))-AVERAGE(OFFSET($H$3,0,0,'Données projet'!$E$10+1,1))</f>
        <v>475.47920969424894</v>
      </c>
      <c r="AO64" s="61">
        <f t="shared" si="36"/>
        <v>271.73544012419364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15.571428571428571</v>
      </c>
      <c r="BD64" s="13">
        <f>IF('Données projet'!$A$88&gt;35,BD63+BC64-BL63,IF(A64&lt;'Données projet'!$A$88,$BA$205^A64,IF(A64='Données projet'!$A$88,'Données projet'!$B$88,BD63+BC64-BL63)))</f>
        <v>506.85714285714255</v>
      </c>
      <c r="BE64" s="14">
        <f>BD64*VLOOKUP('Données projet'!$B$11,Paramètres!$A$1:$I$89,3,0)*VLOOKUP('Données projet'!$B$11,Paramètres!$A$1:$I$89,5,0)</f>
        <v>283.33314285714266</v>
      </c>
      <c r="BF64" s="14">
        <f t="shared" si="37"/>
        <v>67.670911918680105</v>
      </c>
      <c r="BG64" s="22">
        <f t="shared" si="7"/>
        <v>611.33206206789123</v>
      </c>
      <c r="BH64" s="61">
        <f t="shared" si="8"/>
        <v>904.66539540122449</v>
      </c>
      <c r="BI64" s="61">
        <f ca="1">AVERAGE(OFFSET($BH$3,0,0,'Données projet'!$E$11+1,1))-AVERAGE(OFFSET($H$3,0,0,'Données projet'!$E$11+1,1))</f>
        <v>374.79806286316051</v>
      </c>
      <c r="BJ64" s="61">
        <f t="shared" si="38"/>
        <v>350.01856672839466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9.4282644571091723</v>
      </c>
      <c r="BR64" s="23">
        <f>EXP(-LN(2)/2)*BR63+(1-EXP(-LN(2)/2))/(LN(2)/2)*BL64*BO64*VLOOKUP('Données projet'!$B$11,Paramètres!$A$1:$I$89,3,0)*0.475*44/12</f>
        <v>2.3753895936256045E-4</v>
      </c>
      <c r="BS64" s="24">
        <f t="shared" si="9"/>
        <v>9.428501996068535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>
        <f>VLOOKUP(A64,'Données projet'!$A$113:$I$133,2,0)</f>
        <v>329.11538461538464</v>
      </c>
      <c r="BW64" s="13">
        <f>VLOOKUP(A64,'Données projet'!$A$113:$I$133,9,0)</f>
        <v>11.170769230769238</v>
      </c>
      <c r="BX64" s="13">
        <f t="array" ref="BX64">INDEX(BW:BW,MIN(IF(ISNUMBER(BW64:BW260),ROW(BW64:BW260),"")))</f>
        <v>11.170769230769238</v>
      </c>
      <c r="BY64" s="13">
        <f>IF('Données projet'!$A$114&gt;35,BY63+BX64-CG63,IF(A64&lt;'Données projet'!$A$114,$BV$205^A64,IF(A64='Données projet'!$A$114,'Données projet'!$B$114,BY63+BX64-CG63)))</f>
        <v>329.11538461538481</v>
      </c>
      <c r="BZ64" s="14">
        <f>BY64*VLOOKUP('Données projet'!$B$12,Paramètres!$A$1:$I$89,3,0)*VLOOKUP('Données projet'!$B$12,Paramètres!$A$1:$I$89,5,0)</f>
        <v>154.0260000000001</v>
      </c>
      <c r="CA64" s="14">
        <f t="shared" si="39"/>
        <v>39.492093452898274</v>
      </c>
      <c r="CB64" s="22">
        <f t="shared" si="10"/>
        <v>337.04401276379798</v>
      </c>
      <c r="CC64" s="61">
        <f t="shared" si="11"/>
        <v>630.37734609713129</v>
      </c>
      <c r="CD64" s="61">
        <f ca="1">AVERAGE(OFFSET($CC$3,0,0,'Données projet'!$E$12+1,1))-AVERAGE(OFFSET($H$3,0,0,'Données projet'!$E$12+1,1))</f>
        <v>285.59863510278109</v>
      </c>
      <c r="CE64" s="61">
        <f t="shared" si="40"/>
        <v>190.4880882944471</v>
      </c>
      <c r="CF64" s="16">
        <f>IF(ISNA(VLOOKUP(A64,'Données projet'!$A$113:$I$133,3,0)),0,VLOOKUP(A64,'Données projet'!$A$113:$I$133,3,0))</f>
        <v>2</v>
      </c>
      <c r="CG64" s="16">
        <f>IF(ISNA(VLOOKUP(A64,'Données projet'!$A$113:$I$133,4,0)),0,VLOOKUP(A64,'Données projet'!$A$113:$I$133,4,0))</f>
        <v>94.76153846153845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10.7</v>
      </c>
      <c r="CT64" s="13">
        <f>IF('Données projet'!$A$140&gt;35,CT63+CS64-DB63,IF(A64&lt;'Données projet'!$A$140,$CQ$205^A64,IF(A64='Données projet'!$A$140,'Données projet'!$B$140,CT63+CS64-DB63)))</f>
        <v>213.7000000000001</v>
      </c>
      <c r="CU64" s="18">
        <f>CT64*VLOOKUP('Données projet'!$B$13,Paramètres!$A$1:$I$89,3,0)*VLOOKUP('Données projet'!$B$13,Paramètres!$A$1:$I$89,5,0)</f>
        <v>102.78970000000004</v>
      </c>
      <c r="CV64" s="14">
        <f t="shared" si="41"/>
        <v>27.625537083547467</v>
      </c>
      <c r="CW64" s="22">
        <f t="shared" si="13"/>
        <v>227.13987125384526</v>
      </c>
      <c r="CX64" s="61">
        <f t="shared" si="14"/>
        <v>520.47320458717854</v>
      </c>
      <c r="CY64" s="61">
        <f ca="1">AVERAGE(OFFSET($CX$3,0,0,'Données projet'!$E$13+1,1))-AVERAGE(OFFSET($H$3,0,0,'Données projet'!$E$13+1,1))</f>
        <v>273.72618036666552</v>
      </c>
      <c r="CZ64" s="61">
        <f t="shared" si="42"/>
        <v>157.67999791700714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5.1282051282051331</v>
      </c>
      <c r="DO64" s="13">
        <f>IF('Données projet'!$A$166&gt;35,DO63+DN64-DW63,IF(A64&lt;'Données projet'!$A$166,$DL$205^A64,IF(A64='Données projet'!$A$166,'Données projet'!$B$166,DO63+DN64-DW63)))</f>
        <v>219.87179487179489</v>
      </c>
      <c r="DP64" s="18">
        <f>DO64*VLOOKUP('Données projet'!$B$14,Paramètres!$A$1:$I$89,3,0)*VLOOKUP('Données projet'!$B$14,Paramètres!$A$1:$I$89,5,0)</f>
        <v>147.49</v>
      </c>
      <c r="DQ64" s="14">
        <f t="shared" si="43"/>
        <v>38.007620116459833</v>
      </c>
      <c r="DR64" s="22">
        <f t="shared" si="16"/>
        <v>323.07502170283419</v>
      </c>
      <c r="DS64" s="61">
        <f t="shared" si="17"/>
        <v>616.40835503616745</v>
      </c>
      <c r="DT64" s="61">
        <f ca="1">AVERAGE(OFFSET($DS$3,0,0,'Données projet'!$E$14+1,1))-AVERAGE(OFFSET($H$3,0,0,'Données projet'!$E$14+1,1))</f>
        <v>312.06797204903796</v>
      </c>
      <c r="DU64" s="61">
        <f t="shared" si="44"/>
        <v>258.20189001775151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4.9272727272727277</v>
      </c>
      <c r="EJ64" s="13">
        <f>IF('Données projet'!$A$192&gt;35,EJ63+EI64-ER63,IF(A64&lt;'Données projet'!$A$192,$EG$205^A64,IF(A64='Données projet'!$A$192,'Données projet'!$B$192,EJ63+EI64-ER63)))</f>
        <v>198.05454545454552</v>
      </c>
      <c r="EK64" s="18">
        <f>EJ64*VLOOKUP('Données projet'!$B$15,Paramètres!$A$1:$I$89,3,0)*VLOOKUP('Données projet'!$B$15,Paramètres!$A$1:$I$89,5,0)</f>
        <v>160.66184727272733</v>
      </c>
      <c r="EL64" s="14">
        <f t="shared" si="45"/>
        <v>40.991761022632737</v>
      </c>
      <c r="EM64" s="22">
        <f t="shared" si="19"/>
        <v>351.21336778108542</v>
      </c>
      <c r="EN64" s="61">
        <f t="shared" si="20"/>
        <v>644.54670111441874</v>
      </c>
      <c r="EO64" s="61">
        <f ca="1">AVERAGE(OFFSET($EN$3,0,0,'Données projet'!$E$15+1,1))-AVERAGE(OFFSET($H$3,0,0,'Données projet'!$E$15+1,1))</f>
        <v>222.15256609836689</v>
      </c>
      <c r="EP64" s="61">
        <f t="shared" si="46"/>
        <v>221.10360210521077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8.6666666666666661</v>
      </c>
      <c r="FE64" s="13">
        <f>IF('Données projet'!$A$218&gt;35,FE63+FD64-FM63,IF(A64&lt;'Données projet'!$A$218,$FB$205^A64,IF(A64='Données projet'!$A$218,'Données projet'!$B$218,FE63+FD64-FM63)))</f>
        <v>258.66666666666663</v>
      </c>
      <c r="FF64" s="18">
        <f>FE64*VLOOKUP('Données projet'!$B$16,Paramètres!$A$1:$I$89,3,0)*VLOOKUP('Données projet'!$B$16,Paramètres!$A$1:$I$89,5,0)</f>
        <v>201.76</v>
      </c>
      <c r="FG64" s="14">
        <f t="shared" si="47"/>
        <v>50.130765000424212</v>
      </c>
      <c r="FH64" s="22">
        <f t="shared" si="22"/>
        <v>438.70974904240546</v>
      </c>
      <c r="FI64" s="61">
        <f t="shared" si="23"/>
        <v>732.04308237573878</v>
      </c>
      <c r="FJ64" s="61">
        <f ca="1">AVERAGE(OFFSET($FI$3,0,0,'Données projet'!$E$16+1,1))-AVERAGE(OFFSET($H$3,0,0,'Données projet'!$E$16+1,1))</f>
        <v>292.57482726862594</v>
      </c>
      <c r="FK64" s="61">
        <f t="shared" si="48"/>
        <v>283.48738729114024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7.2</v>
      </c>
      <c r="FZ64" s="13">
        <f>IF('Données projet'!$A$244&gt;35,FZ63+FY64-GH63,IF(A64&lt;'Données projet'!$A$244,$FW$205^A64,IF(A64='Données projet'!$A$244,'Données projet'!$B$244,FZ63+FY64-GH63)))</f>
        <v>200.19999999999996</v>
      </c>
      <c r="GA64" s="18">
        <f>FZ64*VLOOKUP('Données projet'!$B$17,Paramètres!$A$1:$I$89,3,0)*VLOOKUP('Données projet'!$B$17,Paramètres!$A$1:$I$89,5,0)</f>
        <v>193.63343999999998</v>
      </c>
      <c r="GB64" s="14">
        <f t="shared" si="49"/>
        <v>48.342367086681229</v>
      </c>
      <c r="GC64" s="22">
        <f t="shared" si="25"/>
        <v>421.44119734263637</v>
      </c>
      <c r="GD64" s="61">
        <f t="shared" si="26"/>
        <v>714.77453067596969</v>
      </c>
      <c r="GE64" s="61">
        <f ca="1">AVERAGE(OFFSET($GD$3,0,0,'Données projet'!$E$17+1,1))-AVERAGE(OFFSET($H$3,0,0,'Données projet'!$E$17+1,1))</f>
        <v>455.50822833641354</v>
      </c>
      <c r="GF64" s="61">
        <f t="shared" si="50"/>
        <v>261.14722581688039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0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0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7.2</v>
      </c>
      <c r="GU64" s="13">
        <f>IF('Données projet'!$A$270&gt;35,GU63+GT64-HC63,IF(A64&lt;'Données projet'!$A$270,$GR$205^A64,IF(A64='Données projet'!$A$270,'Données projet'!$B$270,GU63+GT64-HC63)))</f>
        <v>200.19999999999996</v>
      </c>
      <c r="GV64" s="18">
        <f>GU64*VLOOKUP('Données projet'!$B$18,Paramètres!$A$1:$I$89,3,0)*VLOOKUP('Données projet'!$B$18,Paramètres!$A$1:$I$89,5,0)</f>
        <v>215.49527999999992</v>
      </c>
      <c r="GW64" s="14">
        <f t="shared" si="51"/>
        <v>53.134631326269272</v>
      </c>
      <c r="GX64" s="22">
        <f t="shared" si="28"/>
        <v>467.86376222658549</v>
      </c>
      <c r="GY64" s="61">
        <f t="shared" si="29"/>
        <v>761.19709555991881</v>
      </c>
      <c r="GZ64" s="61">
        <f ca="1">AVERAGE(OFFSET($GY$3,0,0,'Données projet'!$E$18+1,1))-AVERAGE(OFFSET($H$3,0,0,'Données projet'!$E$18+1,1))</f>
        <v>502.07782026233912</v>
      </c>
      <c r="HA64" s="61">
        <f t="shared" si="52"/>
        <v>285.83623046025156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0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0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187.65551999999994</v>
      </c>
      <c r="P65" s="14">
        <f t="shared" si="33"/>
        <v>47.021247649900147</v>
      </c>
      <c r="Q65" s="22">
        <f t="shared" si="53"/>
        <v>408.72870365690932</v>
      </c>
      <c r="R65" s="61">
        <f t="shared" si="0"/>
        <v>702.06203699024263</v>
      </c>
      <c r="S65" s="61">
        <f ca="1">AVERAGE(OFFSET($R$3,0,0,'Données projet'!$E$9+1,1))-AVERAGE(OFFSET($H$3,0,0,'Données projet'!$E$9+1,1))</f>
        <v>428.8489304403459</v>
      </c>
      <c r="T65" s="61">
        <f t="shared" si="34"/>
        <v>247.01165577562966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1">
        <f t="shared" si="5"/>
        <v>750.18212158935489</v>
      </c>
      <c r="AN65" s="61">
        <f ca="1">AVERAGE(OFFSET($AM$3,0,0,'Données projet'!$E$10+1,1))-AVERAGE(OFFSET($H$3,0,0,'Données projet'!$E$10+1,1))</f>
        <v>475.47920969424894</v>
      </c>
      <c r="AO65" s="61">
        <f t="shared" si="36"/>
        <v>271.73544012419364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15.571428571428571</v>
      </c>
      <c r="BD65" s="13">
        <f>IF('Données projet'!$A$88&gt;35,BD64+BC65-BL64,IF(A65&lt;'Données projet'!$A$88,$BA$205^A65,IF(A65='Données projet'!$A$88,'Données projet'!$B$88,BD64+BC65-BL64)))</f>
        <v>522.4285714285711</v>
      </c>
      <c r="BE65" s="14">
        <f>BD65*VLOOKUP('Données projet'!$B$11,Paramètres!$A$1:$I$89,3,0)*VLOOKUP('Données projet'!$B$11,Paramètres!$A$1:$I$89,5,0)</f>
        <v>292.03757142857125</v>
      </c>
      <c r="BF65" s="14">
        <f t="shared" si="37"/>
        <v>69.504628296156</v>
      </c>
      <c r="BG65" s="22">
        <f t="shared" si="7"/>
        <v>629.68599785389995</v>
      </c>
      <c r="BH65" s="61">
        <f t="shared" si="8"/>
        <v>923.01933118723332</v>
      </c>
      <c r="BI65" s="61">
        <f ca="1">AVERAGE(OFFSET($BH$3,0,0,'Données projet'!$E$11+1,1))-AVERAGE(OFFSET($H$3,0,0,'Données projet'!$E$11+1,1))</f>
        <v>374.79806286316051</v>
      </c>
      <c r="BJ65" s="61">
        <f t="shared" si="38"/>
        <v>350.01856672839466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9.1704480697186419</v>
      </c>
      <c r="BR65" s="23">
        <f>EXP(-LN(2)/2)*BR64+(1-EXP(-LN(2)/2))/(LN(2)/2)*BL65*BO65*VLOOKUP('Données projet'!$B$11,Paramètres!$A$1:$I$89,3,0)*0.475*44/12</f>
        <v>1.6796540896126224E-4</v>
      </c>
      <c r="BS65" s="24">
        <f t="shared" si="9"/>
        <v>9.1706160351276029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10.314743589743586</v>
      </c>
      <c r="BY65" s="13">
        <f>IF('Données projet'!$A$114&gt;35,BY64+BX65-CG64,IF(A65&lt;'Données projet'!$A$114,$BV$205^A65,IF(A65='Données projet'!$A$114,'Données projet'!$B$114,BY64+BX65-CG64)))</f>
        <v>244.66858974358996</v>
      </c>
      <c r="BZ65" s="14">
        <f>BY65*VLOOKUP('Données projet'!$B$12,Paramètres!$A$1:$I$89,3,0)*VLOOKUP('Données projet'!$B$12,Paramètres!$A$1:$I$89,5,0)</f>
        <v>114.50490000000011</v>
      </c>
      <c r="CA65" s="14">
        <f t="shared" si="39"/>
        <v>30.389882066052234</v>
      </c>
      <c r="CB65" s="22">
        <f t="shared" si="10"/>
        <v>252.35841209837443</v>
      </c>
      <c r="CC65" s="61">
        <f t="shared" si="11"/>
        <v>545.69174543170777</v>
      </c>
      <c r="CD65" s="61">
        <f ca="1">AVERAGE(OFFSET($CC$3,0,0,'Données projet'!$E$12+1,1))-AVERAGE(OFFSET($H$3,0,0,'Données projet'!$E$12+1,1))</f>
        <v>285.59863510278109</v>
      </c>
      <c r="CE65" s="61">
        <f t="shared" si="40"/>
        <v>190.4880882944471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10.7</v>
      </c>
      <c r="CT65" s="13">
        <f>IF('Données projet'!$A$140&gt;35,CT64+CS65-DB64,IF(A65&lt;'Données projet'!$A$140,$CQ$205^A65,IF(A65='Données projet'!$A$140,'Données projet'!$B$140,CT64+CS65-DB64)))</f>
        <v>224.40000000000009</v>
      </c>
      <c r="CU65" s="18">
        <f>CT65*VLOOKUP('Données projet'!$B$13,Paramètres!$A$1:$I$89,3,0)*VLOOKUP('Données projet'!$B$13,Paramètres!$A$1:$I$89,5,0)</f>
        <v>107.93640000000005</v>
      </c>
      <c r="CV65" s="14">
        <f t="shared" si="41"/>
        <v>28.844249724880882</v>
      </c>
      <c r="CW65" s="22">
        <f t="shared" si="13"/>
        <v>238.22629827083426</v>
      </c>
      <c r="CX65" s="61">
        <f t="shared" si="14"/>
        <v>531.55963160416763</v>
      </c>
      <c r="CY65" s="61">
        <f ca="1">AVERAGE(OFFSET($CX$3,0,0,'Données projet'!$E$13+1,1))-AVERAGE(OFFSET($H$3,0,0,'Données projet'!$E$13+1,1))</f>
        <v>273.72618036666552</v>
      </c>
      <c r="CZ65" s="61">
        <f t="shared" si="42"/>
        <v>157.67999791700714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5.1282051282051331</v>
      </c>
      <c r="DO65" s="13">
        <f>IF('Données projet'!$A$166&gt;35,DO64+DN65-DW64,IF(A65&lt;'Données projet'!$A$166,$DL$205^A65,IF(A65='Données projet'!$A$166,'Données projet'!$B$166,DO64+DN65-DW64)))</f>
        <v>225.00000000000003</v>
      </c>
      <c r="DP65" s="18">
        <f>DO65*VLOOKUP('Données projet'!$B$14,Paramètres!$A$1:$I$89,3,0)*VLOOKUP('Données projet'!$B$14,Paramètres!$A$1:$I$89,5,0)</f>
        <v>150.93000000000004</v>
      </c>
      <c r="DQ65" s="14">
        <f t="shared" si="43"/>
        <v>38.789855371379076</v>
      </c>
      <c r="DR65" s="22">
        <f t="shared" si="16"/>
        <v>330.42874810515195</v>
      </c>
      <c r="DS65" s="61">
        <f t="shared" si="17"/>
        <v>623.76208143848521</v>
      </c>
      <c r="DT65" s="61">
        <f ca="1">AVERAGE(OFFSET($DS$3,0,0,'Données projet'!$E$14+1,1))-AVERAGE(OFFSET($H$3,0,0,'Données projet'!$E$14+1,1))</f>
        <v>312.06797204903796</v>
      </c>
      <c r="DU65" s="61">
        <f t="shared" si="44"/>
        <v>258.20189001775151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4.9272727272727277</v>
      </c>
      <c r="EJ65" s="13">
        <f>IF('Données projet'!$A$192&gt;35,EJ64+EI65-ER64,IF(A65&lt;'Données projet'!$A$192,$EG$205^A65,IF(A65='Données projet'!$A$192,'Données projet'!$B$192,EJ64+EI65-ER64)))</f>
        <v>202.98181818181826</v>
      </c>
      <c r="EK65" s="18">
        <f>EJ65*VLOOKUP('Données projet'!$B$15,Paramètres!$A$1:$I$89,3,0)*VLOOKUP('Données projet'!$B$15,Paramètres!$A$1:$I$89,5,0)</f>
        <v>164.65885090909097</v>
      </c>
      <c r="EL65" s="14">
        <f t="shared" si="45"/>
        <v>41.891570463501949</v>
      </c>
      <c r="EM65" s="22">
        <f t="shared" si="19"/>
        <v>359.74198389059933</v>
      </c>
      <c r="EN65" s="61">
        <f t="shared" si="20"/>
        <v>653.07531722393264</v>
      </c>
      <c r="EO65" s="61">
        <f ca="1">AVERAGE(OFFSET($EN$3,0,0,'Données projet'!$E$15+1,1))-AVERAGE(OFFSET($H$3,0,0,'Données projet'!$E$15+1,1))</f>
        <v>222.15256609836689</v>
      </c>
      <c r="EP65" s="61">
        <f t="shared" si="46"/>
        <v>221.10360210521077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8.6666666666666661</v>
      </c>
      <c r="FE65" s="13">
        <f>IF('Données projet'!$A$218&gt;35,FE64+FD65-FM64,IF(A65&lt;'Données projet'!$A$218,$FB$205^A65,IF(A65='Données projet'!$A$218,'Données projet'!$B$218,FE64+FD65-FM64)))</f>
        <v>267.33333333333331</v>
      </c>
      <c r="FF65" s="18">
        <f>FE65*VLOOKUP('Données projet'!$B$16,Paramètres!$A$1:$I$89,3,0)*VLOOKUP('Données projet'!$B$16,Paramètres!$A$1:$I$89,5,0)</f>
        <v>208.51999999999998</v>
      </c>
      <c r="FG65" s="14">
        <f t="shared" si="47"/>
        <v>51.612035456318509</v>
      </c>
      <c r="FH65" s="22">
        <f t="shared" si="22"/>
        <v>453.06329508642131</v>
      </c>
      <c r="FI65" s="61">
        <f t="shared" si="23"/>
        <v>746.39662841975462</v>
      </c>
      <c r="FJ65" s="61">
        <f ca="1">AVERAGE(OFFSET($FI$3,0,0,'Données projet'!$E$16+1,1))-AVERAGE(OFFSET($H$3,0,0,'Données projet'!$E$16+1,1))</f>
        <v>292.57482726862594</v>
      </c>
      <c r="FK65" s="61">
        <f t="shared" si="48"/>
        <v>283.48738729114024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7.2</v>
      </c>
      <c r="FZ65" s="13">
        <f>IF('Données projet'!$A$244&gt;35,FZ64+FY65-GH64,IF(A65&lt;'Données projet'!$A$244,$FW$205^A65,IF(A65='Données projet'!$A$244,'Données projet'!$B$244,FZ64+FY65-GH64)))</f>
        <v>207.39999999999995</v>
      </c>
      <c r="GA65" s="18">
        <f>FZ65*VLOOKUP('Données projet'!$B$17,Paramètres!$A$1:$I$89,3,0)*VLOOKUP('Données projet'!$B$17,Paramètres!$A$1:$I$89,5,0)</f>
        <v>200.59727999999996</v>
      </c>
      <c r="GB65" s="14">
        <f t="shared" si="49"/>
        <v>49.875409002022977</v>
      </c>
      <c r="GC65" s="22">
        <f t="shared" si="25"/>
        <v>436.23993334518991</v>
      </c>
      <c r="GD65" s="61">
        <f t="shared" si="26"/>
        <v>729.57326667852317</v>
      </c>
      <c r="GE65" s="61">
        <f ca="1">AVERAGE(OFFSET($GD$3,0,0,'Données projet'!$E$17+1,1))-AVERAGE(OFFSET($H$3,0,0,'Données projet'!$E$17+1,1))</f>
        <v>455.50822833641354</v>
      </c>
      <c r="GF65" s="61">
        <f t="shared" si="50"/>
        <v>261.14722581688039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0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0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7.2</v>
      </c>
      <c r="GU65" s="13">
        <f>IF('Données projet'!$A$270&gt;35,GU64+GT65-HC64,IF(A65&lt;'Données projet'!$A$270,$GR$205^A65,IF(A65='Données projet'!$A$270,'Données projet'!$B$270,GU64+GT65-HC64)))</f>
        <v>207.39999999999995</v>
      </c>
      <c r="GV65" s="18">
        <f>GU65*VLOOKUP('Données projet'!$B$18,Paramètres!$A$1:$I$89,3,0)*VLOOKUP('Données projet'!$B$18,Paramètres!$A$1:$I$89,5,0)</f>
        <v>223.24535999999995</v>
      </c>
      <c r="GW65" s="14">
        <f t="shared" si="51"/>
        <v>54.819646394591118</v>
      </c>
      <c r="GX65" s="22">
        <f t="shared" si="28"/>
        <v>484.29655280391279</v>
      </c>
      <c r="GY65" s="61">
        <f t="shared" si="29"/>
        <v>777.6298861372461</v>
      </c>
      <c r="GZ65" s="61">
        <f ca="1">AVERAGE(OFFSET($GY$3,0,0,'Données projet'!$E$18+1,1))-AVERAGE(OFFSET($H$3,0,0,'Données projet'!$E$18+1,1))</f>
        <v>502.07782026233912</v>
      </c>
      <c r="HA65" s="61">
        <f t="shared" si="52"/>
        <v>285.83623046025156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0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0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194.17007999999996</v>
      </c>
      <c r="P66" s="14">
        <f t="shared" si="33"/>
        <v>48.460730182351035</v>
      </c>
      <c r="Q66" s="22">
        <f t="shared" si="53"/>
        <v>422.5819944009279</v>
      </c>
      <c r="R66" s="61">
        <f t="shared" si="0"/>
        <v>715.91532773426115</v>
      </c>
      <c r="S66" s="61">
        <f ca="1">AVERAGE(OFFSET($R$3,0,0,'Données projet'!$E$9+1,1))-AVERAGE(OFFSET($H$3,0,0,'Données projet'!$E$9+1,1))</f>
        <v>428.8489304403459</v>
      </c>
      <c r="T66" s="61">
        <f t="shared" si="34"/>
        <v>247.01165577562966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1">
        <f t="shared" si="5"/>
        <v>765.67034215791341</v>
      </c>
      <c r="AN66" s="61">
        <f ca="1">AVERAGE(OFFSET($AM$3,0,0,'Données projet'!$E$10+1,1))-AVERAGE(OFFSET($H$3,0,0,'Données projet'!$E$10+1,1))</f>
        <v>475.47920969424894</v>
      </c>
      <c r="AO66" s="61">
        <f t="shared" si="36"/>
        <v>271.73544012419364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>
        <f>VLOOKUP(A66,'Données projet'!$A$87:$I$107,2,0)</f>
        <v>538</v>
      </c>
      <c r="BB66" s="13">
        <f>VLOOKUP(A66,'Données projet'!$A$87:$I$107,9,0)</f>
        <v>15.571428571428571</v>
      </c>
      <c r="BC66" s="13">
        <f t="array" ref="BC66">INDEX(BB:BB,MIN(IF(ISNUMBER(BB66:BB262),ROW(BB66:BB262),"")))</f>
        <v>15.571428571428571</v>
      </c>
      <c r="BD66" s="13">
        <f>IF('Données projet'!$A$88&gt;35,BD65+BC66-BL65,IF(A66&lt;'Données projet'!$A$88,$BA$205^A66,IF(A66='Données projet'!$A$88,'Données projet'!$B$88,BD65+BC66-BL65)))</f>
        <v>537.99999999999966</v>
      </c>
      <c r="BE66" s="14">
        <f>BD66*VLOOKUP('Données projet'!$B$11,Paramètres!$A$1:$I$89,3,0)*VLOOKUP('Données projet'!$B$11,Paramètres!$A$1:$I$89,5,0)</f>
        <v>300.74199999999985</v>
      </c>
      <c r="BF66" s="14">
        <f t="shared" si="37"/>
        <v>71.331992805448763</v>
      </c>
      <c r="BG66" s="22">
        <f t="shared" si="7"/>
        <v>648.02887080282289</v>
      </c>
      <c r="BH66" s="61">
        <f t="shared" si="8"/>
        <v>941.36220413615615</v>
      </c>
      <c r="BI66" s="61">
        <f ca="1">AVERAGE(OFFSET($BH$3,0,0,'Données projet'!$E$11+1,1))-AVERAGE(OFFSET($H$3,0,0,'Données projet'!$E$11+1,1))</f>
        <v>374.79806286316051</v>
      </c>
      <c r="BJ66" s="61">
        <f t="shared" si="38"/>
        <v>350.01856672839466</v>
      </c>
      <c r="BK66" s="16">
        <f>IF(ISNA(VLOOKUP(A66,'Données projet'!$A$87:$I$107,3,0)),0,VLOOKUP(A66,'Données projet'!$A$87:$I$107,3,0))</f>
        <v>7</v>
      </c>
      <c r="BL66" s="16">
        <f>IF(ISNA(VLOOKUP(A66,'Données projet'!$A$87:$I$107,4,0)),0,VLOOKUP(A66,'Données projet'!$A$87:$I$107,4,0))</f>
        <v>84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8.919681684999281</v>
      </c>
      <c r="BR66" s="23">
        <f>EXP(-LN(2)/2)*BR65+(1-EXP(-LN(2)/2))/(LN(2)/2)*BL66*BO66*VLOOKUP('Données projet'!$B$11,Paramètres!$A$1:$I$89,3,0)*0.475*44/12</f>
        <v>1.1876947968128024E-4</v>
      </c>
      <c r="BS66" s="24">
        <f t="shared" si="9"/>
        <v>8.9198004544789615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10.314743589743586</v>
      </c>
      <c r="BY66" s="13">
        <f>IF('Données projet'!$A$114&gt;35,BY65+BX66-CG65,IF(A66&lt;'Données projet'!$A$114,$BV$205^A66,IF(A66='Données projet'!$A$114,'Données projet'!$B$114,BY65+BX66-CG65)))</f>
        <v>254.98333333333355</v>
      </c>
      <c r="BZ66" s="14">
        <f>BY66*VLOOKUP('Données projet'!$B$12,Paramètres!$A$1:$I$89,3,0)*VLOOKUP('Données projet'!$B$12,Paramètres!$A$1:$I$89,5,0)</f>
        <v>119.33220000000009</v>
      </c>
      <c r="CA66" s="14">
        <f t="shared" si="39"/>
        <v>31.519195359992793</v>
      </c>
      <c r="CB66" s="22">
        <f t="shared" si="10"/>
        <v>262.73284691865422</v>
      </c>
      <c r="CC66" s="61">
        <f t="shared" si="11"/>
        <v>556.06618025198759</v>
      </c>
      <c r="CD66" s="61">
        <f ca="1">AVERAGE(OFFSET($CC$3,0,0,'Données projet'!$E$12+1,1))-AVERAGE(OFFSET($H$3,0,0,'Données projet'!$E$12+1,1))</f>
        <v>285.59863510278109</v>
      </c>
      <c r="CE66" s="61">
        <f t="shared" si="40"/>
        <v>190.4880882944471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10.7</v>
      </c>
      <c r="CT66" s="13">
        <f>IF('Données projet'!$A$140&gt;35,CT65+CS66-DB65,IF(A66&lt;'Données projet'!$A$140,$CQ$205^A66,IF(A66='Données projet'!$A$140,'Données projet'!$B$140,CT65+CS66-DB65)))</f>
        <v>235.10000000000008</v>
      </c>
      <c r="CU66" s="18">
        <f>CT66*VLOOKUP('Données projet'!$B$13,Paramètres!$A$1:$I$89,3,0)*VLOOKUP('Données projet'!$B$13,Paramètres!$A$1:$I$89,5,0)</f>
        <v>113.08310000000003</v>
      </c>
      <c r="CV66" s="14">
        <f t="shared" si="41"/>
        <v>30.056214222067155</v>
      </c>
      <c r="CW66" s="22">
        <f t="shared" si="13"/>
        <v>249.30097227010035</v>
      </c>
      <c r="CX66" s="61">
        <f t="shared" si="14"/>
        <v>542.63430560343363</v>
      </c>
      <c r="CY66" s="61">
        <f ca="1">AVERAGE(OFFSET($CX$3,0,0,'Données projet'!$E$13+1,1))-AVERAGE(OFFSET($H$3,0,0,'Données projet'!$E$13+1,1))</f>
        <v>273.72618036666552</v>
      </c>
      <c r="CZ66" s="61">
        <f t="shared" si="42"/>
        <v>157.67999791700714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5.1282051282051331</v>
      </c>
      <c r="DO66" s="13">
        <f>IF('Données projet'!$A$166&gt;35,DO65+DN66-DW65,IF(A66&lt;'Données projet'!$A$166,$DL$205^A66,IF(A66='Données projet'!$A$166,'Données projet'!$B$166,DO65+DN66-DW65)))</f>
        <v>230.12820512820517</v>
      </c>
      <c r="DP66" s="18">
        <f>DO66*VLOOKUP('Données projet'!$B$14,Paramètres!$A$1:$I$89,3,0)*VLOOKUP('Données projet'!$B$14,Paramètres!$A$1:$I$89,5,0)</f>
        <v>154.37000000000003</v>
      </c>
      <c r="DQ66" s="14">
        <f t="shared" si="43"/>
        <v>39.570017923578433</v>
      </c>
      <c r="DR66" s="22">
        <f t="shared" si="16"/>
        <v>337.77886455023247</v>
      </c>
      <c r="DS66" s="61">
        <f t="shared" si="17"/>
        <v>631.11219788356584</v>
      </c>
      <c r="DT66" s="61">
        <f ca="1">AVERAGE(OFFSET($DS$3,0,0,'Données projet'!$E$14+1,1))-AVERAGE(OFFSET($H$3,0,0,'Données projet'!$E$14+1,1))</f>
        <v>312.06797204903796</v>
      </c>
      <c r="DU66" s="61">
        <f t="shared" si="44"/>
        <v>258.20189001775151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4.9272727272727277</v>
      </c>
      <c r="EJ66" s="13">
        <f>IF('Données projet'!$A$192&gt;35,EJ65+EI66-ER65,IF(A66&lt;'Données projet'!$A$192,$EG$205^A66,IF(A66='Données projet'!$A$192,'Données projet'!$B$192,EJ65+EI66-ER65)))</f>
        <v>207.90909090909099</v>
      </c>
      <c r="EK66" s="18">
        <f>EJ66*VLOOKUP('Données projet'!$B$15,Paramètres!$A$1:$I$89,3,0)*VLOOKUP('Données projet'!$B$15,Paramètres!$A$1:$I$89,5,0)</f>
        <v>168.65585454545462</v>
      </c>
      <c r="EL66" s="14">
        <f t="shared" si="45"/>
        <v>42.788840776033702</v>
      </c>
      <c r="EM66" s="22">
        <f t="shared" si="19"/>
        <v>368.26617768492548</v>
      </c>
      <c r="EN66" s="61">
        <f t="shared" si="20"/>
        <v>661.5995110182588</v>
      </c>
      <c r="EO66" s="61">
        <f ca="1">AVERAGE(OFFSET($EN$3,0,0,'Données projet'!$E$15+1,1))-AVERAGE(OFFSET($H$3,0,0,'Données projet'!$E$15+1,1))</f>
        <v>222.15256609836689</v>
      </c>
      <c r="EP66" s="61">
        <f t="shared" si="46"/>
        <v>221.10360210521077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8.6666666666666661</v>
      </c>
      <c r="FE66" s="13">
        <f>IF('Données projet'!$A$218&gt;35,FE65+FD66-FM65,IF(A66&lt;'Données projet'!$A$218,$FB$205^A66,IF(A66='Données projet'!$A$218,'Données projet'!$B$218,FE65+FD66-FM65)))</f>
        <v>276</v>
      </c>
      <c r="FF66" s="18">
        <f>FE66*VLOOKUP('Données projet'!$B$16,Paramètres!$A$1:$I$89,3,0)*VLOOKUP('Données projet'!$B$16,Paramètres!$A$1:$I$89,5,0)</f>
        <v>215.28</v>
      </c>
      <c r="FG66" s="14">
        <f t="shared" si="47"/>
        <v>53.087725740853138</v>
      </c>
      <c r="FH66" s="22">
        <f t="shared" si="22"/>
        <v>467.40712233198587</v>
      </c>
      <c r="FI66" s="61">
        <f t="shared" si="23"/>
        <v>760.74045566531913</v>
      </c>
      <c r="FJ66" s="61">
        <f ca="1">AVERAGE(OFFSET($FI$3,0,0,'Données projet'!$E$16+1,1))-AVERAGE(OFFSET($H$3,0,0,'Données projet'!$E$16+1,1))</f>
        <v>292.57482726862594</v>
      </c>
      <c r="FK66" s="61">
        <f t="shared" si="48"/>
        <v>283.48738729114024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7.2</v>
      </c>
      <c r="FZ66" s="13">
        <f>IF('Données projet'!$A$244&gt;35,FZ65+FY66-GH65,IF(A66&lt;'Données projet'!$A$244,$FW$205^A66,IF(A66='Données projet'!$A$244,'Données projet'!$B$244,FZ65+FY66-GH65)))</f>
        <v>214.59999999999994</v>
      </c>
      <c r="GA66" s="18">
        <f>FZ66*VLOOKUP('Données projet'!$B$17,Paramètres!$A$1:$I$89,3,0)*VLOOKUP('Données projet'!$B$17,Paramètres!$A$1:$I$89,5,0)</f>
        <v>207.56111999999996</v>
      </c>
      <c r="GB66" s="14">
        <f t="shared" si="49"/>
        <v>51.40226725537714</v>
      </c>
      <c r="GC66" s="22">
        <f t="shared" si="25"/>
        <v>451.02789946978169</v>
      </c>
      <c r="GD66" s="61">
        <f t="shared" si="26"/>
        <v>744.36123280311494</v>
      </c>
      <c r="GE66" s="61">
        <f ca="1">AVERAGE(OFFSET($GD$3,0,0,'Données projet'!$E$17+1,1))-AVERAGE(OFFSET($H$3,0,0,'Données projet'!$E$17+1,1))</f>
        <v>455.50822833641354</v>
      </c>
      <c r="GF66" s="61">
        <f t="shared" si="50"/>
        <v>261.14722581688039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0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0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7.2</v>
      </c>
      <c r="GU66" s="13">
        <f>IF('Données projet'!$A$270&gt;35,GU65+GT66-HC65,IF(A66&lt;'Données projet'!$A$270,$GR$205^A66,IF(A66='Données projet'!$A$270,'Données projet'!$B$270,GU65+GT66-HC65)))</f>
        <v>214.59999999999994</v>
      </c>
      <c r="GV66" s="18">
        <f>GU66*VLOOKUP('Données projet'!$B$18,Paramètres!$A$1:$I$89,3,0)*VLOOKUP('Données projet'!$B$18,Paramètres!$A$1:$I$89,5,0)</f>
        <v>230.99543999999995</v>
      </c>
      <c r="GW66" s="14">
        <f t="shared" si="51"/>
        <v>56.497864803589785</v>
      </c>
      <c r="GX66" s="22">
        <f t="shared" si="28"/>
        <v>500.71750586625211</v>
      </c>
      <c r="GY66" s="61">
        <f t="shared" si="29"/>
        <v>794.05083919958543</v>
      </c>
      <c r="GZ66" s="61">
        <f ca="1">AVERAGE(OFFSET($GY$3,0,0,'Données projet'!$E$18+1,1))-AVERAGE(OFFSET($H$3,0,0,'Données projet'!$E$18+1,1))</f>
        <v>502.07782026233912</v>
      </c>
      <c r="HA66" s="61">
        <f t="shared" si="52"/>
        <v>285.83623046025156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0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0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200.68463999999992</v>
      </c>
      <c r="P67" s="14">
        <f t="shared" si="33"/>
        <v>49.894600936700193</v>
      </c>
      <c r="Q67" s="22">
        <f t="shared" ref="Q67:Q98" si="54">(O67+P67)*0.475*44/12</f>
        <v>436.42551129808606</v>
      </c>
      <c r="R67" s="61">
        <f t="shared" ref="R67:R130" si="55">Q67+(I67+J67)*44/12</f>
        <v>729.75884463141938</v>
      </c>
      <c r="S67" s="61">
        <f ca="1">AVERAGE(OFFSET($R$3,0,0,'Données projet'!$E$9+1,1))-AVERAGE(OFFSET($H$3,0,0,'Données projet'!$E$9+1,1))</f>
        <v>428.8489304403459</v>
      </c>
      <c r="T67" s="61">
        <f t="shared" si="34"/>
        <v>247.01165577562966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1">
        <f t="shared" si="5"/>
        <v>781.14775359505757</v>
      </c>
      <c r="AN67" s="61">
        <f ca="1">AVERAGE(OFFSET($AM$3,0,0,'Données projet'!$E$10+1,1))-AVERAGE(OFFSET($H$3,0,0,'Données projet'!$E$10+1,1))</f>
        <v>475.47920969424894</v>
      </c>
      <c r="AO67" s="61">
        <f t="shared" si="36"/>
        <v>271.73544012419364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13.857142857142858</v>
      </c>
      <c r="BD67" s="13">
        <f>IF('Données projet'!$A$88&gt;35,BD66+BC67-BL66,IF(A67&lt;'Données projet'!$A$88,$BA$205^A67,IF(A67='Données projet'!$A$88,'Données projet'!$B$88,BD66+BC67-BL66)))</f>
        <v>467.85714285714255</v>
      </c>
      <c r="BE67" s="14">
        <f>BD67*VLOOKUP('Données projet'!$B$11,Paramètres!$A$1:$I$89,3,0)*VLOOKUP('Données projet'!$B$11,Paramètres!$A$1:$I$89,5,0)</f>
        <v>261.53214285714273</v>
      </c>
      <c r="BF67" s="14">
        <f t="shared" si="37"/>
        <v>63.048857133846255</v>
      </c>
      <c r="BG67" s="22">
        <f t="shared" si="7"/>
        <v>565.31190831763899</v>
      </c>
      <c r="BH67" s="61">
        <f t="shared" si="8"/>
        <v>858.64524165097237</v>
      </c>
      <c r="BI67" s="61">
        <f ca="1">AVERAGE(OFFSET($BH$3,0,0,'Données projet'!$E$11+1,1))-AVERAGE(OFFSET($H$3,0,0,'Données projet'!$E$11+1,1))</f>
        <v>374.79806286316051</v>
      </c>
      <c r="BJ67" s="61">
        <f t="shared" si="38"/>
        <v>350.01856672839466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8.6757725202573024</v>
      </c>
      <c r="BR67" s="23">
        <f>EXP(-LN(2)/2)*BR66+(1-EXP(-LN(2)/2))/(LN(2)/2)*BL67*BO67*VLOOKUP('Données projet'!$B$11,Paramètres!$A$1:$I$89,3,0)*0.475*44/12</f>
        <v>8.3982704480631135E-5</v>
      </c>
      <c r="BS67" s="24">
        <f t="shared" si="9"/>
        <v>8.6758565029617838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10.314743589743586</v>
      </c>
      <c r="BY67" s="13">
        <f>IF('Données projet'!$A$114&gt;35,BY66+BX67-CG66,IF(A67&lt;'Données projet'!$A$114,$BV$205^A67,IF(A67='Données projet'!$A$114,'Données projet'!$B$114,BY66+BX67-CG66)))</f>
        <v>265.29807692307713</v>
      </c>
      <c r="BZ67" s="14">
        <f>BY67*VLOOKUP('Données projet'!$B$12,Paramètres!$A$1:$I$89,3,0)*VLOOKUP('Données projet'!$B$12,Paramètres!$A$1:$I$89,5,0)</f>
        <v>124.15950000000009</v>
      </c>
      <c r="CA67" s="14">
        <f t="shared" si="39"/>
        <v>32.643202044796318</v>
      </c>
      <c r="CB67" s="22">
        <f t="shared" si="10"/>
        <v>273.09803939468708</v>
      </c>
      <c r="CC67" s="61">
        <f t="shared" si="11"/>
        <v>566.43137272802039</v>
      </c>
      <c r="CD67" s="61">
        <f ca="1">AVERAGE(OFFSET($CC$3,0,0,'Données projet'!$E$12+1,1))-AVERAGE(OFFSET($H$3,0,0,'Données projet'!$E$12+1,1))</f>
        <v>285.59863510278109</v>
      </c>
      <c r="CE67" s="61">
        <f t="shared" si="40"/>
        <v>190.4880882944471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10.7</v>
      </c>
      <c r="CT67" s="13">
        <f>IF('Données projet'!$A$140&gt;35,CT66+CS67-DB66,IF(A67&lt;'Données projet'!$A$140,$CQ$205^A67,IF(A67='Données projet'!$A$140,'Données projet'!$B$140,CT66+CS67-DB66)))</f>
        <v>245.80000000000007</v>
      </c>
      <c r="CU67" s="18">
        <f>CT67*VLOOKUP('Données projet'!$B$13,Paramètres!$A$1:$I$89,3,0)*VLOOKUP('Données projet'!$B$13,Paramètres!$A$1:$I$89,5,0)</f>
        <v>118.22980000000004</v>
      </c>
      <c r="CV67" s="14">
        <f t="shared" si="41"/>
        <v>31.261772784524787</v>
      </c>
      <c r="CW67" s="22">
        <f t="shared" si="13"/>
        <v>260.36448926638076</v>
      </c>
      <c r="CX67" s="61">
        <f t="shared" si="14"/>
        <v>553.69782259971407</v>
      </c>
      <c r="CY67" s="61">
        <f ca="1">AVERAGE(OFFSET($CX$3,0,0,'Données projet'!$E$13+1,1))-AVERAGE(OFFSET($H$3,0,0,'Données projet'!$E$13+1,1))</f>
        <v>273.72618036666552</v>
      </c>
      <c r="CZ67" s="61">
        <f t="shared" si="42"/>
        <v>157.67999791700714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5.1282051282051331</v>
      </c>
      <c r="DO67" s="13">
        <f>IF('Données projet'!$A$166&gt;35,DO66+DN67-DW66,IF(A67&lt;'Données projet'!$A$166,$DL$205^A67,IF(A67='Données projet'!$A$166,'Données projet'!$B$166,DO66+DN67-DW66)))</f>
        <v>235.25641025641031</v>
      </c>
      <c r="DP67" s="18">
        <f>DO67*VLOOKUP('Données projet'!$B$14,Paramètres!$A$1:$I$89,3,0)*VLOOKUP('Données projet'!$B$14,Paramètres!$A$1:$I$89,5,0)</f>
        <v>157.81000000000003</v>
      </c>
      <c r="DQ67" s="14">
        <f t="shared" si="43"/>
        <v>40.348159279539125</v>
      </c>
      <c r="DR67" s="22">
        <f t="shared" si="16"/>
        <v>345.12546074519736</v>
      </c>
      <c r="DS67" s="61">
        <f t="shared" si="17"/>
        <v>638.45879407853067</v>
      </c>
      <c r="DT67" s="61">
        <f ca="1">AVERAGE(OFFSET($DS$3,0,0,'Données projet'!$E$14+1,1))-AVERAGE(OFFSET($H$3,0,0,'Données projet'!$E$14+1,1))</f>
        <v>312.06797204903796</v>
      </c>
      <c r="DU67" s="61">
        <f t="shared" si="44"/>
        <v>258.20189001775151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4.9272727272727277</v>
      </c>
      <c r="EJ67" s="13">
        <f>IF('Données projet'!$A$192&gt;35,EJ66+EI67-ER66,IF(A67&lt;'Données projet'!$A$192,$EG$205^A67,IF(A67='Données projet'!$A$192,'Données projet'!$B$192,EJ66+EI67-ER66)))</f>
        <v>212.83636363636373</v>
      </c>
      <c r="EK67" s="18">
        <f>EJ67*VLOOKUP('Données projet'!$B$15,Paramètres!$A$1:$I$89,3,0)*VLOOKUP('Données projet'!$B$15,Paramètres!$A$1:$I$89,5,0)</f>
        <v>172.65285818181826</v>
      </c>
      <c r="EL67" s="14">
        <f t="shared" si="45"/>
        <v>43.683639059980983</v>
      </c>
      <c r="EM67" s="22">
        <f t="shared" si="19"/>
        <v>376.78606602946701</v>
      </c>
      <c r="EN67" s="61">
        <f t="shared" si="20"/>
        <v>670.11939936280032</v>
      </c>
      <c r="EO67" s="61">
        <f ca="1">AVERAGE(OFFSET($EN$3,0,0,'Données projet'!$E$15+1,1))-AVERAGE(OFFSET($H$3,0,0,'Données projet'!$E$15+1,1))</f>
        <v>222.15256609836689</v>
      </c>
      <c r="EP67" s="61">
        <f t="shared" si="46"/>
        <v>221.10360210521077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8.6666666666666661</v>
      </c>
      <c r="FE67" s="13">
        <f>IF('Données projet'!$A$218&gt;35,FE66+FD67-FM66,IF(A67&lt;'Données projet'!$A$218,$FB$205^A67,IF(A67='Données projet'!$A$218,'Données projet'!$B$218,FE66+FD67-FM66)))</f>
        <v>284.66666666666669</v>
      </c>
      <c r="FF67" s="18">
        <f>FE67*VLOOKUP('Données projet'!$B$16,Paramètres!$A$1:$I$89,3,0)*VLOOKUP('Données projet'!$B$16,Paramètres!$A$1:$I$89,5,0)</f>
        <v>222.04000000000002</v>
      </c>
      <c r="FG67" s="14">
        <f t="shared" si="47"/>
        <v>54.558031180803596</v>
      </c>
      <c r="FH67" s="22">
        <f t="shared" si="22"/>
        <v>481.74157097323291</v>
      </c>
      <c r="FI67" s="61">
        <f t="shared" si="23"/>
        <v>775.07490430656617</v>
      </c>
      <c r="FJ67" s="61">
        <f ca="1">AVERAGE(OFFSET($FI$3,0,0,'Données projet'!$E$16+1,1))-AVERAGE(OFFSET($H$3,0,0,'Données projet'!$E$16+1,1))</f>
        <v>292.57482726862594</v>
      </c>
      <c r="FK67" s="61">
        <f t="shared" si="48"/>
        <v>283.48738729114024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7.2</v>
      </c>
      <c r="FZ67" s="13">
        <f>IF('Données projet'!$A$244&gt;35,FZ66+FY67-GH66,IF(A67&lt;'Données projet'!$A$244,$FW$205^A67,IF(A67='Données projet'!$A$244,'Données projet'!$B$244,FZ66+FY67-GH66)))</f>
        <v>221.79999999999993</v>
      </c>
      <c r="GA67" s="18">
        <f>FZ67*VLOOKUP('Données projet'!$B$17,Paramètres!$A$1:$I$89,3,0)*VLOOKUP('Données projet'!$B$17,Paramètres!$A$1:$I$89,5,0)</f>
        <v>214.52495999999994</v>
      </c>
      <c r="GB67" s="14">
        <f t="shared" si="49"/>
        <v>52.923173099085716</v>
      </c>
      <c r="GC67" s="22">
        <f t="shared" si="25"/>
        <v>465.80549848090754</v>
      </c>
      <c r="GD67" s="61">
        <f t="shared" si="26"/>
        <v>759.1388318142408</v>
      </c>
      <c r="GE67" s="61">
        <f ca="1">AVERAGE(OFFSET($GD$3,0,0,'Données projet'!$E$17+1,1))-AVERAGE(OFFSET($H$3,0,0,'Données projet'!$E$17+1,1))</f>
        <v>455.50822833641354</v>
      </c>
      <c r="GF67" s="61">
        <f t="shared" si="50"/>
        <v>261.14722581688039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0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0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7.2</v>
      </c>
      <c r="GU67" s="13">
        <f>IF('Données projet'!$A$270&gt;35,GU66+GT67-HC66,IF(A67&lt;'Données projet'!$A$270,$GR$205^A67,IF(A67='Données projet'!$A$270,'Données projet'!$B$270,GU66+GT67-HC66)))</f>
        <v>221.79999999999993</v>
      </c>
      <c r="GV67" s="18">
        <f>GU67*VLOOKUP('Données projet'!$B$18,Paramètres!$A$1:$I$89,3,0)*VLOOKUP('Données projet'!$B$18,Paramètres!$A$1:$I$89,5,0)</f>
        <v>238.74551999999991</v>
      </c>
      <c r="GW67" s="14">
        <f t="shared" si="51"/>
        <v>58.169540730060781</v>
      </c>
      <c r="GX67" s="22">
        <f t="shared" si="28"/>
        <v>517.12706410485578</v>
      </c>
      <c r="GY67" s="61">
        <f t="shared" si="29"/>
        <v>810.46039743818915</v>
      </c>
      <c r="GZ67" s="61">
        <f ca="1">AVERAGE(OFFSET($GY$3,0,0,'Données projet'!$E$18+1,1))-AVERAGE(OFFSET($H$3,0,0,'Données projet'!$E$18+1,1))</f>
        <v>502.07782026233912</v>
      </c>
      <c r="HA67" s="61">
        <f t="shared" si="52"/>
        <v>285.83623046025156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0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0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207.19919999999991</v>
      </c>
      <c r="P68" s="14">
        <f t="shared" si="33"/>
        <v>51.3230629736655</v>
      </c>
      <c r="Q68" s="22">
        <f t="shared" si="54"/>
        <v>450.25960801246725</v>
      </c>
      <c r="R68" s="61">
        <f t="shared" si="55"/>
        <v>743.59294134580057</v>
      </c>
      <c r="S68" s="61">
        <f ca="1">AVERAGE(OFFSET($R$3,0,0,'Données projet'!$E$9+1,1))-AVERAGE(OFFSET($H$3,0,0,'Données projet'!$E$9+1,1))</f>
        <v>428.8489304403459</v>
      </c>
      <c r="T68" s="61">
        <f t="shared" si="34"/>
        <v>247.01165577562966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1">
        <f t="shared" ref="AM68:AM131" si="59">AL68+(AD68+AE68)*44/12</f>
        <v>796.61474702637031</v>
      </c>
      <c r="AN68" s="61">
        <f ca="1">AVERAGE(OFFSET($AM$3,0,0,'Données projet'!$E$10+1,1))-AVERAGE(OFFSET($H$3,0,0,'Données projet'!$E$10+1,1))</f>
        <v>475.47920969424894</v>
      </c>
      <c r="AO68" s="61">
        <f t="shared" si="36"/>
        <v>271.73544012419364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13.857142857142858</v>
      </c>
      <c r="BD68" s="13">
        <f>IF('Données projet'!$A$88&gt;35,BD67+BC68-BL67,IF(A68&lt;'Données projet'!$A$88,$BA$205^A68,IF(A68='Données projet'!$A$88,'Données projet'!$B$88,BD67+BC68-BL67)))</f>
        <v>481.71428571428538</v>
      </c>
      <c r="BE68" s="14">
        <f>BD68*VLOOKUP('Données projet'!$B$11,Paramètres!$A$1:$I$89,3,0)*VLOOKUP('Données projet'!$B$11,Paramètres!$A$1:$I$89,5,0)</f>
        <v>269.27828571428557</v>
      </c>
      <c r="BF68" s="14">
        <f t="shared" si="37"/>
        <v>64.696079449868591</v>
      </c>
      <c r="BG68" s="22">
        <f t="shared" ref="BG68:BG131" si="61">(BE68+BF68)*0.475*44/12</f>
        <v>581.67201932756836</v>
      </c>
      <c r="BH68" s="61">
        <f t="shared" ref="BH68:BH131" si="62">BG68+(AY68+AZ68)*44/12</f>
        <v>875.00535266090174</v>
      </c>
      <c r="BI68" s="61">
        <f ca="1">AVERAGE(OFFSET($BH$3,0,0,'Données projet'!$E$11+1,1))-AVERAGE(OFFSET($H$3,0,0,'Données projet'!$E$11+1,1))</f>
        <v>374.79806286316051</v>
      </c>
      <c r="BJ68" s="61">
        <f t="shared" si="38"/>
        <v>350.01856672839466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8.4385330644518177</v>
      </c>
      <c r="BR68" s="23">
        <f>EXP(-LN(2)/2)*BR67+(1-EXP(-LN(2)/2))/(LN(2)/2)*BL68*BO68*VLOOKUP('Données projet'!$B$11,Paramètres!$A$1:$I$89,3,0)*0.475*44/12</f>
        <v>5.9384739840640126E-5</v>
      </c>
      <c r="BS68" s="24">
        <f t="shared" ref="BS68:BS131" si="63">SUM(BP68:BR68)</f>
        <v>8.438592449191658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10.314743589743586</v>
      </c>
      <c r="BY68" s="13">
        <f>IF('Données projet'!$A$114&gt;35,BY67+BX68-CG67,IF(A68&lt;'Données projet'!$A$114,$BV$205^A68,IF(A68='Données projet'!$A$114,'Données projet'!$B$114,BY67+BX68-CG67)))</f>
        <v>275.61282051282069</v>
      </c>
      <c r="BZ68" s="14">
        <f>BY68*VLOOKUP('Données projet'!$B$12,Paramètres!$A$1:$I$89,3,0)*VLOOKUP('Données projet'!$B$12,Paramètres!$A$1:$I$89,5,0)</f>
        <v>128.98680000000007</v>
      </c>
      <c r="CA68" s="14">
        <f t="shared" si="39"/>
        <v>33.762132053733033</v>
      </c>
      <c r="CB68" s="22">
        <f t="shared" ref="CB68:CB131" si="64">(BZ68+CA68)*0.475*44/12</f>
        <v>283.45438999358515</v>
      </c>
      <c r="CC68" s="61">
        <f t="shared" ref="CC68:CC131" si="65">CB68+(BT68+BU68)*44/12</f>
        <v>576.78772332691847</v>
      </c>
      <c r="CD68" s="61">
        <f ca="1">AVERAGE(OFFSET($CC$3,0,0,'Données projet'!$E$12+1,1))-AVERAGE(OFFSET($H$3,0,0,'Données projet'!$E$12+1,1))</f>
        <v>285.59863510278109</v>
      </c>
      <c r="CE68" s="61">
        <f t="shared" si="40"/>
        <v>190.4880882944471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10.7</v>
      </c>
      <c r="CT68" s="13">
        <f>IF('Données projet'!$A$140&gt;35,CT67+CS68-DB67,IF(A68&lt;'Données projet'!$A$140,$CQ$205^A68,IF(A68='Données projet'!$A$140,'Données projet'!$B$140,CT67+CS68-DB67)))</f>
        <v>256.50000000000006</v>
      </c>
      <c r="CU68" s="18">
        <f>CT68*VLOOKUP('Données projet'!$B$13,Paramètres!$A$1:$I$89,3,0)*VLOOKUP('Données projet'!$B$13,Paramètres!$A$1:$I$89,5,0)</f>
        <v>123.37650000000002</v>
      </c>
      <c r="CV68" s="14">
        <f t="shared" si="41"/>
        <v>32.461236143200701</v>
      </c>
      <c r="CW68" s="22">
        <f t="shared" ref="CW68:CW131" si="67">(CU68+CV68)*0.475*44/12</f>
        <v>271.41739044940789</v>
      </c>
      <c r="CX68" s="61">
        <f t="shared" ref="CX68:CX131" si="68">CW68+(CO68+CP68)*44/12</f>
        <v>564.75072378274126</v>
      </c>
      <c r="CY68" s="61">
        <f ca="1">AVERAGE(OFFSET($CX$3,0,0,'Données projet'!$E$13+1,1))-AVERAGE(OFFSET($H$3,0,0,'Données projet'!$E$13+1,1))</f>
        <v>273.72618036666552</v>
      </c>
      <c r="CZ68" s="61">
        <f t="shared" si="42"/>
        <v>157.67999791700714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240.38461538461539</v>
      </c>
      <c r="DM68" s="13">
        <f>VLOOKUP(A68,'Données projet'!$A$165:$I$185,9,0)</f>
        <v>5.1282051282051331</v>
      </c>
      <c r="DN68" s="13">
        <f t="array" ref="DN68">INDEX(DM:DM,MIN(IF(ISNUMBER(DM68:DM264),ROW(DM68:DM264),"")))</f>
        <v>5.1282051282051331</v>
      </c>
      <c r="DO68" s="13">
        <f>IF('Données projet'!$A$166&gt;35,DO67+DN68-DW67,IF(A68&lt;'Données projet'!$A$166,$DL$205^A68,IF(A68='Données projet'!$A$166,'Données projet'!$B$166,DO67+DN68-DW67)))</f>
        <v>240.38461538461544</v>
      </c>
      <c r="DP68" s="18">
        <f>DO68*VLOOKUP('Données projet'!$B$14,Paramètres!$A$1:$I$89,3,0)*VLOOKUP('Données projet'!$B$14,Paramètres!$A$1:$I$89,5,0)</f>
        <v>161.25000000000006</v>
      </c>
      <c r="DQ68" s="14">
        <f t="shared" si="43"/>
        <v>41.124328571986439</v>
      </c>
      <c r="DR68" s="22">
        <f t="shared" ref="DR68:DR131" si="70">(DP68+DQ68)*0.475*44/12</f>
        <v>352.46862226287652</v>
      </c>
      <c r="DS68" s="61">
        <f t="shared" ref="DS68:DS131" si="71">DR68+(DJ68+DK68)*44/12</f>
        <v>645.80195559620984</v>
      </c>
      <c r="DT68" s="61">
        <f ca="1">AVERAGE(OFFSET($DS$3,0,0,'Données projet'!$E$14+1,1))-AVERAGE(OFFSET($H$3,0,0,'Données projet'!$E$14+1,1))</f>
        <v>312.06797204903796</v>
      </c>
      <c r="DU68" s="61">
        <f t="shared" si="44"/>
        <v>258.20189001775151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4.9272727272727277</v>
      </c>
      <c r="EJ68" s="13">
        <f>IF('Données projet'!$A$192&gt;35,EJ67+EI68-ER67,IF(A68&lt;'Données projet'!$A$192,$EG$205^A68,IF(A68='Données projet'!$A$192,'Données projet'!$B$192,EJ67+EI68-ER67)))</f>
        <v>217.76363636363646</v>
      </c>
      <c r="EK68" s="18">
        <f>EJ68*VLOOKUP('Données projet'!$B$15,Paramètres!$A$1:$I$89,3,0)*VLOOKUP('Données projet'!$B$15,Paramètres!$A$1:$I$89,5,0)</f>
        <v>176.6498618181819</v>
      </c>
      <c r="EL68" s="14">
        <f t="shared" si="45"/>
        <v>44.576029131036044</v>
      </c>
      <c r="EM68" s="22">
        <f t="shared" ref="EM68:EM131" si="73">(EK68+EL68)*0.475*44/12</f>
        <v>385.30176006988791</v>
      </c>
      <c r="EN68" s="61">
        <f t="shared" ref="EN68:EN131" si="74">EM68+(EE68+EF68)*44/12</f>
        <v>678.63509340322116</v>
      </c>
      <c r="EO68" s="61">
        <f ca="1">AVERAGE(OFFSET($EN$3,0,0,'Données projet'!$E$15+1,1))-AVERAGE(OFFSET($H$3,0,0,'Données projet'!$E$15+1,1))</f>
        <v>222.15256609836689</v>
      </c>
      <c r="EP68" s="61">
        <f t="shared" si="46"/>
        <v>221.10360210521077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8.6666666666666661</v>
      </c>
      <c r="FE68" s="13">
        <f>IF('Données projet'!$A$218&gt;35,FE67+FD68-FM67,IF(A68&lt;'Données projet'!$A$218,$FB$205^A68,IF(A68='Données projet'!$A$218,'Données projet'!$B$218,FE67+FD68-FM67)))</f>
        <v>293.33333333333337</v>
      </c>
      <c r="FF68" s="18">
        <f>FE68*VLOOKUP('Données projet'!$B$16,Paramètres!$A$1:$I$89,3,0)*VLOOKUP('Données projet'!$B$16,Paramètres!$A$1:$I$89,5,0)</f>
        <v>228.80000000000004</v>
      </c>
      <c r="FG68" s="14">
        <f t="shared" si="47"/>
        <v>56.023134533701196</v>
      </c>
      <c r="FH68" s="22">
        <f t="shared" ref="FH68:FH131" si="76">(FF68+FG68)*0.475*44/12</f>
        <v>496.06695931286299</v>
      </c>
      <c r="FI68" s="61">
        <f t="shared" ref="FI68:FI131" si="77">FH68+(EZ68+FA68)*44/12</f>
        <v>789.40029264619625</v>
      </c>
      <c r="FJ68" s="61">
        <f ca="1">AVERAGE(OFFSET($FI$3,0,0,'Données projet'!$E$16+1,1))-AVERAGE(OFFSET($H$3,0,0,'Données projet'!$E$16+1,1))</f>
        <v>292.57482726862594</v>
      </c>
      <c r="FK68" s="61">
        <f t="shared" si="48"/>
        <v>283.48738729114024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>
        <f>VLOOKUP(A68,'Données projet'!$A$243:$I$263,2,0)</f>
        <v>229</v>
      </c>
      <c r="FX68" s="13">
        <f>VLOOKUP(A68,'Données projet'!$A$243:$I$263,9,0)</f>
        <v>7.2</v>
      </c>
      <c r="FY68" s="13">
        <f t="array" ref="FY68">INDEX(FX:FX,MIN(IF(ISNUMBER(FX68:FX264),ROW(FX68:FX264),"")))</f>
        <v>7.2</v>
      </c>
      <c r="FZ68" s="13">
        <f>IF('Données projet'!$A$244&gt;35,FZ67+FY68-GH67,IF(A68&lt;'Données projet'!$A$244,$FW$205^A68,IF(A68='Données projet'!$A$244,'Données projet'!$B$244,FZ67+FY68-GH67)))</f>
        <v>228.99999999999991</v>
      </c>
      <c r="GA68" s="18">
        <f>FZ68*VLOOKUP('Données projet'!$B$17,Paramètres!$A$1:$I$89,3,0)*VLOOKUP('Données projet'!$B$17,Paramètres!$A$1:$I$89,5,0)</f>
        <v>221.48879999999991</v>
      </c>
      <c r="GB68" s="14">
        <f t="shared" si="49"/>
        <v>54.43834191952984</v>
      </c>
      <c r="GC68" s="22">
        <f t="shared" ref="GC68:GC131" si="79">(GA68+GB68)*0.475*44/12</f>
        <v>480.57310550984766</v>
      </c>
      <c r="GD68" s="61">
        <f t="shared" ref="GD68:GD131" si="80">GC68+(FU68+FV68)*44/12</f>
        <v>773.90643884318092</v>
      </c>
      <c r="GE68" s="61">
        <f ca="1">AVERAGE(OFFSET($GD$3,0,0,'Données projet'!$E$17+1,1))-AVERAGE(OFFSET($H$3,0,0,'Données projet'!$E$17+1,1))</f>
        <v>455.50822833641354</v>
      </c>
      <c r="GF68" s="61">
        <f t="shared" si="50"/>
        <v>261.14722581688039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0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0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>
        <f>VLOOKUP(A68,'Données projet'!$A$269:$I$289,2,0)</f>
        <v>229</v>
      </c>
      <c r="GS68" s="13">
        <f>VLOOKUP(A68,'Données projet'!$A$269:$I$289,9,0)</f>
        <v>7.2</v>
      </c>
      <c r="GT68" s="13">
        <f t="array" ref="GT68">INDEX(GS:GS,MIN(IF(ISNUMBER(GS68:GS264),ROW(GS68:GS264),"")))</f>
        <v>7.2</v>
      </c>
      <c r="GU68" s="13">
        <f>IF('Données projet'!$A$270&gt;35,GU67+GT68-HC67,IF(A68&lt;'Données projet'!$A$270,$GR$205^A68,IF(A68='Données projet'!$A$270,'Données projet'!$B$270,GU67+GT68-HC67)))</f>
        <v>228.99999999999991</v>
      </c>
      <c r="GV68" s="18">
        <f>GU68*VLOOKUP('Données projet'!$B$18,Paramètres!$A$1:$I$89,3,0)*VLOOKUP('Données projet'!$B$18,Paramètres!$A$1:$I$89,5,0)</f>
        <v>246.49559999999991</v>
      </c>
      <c r="GW68" s="14">
        <f t="shared" si="51"/>
        <v>59.834910912017278</v>
      </c>
      <c r="GX68" s="22">
        <f t="shared" ref="GX68:GX131" si="82">(GV68+GW68)*0.475*44/12</f>
        <v>533.52563983842992</v>
      </c>
      <c r="GY68" s="61">
        <f t="shared" ref="GY68:GY131" si="83">GX68+(GP68+GQ68)*44/12</f>
        <v>826.85897317176318</v>
      </c>
      <c r="GZ68" s="61">
        <f ca="1">AVERAGE(OFFSET($GY$3,0,0,'Données projet'!$E$18+1,1))-AVERAGE(OFFSET($H$3,0,0,'Données projet'!$E$18+1,1))</f>
        <v>502.07782026233912</v>
      </c>
      <c r="HA68" s="61">
        <f t="shared" si="52"/>
        <v>285.83623046025156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0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0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213.35183999999992</v>
      </c>
      <c r="P69" s="14">
        <f t="shared" ref="P69:P132" si="87">EXP(-1.0587+0.8836*LN(O69)+0.284)</f>
        <v>52.667370665417188</v>
      </c>
      <c r="Q69" s="22">
        <f t="shared" si="54"/>
        <v>463.31679190893482</v>
      </c>
      <c r="R69" s="61">
        <f t="shared" si="55"/>
        <v>756.65012524226813</v>
      </c>
      <c r="S69" s="61">
        <f ca="1">AVERAGE(OFFSET($R$3,0,0,'Données projet'!$E$9+1,1))-AVERAGE(OFFSET($H$3,0,0,'Données projet'!$E$9+1,1))</f>
        <v>428.8489304403459</v>
      </c>
      <c r="T69" s="61">
        <f t="shared" ref="T69:T132" si="88">$T$3</f>
        <v>247.01165577562966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1">
        <f t="shared" si="59"/>
        <v>811.21322649031208</v>
      </c>
      <c r="AN69" s="61">
        <f ca="1">AVERAGE(OFFSET($AM$3,0,0,'Données projet'!$E$10+1,1))-AVERAGE(OFFSET($H$3,0,0,'Données projet'!$E$10+1,1))</f>
        <v>475.47920969424894</v>
      </c>
      <c r="AO69" s="61">
        <f t="shared" ref="AO69:AO132" si="90">$AO$3</f>
        <v>271.73544012419364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13.857142857142858</v>
      </c>
      <c r="BD69" s="13">
        <f>IF('Données projet'!$A$88&gt;35,BD68+BC69-BL68,IF(A69&lt;'Données projet'!$A$88,$BA$205^A69,IF(A69='Données projet'!$A$88,'Données projet'!$B$88,BD68+BC69-BL68)))</f>
        <v>495.57142857142821</v>
      </c>
      <c r="BE69" s="14">
        <f>BD69*VLOOKUP('Données projet'!$B$11,Paramètres!$A$1:$I$89,3,0)*VLOOKUP('Données projet'!$B$11,Paramètres!$A$1:$I$89,5,0)</f>
        <v>277.02442857142842</v>
      </c>
      <c r="BF69" s="14">
        <f t="shared" ref="BF69:BF132" si="91">EXP(-1.0587+0.8836*LN(BE69)+0.284)</f>
        <v>66.337794630329327</v>
      </c>
      <c r="BG69" s="22">
        <f t="shared" si="61"/>
        <v>598.02253874306132</v>
      </c>
      <c r="BH69" s="61">
        <f t="shared" si="62"/>
        <v>891.35587207639469</v>
      </c>
      <c r="BI69" s="61">
        <f ca="1">AVERAGE(OFFSET($BH$3,0,0,'Données projet'!$E$11+1,1))-AVERAGE(OFFSET($H$3,0,0,'Données projet'!$E$11+1,1))</f>
        <v>374.79806286316051</v>
      </c>
      <c r="BJ69" s="61">
        <f t="shared" ref="BJ69:BJ132" si="92">$BJ$3</f>
        <v>350.01856672839466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8.2077809340412156</v>
      </c>
      <c r="BR69" s="23">
        <f>EXP(-LN(2)/2)*BR68+(1-EXP(-LN(2)/2))/(LN(2)/2)*BL69*BO69*VLOOKUP('Données projet'!$B$11,Paramètres!$A$1:$I$89,3,0)*0.475*44/12</f>
        <v>4.1991352240315574E-5</v>
      </c>
      <c r="BS69" s="24">
        <f t="shared" si="63"/>
        <v>8.2078229253934563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10.314743589743586</v>
      </c>
      <c r="BY69" s="13">
        <f>IF('Données projet'!$A$114&gt;35,BY68+BX69-CG68,IF(A69&lt;'Données projet'!$A$114,$BV$205^A69,IF(A69='Données projet'!$A$114,'Données projet'!$B$114,BY68+BX69-CG68)))</f>
        <v>285.92756410256425</v>
      </c>
      <c r="BZ69" s="14">
        <f>BY69*VLOOKUP('Données projet'!$B$12,Paramètres!$A$1:$I$89,3,0)*VLOOKUP('Données projet'!$B$12,Paramètres!$A$1:$I$89,5,0)</f>
        <v>133.81410000000005</v>
      </c>
      <c r="CA69" s="14">
        <f t="shared" ref="CA69:CA132" si="93">EXP(-1.0587+0.8836*LN(BZ69)+0.284)</f>
        <v>34.876197134679366</v>
      </c>
      <c r="CB69" s="22">
        <f t="shared" si="64"/>
        <v>293.8022675095666</v>
      </c>
      <c r="CC69" s="61">
        <f t="shared" si="65"/>
        <v>587.13560084289998</v>
      </c>
      <c r="CD69" s="61">
        <f ca="1">AVERAGE(OFFSET($CC$3,0,0,'Données projet'!$E$12+1,1))-AVERAGE(OFFSET($H$3,0,0,'Données projet'!$E$12+1,1))</f>
        <v>285.59863510278109</v>
      </c>
      <c r="CE69" s="61">
        <f t="shared" ref="CE69:CE132" si="94">$CE$3</f>
        <v>190.4880882944471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10.7</v>
      </c>
      <c r="CT69" s="13">
        <f>IF('Données projet'!$A$140&gt;35,CT68+CS69-DB68,IF(A69&lt;'Données projet'!$A$140,$CQ$205^A69,IF(A69='Données projet'!$A$140,'Données projet'!$B$140,CT68+CS69-DB68)))</f>
        <v>267.20000000000005</v>
      </c>
      <c r="CU69" s="18">
        <f>CT69*VLOOKUP('Données projet'!$B$13,Paramètres!$A$1:$I$89,3,0)*VLOOKUP('Données projet'!$B$13,Paramètres!$A$1:$I$89,5,0)</f>
        <v>128.52320000000003</v>
      </c>
      <c r="CV69" s="14">
        <f t="shared" ref="CV69:CV132" si="95">EXP(-1.0587+0.8836*LN(CU69)+0.284)</f>
        <v>33.654887637825418</v>
      </c>
      <c r="CW69" s="22">
        <f t="shared" si="67"/>
        <v>282.46016930254598</v>
      </c>
      <c r="CX69" s="61">
        <f t="shared" si="68"/>
        <v>575.79350263587935</v>
      </c>
      <c r="CY69" s="61">
        <f ca="1">AVERAGE(OFFSET($CX$3,0,0,'Données projet'!$E$13+1,1))-AVERAGE(OFFSET($H$3,0,0,'Données projet'!$E$13+1,1))</f>
        <v>273.72618036666552</v>
      </c>
      <c r="CZ69" s="61">
        <f t="shared" ref="CZ69:CZ132" si="96">$CZ$3</f>
        <v>157.67999791700714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4.9999999999999947</v>
      </c>
      <c r="DO69" s="13">
        <f>IF('Données projet'!$A$166&gt;35,DO68+DN69-DW68,IF(A69&lt;'Données projet'!$A$166,$DL$205^A69,IF(A69='Données projet'!$A$166,'Données projet'!$B$166,DO68+DN69-DW68)))</f>
        <v>245.38461538461544</v>
      </c>
      <c r="DP69" s="18">
        <f>DO69*VLOOKUP('Données projet'!$B$14,Paramètres!$A$1:$I$89,3,0)*VLOOKUP('Données projet'!$B$14,Paramètres!$A$1:$I$89,5,0)</f>
        <v>164.60400000000004</v>
      </c>
      <c r="DQ69" s="14">
        <f t="shared" ref="DQ69:DQ132" si="97">EXP(-1.0587+0.8836*LN(DP69)+0.284)</f>
        <v>41.879239712742802</v>
      </c>
      <c r="DR69" s="22">
        <f t="shared" si="70"/>
        <v>359.62497583302707</v>
      </c>
      <c r="DS69" s="61">
        <f t="shared" si="71"/>
        <v>652.95830916636032</v>
      </c>
      <c r="DT69" s="61">
        <f ca="1">AVERAGE(OFFSET($DS$3,0,0,'Données projet'!$E$14+1,1))-AVERAGE(OFFSET($H$3,0,0,'Données projet'!$E$14+1,1))</f>
        <v>312.06797204903796</v>
      </c>
      <c r="DU69" s="61">
        <f t="shared" ref="DU69:DU132" si="98">$DU$3</f>
        <v>258.20189001775151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4.9272727272727277</v>
      </c>
      <c r="EJ69" s="13">
        <f>IF('Données projet'!$A$192&gt;35,EJ68+EI69-ER68,IF(A69&lt;'Données projet'!$A$192,$EG$205^A69,IF(A69='Données projet'!$A$192,'Données projet'!$B$192,EJ68+EI69-ER68)))</f>
        <v>222.6909090909092</v>
      </c>
      <c r="EK69" s="18">
        <f>EJ69*VLOOKUP('Données projet'!$B$15,Paramètres!$A$1:$I$89,3,0)*VLOOKUP('Données projet'!$B$15,Paramètres!$A$1:$I$89,5,0)</f>
        <v>180.64686545454558</v>
      </c>
      <c r="EL69" s="14">
        <f t="shared" ref="EL69:EL132" si="99">EXP(-1.0587+0.8836*LN(EK69)+0.284)</f>
        <v>45.466071752176916</v>
      </c>
      <c r="EM69" s="22">
        <f t="shared" si="73"/>
        <v>393.81336563504169</v>
      </c>
      <c r="EN69" s="61">
        <f t="shared" si="74"/>
        <v>687.14669896837495</v>
      </c>
      <c r="EO69" s="61">
        <f ca="1">AVERAGE(OFFSET($EN$3,0,0,'Données projet'!$E$15+1,1))-AVERAGE(OFFSET($H$3,0,0,'Données projet'!$E$15+1,1))</f>
        <v>222.15256609836689</v>
      </c>
      <c r="EP69" s="61">
        <f t="shared" ref="EP69:EP132" si="100">$EP$3</f>
        <v>221.10360210521077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8.6666666666666661</v>
      </c>
      <c r="FE69" s="13">
        <f>IF('Données projet'!$A$218&gt;35,FE68+FD69-FM68,IF(A69&lt;'Données projet'!$A$218,$FB$205^A69,IF(A69='Données projet'!$A$218,'Données projet'!$B$218,FE68+FD69-FM68)))</f>
        <v>302.00000000000006</v>
      </c>
      <c r="FF69" s="18">
        <f>FE69*VLOOKUP('Données projet'!$B$16,Paramètres!$A$1:$I$89,3,0)*VLOOKUP('Données projet'!$B$16,Paramètres!$A$1:$I$89,5,0)</f>
        <v>235.56000000000006</v>
      </c>
      <c r="FG69" s="14">
        <f t="shared" ref="FG69:FG132" si="101">EXP(-1.0587+0.8836*LN(FF69)+0.284)</f>
        <v>57.483207143847771</v>
      </c>
      <c r="FH69" s="22">
        <f t="shared" si="76"/>
        <v>510.38358577553487</v>
      </c>
      <c r="FI69" s="61">
        <f t="shared" si="77"/>
        <v>803.71691910886818</v>
      </c>
      <c r="FJ69" s="61">
        <f ca="1">AVERAGE(OFFSET($FI$3,0,0,'Données projet'!$E$16+1,1))-AVERAGE(OFFSET($H$3,0,0,'Données projet'!$E$16+1,1))</f>
        <v>292.57482726862594</v>
      </c>
      <c r="FK69" s="61">
        <f t="shared" ref="FK69:FK132" si="102">$FK$3</f>
        <v>283.48738729114024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6.8</v>
      </c>
      <c r="FZ69" s="13">
        <f>IF('Données projet'!$A$244&gt;35,FZ68+FY69-GH68,IF(A69&lt;'Données projet'!$A$244,$FW$205^A69,IF(A69='Données projet'!$A$244,'Données projet'!$B$244,FZ68+FY69-GH68)))</f>
        <v>235.79999999999993</v>
      </c>
      <c r="GA69" s="18">
        <f>FZ69*VLOOKUP('Données projet'!$B$17,Paramètres!$A$1:$I$89,3,0)*VLOOKUP('Données projet'!$B$17,Paramètres!$A$1:$I$89,5,0)</f>
        <v>228.06575999999993</v>
      </c>
      <c r="GB69" s="14">
        <f t="shared" ref="GB69:GB132" si="103">EXP(-1.0587+0.8836*LN(GA69)+0.284)</f>
        <v>55.864248276798108</v>
      </c>
      <c r="GC69" s="22">
        <f t="shared" si="79"/>
        <v>494.51143108208981</v>
      </c>
      <c r="GD69" s="61">
        <f t="shared" si="80"/>
        <v>787.84476441542313</v>
      </c>
      <c r="GE69" s="61">
        <f ca="1">AVERAGE(OFFSET($GD$3,0,0,'Données projet'!$E$17+1,1))-AVERAGE(OFFSET($H$3,0,0,'Données projet'!$E$17+1,1))</f>
        <v>455.50822833641354</v>
      </c>
      <c r="GF69" s="61">
        <f t="shared" ref="GF69:GF132" si="104">$GF$3</f>
        <v>261.14722581688039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0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0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6.8</v>
      </c>
      <c r="GU69" s="13">
        <f>IF('Données projet'!$A$270&gt;35,GU68+GT69-HC68,IF(A69&lt;'Données projet'!$A$270,$GR$205^A69,IF(A69='Données projet'!$A$270,'Données projet'!$B$270,GU68+GT69-HC68)))</f>
        <v>235.79999999999993</v>
      </c>
      <c r="GV69" s="18">
        <f>GU69*VLOOKUP('Données projet'!$B$18,Paramètres!$A$1:$I$89,3,0)*VLOOKUP('Données projet'!$B$18,Paramètres!$A$1:$I$89,5,0)</f>
        <v>253.81511999999992</v>
      </c>
      <c r="GW69" s="14">
        <f t="shared" ref="GW69:GW132" si="105">EXP(-1.0587+0.8836*LN(GV69)+0.284)</f>
        <v>61.402169885153235</v>
      </c>
      <c r="GX69" s="22">
        <f t="shared" si="82"/>
        <v>549.00344654997514</v>
      </c>
      <c r="GY69" s="61">
        <f t="shared" si="83"/>
        <v>842.33677988330851</v>
      </c>
      <c r="GZ69" s="61">
        <f ca="1">AVERAGE(OFFSET($GY$3,0,0,'Données projet'!$E$18+1,1))-AVERAGE(OFFSET($H$3,0,0,'Données projet'!$E$18+1,1))</f>
        <v>502.07782026233912</v>
      </c>
      <c r="HA69" s="61">
        <f t="shared" ref="HA69:HA132" si="106">$HA$3</f>
        <v>285.83623046025156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0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0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219.50447999999992</v>
      </c>
      <c r="P70" s="14">
        <f t="shared" si="87"/>
        <v>54.007172767040167</v>
      </c>
      <c r="Q70" s="22">
        <f t="shared" si="54"/>
        <v>476.36612856926143</v>
      </c>
      <c r="R70" s="61">
        <f t="shared" si="55"/>
        <v>769.69946190259475</v>
      </c>
      <c r="S70" s="61">
        <f ca="1">AVERAGE(OFFSET($R$3,0,0,'Données projet'!$E$9+1,1))-AVERAGE(OFFSET($H$3,0,0,'Données projet'!$E$9+1,1))</f>
        <v>428.8489304403459</v>
      </c>
      <c r="T70" s="61">
        <f t="shared" si="88"/>
        <v>247.01165577562966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1">
        <f t="shared" si="59"/>
        <v>825.80302750779379</v>
      </c>
      <c r="AN70" s="61">
        <f ca="1">AVERAGE(OFFSET($AM$3,0,0,'Données projet'!$E$10+1,1))-AVERAGE(OFFSET($H$3,0,0,'Données projet'!$E$10+1,1))</f>
        <v>475.47920969424894</v>
      </c>
      <c r="AO70" s="61">
        <f t="shared" si="90"/>
        <v>271.73544012419364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13.857142857142858</v>
      </c>
      <c r="BD70" s="13">
        <f>IF('Données projet'!$A$88&gt;35,BD69+BC70-BL69,IF(A70&lt;'Données projet'!$A$88,$BA$205^A70,IF(A70='Données projet'!$A$88,'Données projet'!$B$88,BD69+BC70-BL69)))</f>
        <v>509.42857142857105</v>
      </c>
      <c r="BE70" s="14">
        <f>BD70*VLOOKUP('Données projet'!$B$11,Paramètres!$A$1:$I$89,3,0)*VLOOKUP('Données projet'!$B$11,Paramètres!$A$1:$I$89,5,0)</f>
        <v>284.77057142857126</v>
      </c>
      <c r="BF70" s="14">
        <f t="shared" si="91"/>
        <v>67.974174355789401</v>
      </c>
      <c r="BG70" s="22">
        <f t="shared" si="61"/>
        <v>614.36376557442816</v>
      </c>
      <c r="BH70" s="61">
        <f t="shared" si="62"/>
        <v>907.69709890776153</v>
      </c>
      <c r="BI70" s="61">
        <f ca="1">AVERAGE(OFFSET($BH$3,0,0,'Données projet'!$E$11+1,1))-AVERAGE(OFFSET($H$3,0,0,'Données projet'!$E$11+1,1))</f>
        <v>374.79806286316051</v>
      </c>
      <c r="BJ70" s="61">
        <f t="shared" si="92"/>
        <v>350.01856672839466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7.9833387327714185</v>
      </c>
      <c r="BR70" s="23">
        <f>EXP(-LN(2)/2)*BR69+(1-EXP(-LN(2)/2))/(LN(2)/2)*BL70*BO70*VLOOKUP('Données projet'!$B$11,Paramètres!$A$1:$I$89,3,0)*0.475*44/12</f>
        <v>2.969236992032007E-5</v>
      </c>
      <c r="BS70" s="24">
        <f t="shared" si="63"/>
        <v>7.9833684251413386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10.314743589743586</v>
      </c>
      <c r="BY70" s="13">
        <f>IF('Données projet'!$A$114&gt;35,BY69+BX70-CG69,IF(A70&lt;'Données projet'!$A$114,$BV$205^A70,IF(A70='Données projet'!$A$114,'Données projet'!$B$114,BY69+BX70-CG69)))</f>
        <v>296.2423076923078</v>
      </c>
      <c r="BZ70" s="14">
        <f>BY70*VLOOKUP('Données projet'!$B$12,Paramètres!$A$1:$I$89,3,0)*VLOOKUP('Données projet'!$B$12,Paramètres!$A$1:$I$89,5,0)</f>
        <v>138.64140000000006</v>
      </c>
      <c r="CA70" s="14">
        <f t="shared" si="93"/>
        <v>35.985592892108897</v>
      </c>
      <c r="CB70" s="22">
        <f t="shared" si="64"/>
        <v>304.14201262042309</v>
      </c>
      <c r="CC70" s="61">
        <f t="shared" si="65"/>
        <v>597.47534595375646</v>
      </c>
      <c r="CD70" s="61">
        <f ca="1">AVERAGE(OFFSET($CC$3,0,0,'Données projet'!$E$12+1,1))-AVERAGE(OFFSET($H$3,0,0,'Données projet'!$E$12+1,1))</f>
        <v>285.59863510278109</v>
      </c>
      <c r="CE70" s="61">
        <f t="shared" si="94"/>
        <v>190.4880882944471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10.7</v>
      </c>
      <c r="CT70" s="13">
        <f>IF('Données projet'!$A$140&gt;35,CT69+CS70-DB69,IF(A70&lt;'Données projet'!$A$140,$CQ$205^A70,IF(A70='Données projet'!$A$140,'Données projet'!$B$140,CT69+CS70-DB69)))</f>
        <v>277.90000000000003</v>
      </c>
      <c r="CU70" s="18">
        <f>CT70*VLOOKUP('Données projet'!$B$13,Paramètres!$A$1:$I$89,3,0)*VLOOKUP('Données projet'!$B$13,Paramètres!$A$1:$I$89,5,0)</f>
        <v>133.66990000000001</v>
      </c>
      <c r="CV70" s="14">
        <f t="shared" si="95"/>
        <v>34.842986631043665</v>
      </c>
      <c r="CW70" s="22">
        <f t="shared" si="67"/>
        <v>293.49327754906773</v>
      </c>
      <c r="CX70" s="61">
        <f t="shared" si="68"/>
        <v>586.82661088240104</v>
      </c>
      <c r="CY70" s="61">
        <f ca="1">AVERAGE(OFFSET($CX$3,0,0,'Données projet'!$E$13+1,1))-AVERAGE(OFFSET($H$3,0,0,'Données projet'!$E$13+1,1))</f>
        <v>273.72618036666552</v>
      </c>
      <c r="CZ70" s="61">
        <f t="shared" si="96"/>
        <v>157.67999791700714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4.9999999999999947</v>
      </c>
      <c r="DO70" s="13">
        <f>IF('Données projet'!$A$166&gt;35,DO69+DN70-DW69,IF(A70&lt;'Données projet'!$A$166,$DL$205^A70,IF(A70='Données projet'!$A$166,'Données projet'!$B$166,DO69+DN70-DW69)))</f>
        <v>250.38461538461544</v>
      </c>
      <c r="DP70" s="18">
        <f>DO70*VLOOKUP('Données projet'!$B$14,Paramètres!$A$1:$I$89,3,0)*VLOOKUP('Données projet'!$B$14,Paramètres!$A$1:$I$89,5,0)</f>
        <v>167.95800000000006</v>
      </c>
      <c r="DQ70" s="14">
        <f t="shared" si="97"/>
        <v>42.632362356023975</v>
      </c>
      <c r="DR70" s="22">
        <f t="shared" si="70"/>
        <v>366.77821443674179</v>
      </c>
      <c r="DS70" s="61">
        <f t="shared" si="71"/>
        <v>660.11154777007505</v>
      </c>
      <c r="DT70" s="61">
        <f ca="1">AVERAGE(OFFSET($DS$3,0,0,'Données projet'!$E$14+1,1))-AVERAGE(OFFSET($H$3,0,0,'Données projet'!$E$14+1,1))</f>
        <v>312.06797204903796</v>
      </c>
      <c r="DU70" s="61">
        <f t="shared" si="98"/>
        <v>258.20189001775151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4.9272727272727277</v>
      </c>
      <c r="EJ70" s="13">
        <f>IF('Données projet'!$A$192&gt;35,EJ69+EI70-ER69,IF(A70&lt;'Données projet'!$A$192,$EG$205^A70,IF(A70='Données projet'!$A$192,'Données projet'!$B$192,EJ69+EI70-ER69)))</f>
        <v>227.61818181818194</v>
      </c>
      <c r="EK70" s="18">
        <f>EJ70*VLOOKUP('Données projet'!$B$15,Paramètres!$A$1:$I$89,3,0)*VLOOKUP('Données projet'!$B$15,Paramètres!$A$1:$I$89,5,0)</f>
        <v>184.64386909090919</v>
      </c>
      <c r="EL70" s="14">
        <f t="shared" si="99"/>
        <v>46.353824843961107</v>
      </c>
      <c r="EM70" s="22">
        <f t="shared" si="73"/>
        <v>402.32098360323243</v>
      </c>
      <c r="EN70" s="61">
        <f t="shared" si="74"/>
        <v>695.65431693656569</v>
      </c>
      <c r="EO70" s="61">
        <f ca="1">AVERAGE(OFFSET($EN$3,0,0,'Données projet'!$E$15+1,1))-AVERAGE(OFFSET($H$3,0,0,'Données projet'!$E$15+1,1))</f>
        <v>222.15256609836689</v>
      </c>
      <c r="EP70" s="61">
        <f t="shared" si="100"/>
        <v>221.10360210521077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8.6666666666666661</v>
      </c>
      <c r="FE70" s="13">
        <f>IF('Données projet'!$A$218&gt;35,FE69+FD70-FM69,IF(A70&lt;'Données projet'!$A$218,$FB$205^A70,IF(A70='Données projet'!$A$218,'Données projet'!$B$218,FE69+FD70-FM69)))</f>
        <v>310.66666666666674</v>
      </c>
      <c r="FF70" s="18">
        <f>FE70*VLOOKUP('Données projet'!$B$16,Paramètres!$A$1:$I$89,3,0)*VLOOKUP('Données projet'!$B$16,Paramètres!$A$1:$I$89,5,0)</f>
        <v>242.32000000000008</v>
      </c>
      <c r="FG70" s="14">
        <f t="shared" si="101"/>
        <v>58.938409961900909</v>
      </c>
      <c r="FH70" s="22">
        <f t="shared" si="76"/>
        <v>524.69173068364421</v>
      </c>
      <c r="FI70" s="61">
        <f t="shared" si="77"/>
        <v>818.02506401697747</v>
      </c>
      <c r="FJ70" s="61">
        <f ca="1">AVERAGE(OFFSET($FI$3,0,0,'Données projet'!$E$16+1,1))-AVERAGE(OFFSET($H$3,0,0,'Données projet'!$E$16+1,1))</f>
        <v>292.57482726862594</v>
      </c>
      <c r="FK70" s="61">
        <f t="shared" si="102"/>
        <v>283.48738729114024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6.8</v>
      </c>
      <c r="FZ70" s="13">
        <f>IF('Données projet'!$A$244&gt;35,FZ69+FY70-GH69,IF(A70&lt;'Données projet'!$A$244,$FW$205^A70,IF(A70='Données projet'!$A$244,'Données projet'!$B$244,FZ69+FY70-GH69)))</f>
        <v>242.59999999999994</v>
      </c>
      <c r="GA70" s="18">
        <f>FZ70*VLOOKUP('Données projet'!$B$17,Paramètres!$A$1:$I$89,3,0)*VLOOKUP('Données projet'!$B$17,Paramètres!$A$1:$I$89,5,0)</f>
        <v>234.64271999999994</v>
      </c>
      <c r="GB70" s="14">
        <f t="shared" si="103"/>
        <v>57.285375557336316</v>
      </c>
      <c r="GC70" s="22">
        <f t="shared" si="79"/>
        <v>508.44143309569387</v>
      </c>
      <c r="GD70" s="61">
        <f t="shared" si="80"/>
        <v>801.77476642902718</v>
      </c>
      <c r="GE70" s="61">
        <f ca="1">AVERAGE(OFFSET($GD$3,0,0,'Données projet'!$E$17+1,1))-AVERAGE(OFFSET($H$3,0,0,'Données projet'!$E$17+1,1))</f>
        <v>455.50822833641354</v>
      </c>
      <c r="GF70" s="61">
        <f t="shared" si="104"/>
        <v>261.14722581688039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0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0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6.8</v>
      </c>
      <c r="GU70" s="13">
        <f>IF('Données projet'!$A$270&gt;35,GU69+GT70-HC69,IF(A70&lt;'Données projet'!$A$270,$GR$205^A70,IF(A70='Données projet'!$A$270,'Données projet'!$B$270,GU69+GT70-HC69)))</f>
        <v>242.59999999999994</v>
      </c>
      <c r="GV70" s="18">
        <f>GU70*VLOOKUP('Données projet'!$B$18,Paramètres!$A$1:$I$89,3,0)*VLOOKUP('Données projet'!$B$18,Paramètres!$A$1:$I$89,5,0)</f>
        <v>261.13463999999993</v>
      </c>
      <c r="GW70" s="14">
        <f t="shared" si="105"/>
        <v>62.964176023241265</v>
      </c>
      <c r="GX70" s="22">
        <f t="shared" si="82"/>
        <v>564.47210457381163</v>
      </c>
      <c r="GY70" s="61">
        <f t="shared" si="83"/>
        <v>857.80543790714501</v>
      </c>
      <c r="GZ70" s="61">
        <f ca="1">AVERAGE(OFFSET($GY$3,0,0,'Données projet'!$E$18+1,1))-AVERAGE(OFFSET($H$3,0,0,'Données projet'!$E$18+1,1))</f>
        <v>502.07782026233912</v>
      </c>
      <c r="HA70" s="61">
        <f t="shared" si="106"/>
        <v>285.83623046025156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0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0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225.65711999999994</v>
      </c>
      <c r="P71" s="14">
        <f t="shared" si="87"/>
        <v>55.342610076561513</v>
      </c>
      <c r="Q71" s="22">
        <f t="shared" si="54"/>
        <v>489.40786321667775</v>
      </c>
      <c r="R71" s="61">
        <f t="shared" si="55"/>
        <v>782.74119655001107</v>
      </c>
      <c r="S71" s="61">
        <f ca="1">AVERAGE(OFFSET($R$3,0,0,'Données projet'!$E$9+1,1))-AVERAGE(OFFSET($H$3,0,0,'Données projet'!$E$9+1,1))</f>
        <v>428.8489304403459</v>
      </c>
      <c r="T71" s="61">
        <f t="shared" si="88"/>
        <v>247.01165577562966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1">
        <f t="shared" si="59"/>
        <v>840.38442127706139</v>
      </c>
      <c r="AN71" s="61">
        <f ca="1">AVERAGE(OFFSET($AM$3,0,0,'Données projet'!$E$10+1,1))-AVERAGE(OFFSET($H$3,0,0,'Données projet'!$E$10+1,1))</f>
        <v>475.47920969424894</v>
      </c>
      <c r="AO71" s="61">
        <f t="shared" si="90"/>
        <v>271.73544012419364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13.857142857142858</v>
      </c>
      <c r="BD71" s="13">
        <f>IF('Données projet'!$A$88&gt;35,BD70+BC71-BL70,IF(A71&lt;'Données projet'!$A$88,$BA$205^A71,IF(A71='Données projet'!$A$88,'Données projet'!$B$88,BD70+BC71-BL70)))</f>
        <v>523.28571428571388</v>
      </c>
      <c r="BE71" s="14">
        <f>BD71*VLOOKUP('Données projet'!$B$11,Paramètres!$A$1:$I$89,3,0)*VLOOKUP('Données projet'!$B$11,Paramètres!$A$1:$I$89,5,0)</f>
        <v>292.5167142857141</v>
      </c>
      <c r="BF71" s="14">
        <f t="shared" si="91"/>
        <v>69.605380435295899</v>
      </c>
      <c r="BG71" s="22">
        <f t="shared" si="61"/>
        <v>630.69598163909245</v>
      </c>
      <c r="BH71" s="61">
        <f t="shared" si="62"/>
        <v>924.02931497242571</v>
      </c>
      <c r="BI71" s="61">
        <f ca="1">AVERAGE(OFFSET($BH$3,0,0,'Données projet'!$E$11+1,1))-AVERAGE(OFFSET($H$3,0,0,'Données projet'!$E$11+1,1))</f>
        <v>374.79806286316051</v>
      </c>
      <c r="BJ71" s="61">
        <f t="shared" si="92"/>
        <v>350.01856672839466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7.7650339152982459</v>
      </c>
      <c r="BR71" s="23">
        <f>EXP(-LN(2)/2)*BR70+(1-EXP(-LN(2)/2))/(LN(2)/2)*BL71*BO71*VLOOKUP('Données projet'!$B$11,Paramètres!$A$1:$I$89,3,0)*0.475*44/12</f>
        <v>2.0995676120157791E-5</v>
      </c>
      <c r="BS71" s="24">
        <f t="shared" si="63"/>
        <v>7.7650549109743663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10.314743589743586</v>
      </c>
      <c r="BY71" s="13">
        <f>IF('Données projet'!$A$114&gt;35,BY70+BX71-CG70,IF(A71&lt;'Données projet'!$A$114,$BV$205^A71,IF(A71='Données projet'!$A$114,'Données projet'!$B$114,BY70+BX71-CG70)))</f>
        <v>306.55705128205136</v>
      </c>
      <c r="BZ71" s="14">
        <f>BY71*VLOOKUP('Données projet'!$B$12,Paramètres!$A$1:$I$89,3,0)*VLOOKUP('Données projet'!$B$12,Paramètres!$A$1:$I$89,5,0)</f>
        <v>143.46870000000004</v>
      </c>
      <c r="CA71" s="14">
        <f t="shared" si="93"/>
        <v>37.090500536695608</v>
      </c>
      <c r="CB71" s="22">
        <f t="shared" si="64"/>
        <v>314.47394093474492</v>
      </c>
      <c r="CC71" s="61">
        <f t="shared" si="65"/>
        <v>607.80727426807823</v>
      </c>
      <c r="CD71" s="61">
        <f ca="1">AVERAGE(OFFSET($CC$3,0,0,'Données projet'!$E$12+1,1))-AVERAGE(OFFSET($H$3,0,0,'Données projet'!$E$12+1,1))</f>
        <v>285.59863510278109</v>
      </c>
      <c r="CE71" s="61">
        <f t="shared" si="94"/>
        <v>190.4880882944471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10.7</v>
      </c>
      <c r="CT71" s="13">
        <f>IF('Données projet'!$A$140&gt;35,CT70+CS71-DB70,IF(A71&lt;'Données projet'!$A$140,$CQ$205^A71,IF(A71='Données projet'!$A$140,'Données projet'!$B$140,CT70+CS71-DB70)))</f>
        <v>288.60000000000002</v>
      </c>
      <c r="CU71" s="18">
        <f>CT71*VLOOKUP('Données projet'!$B$13,Paramètres!$A$1:$I$89,3,0)*VLOOKUP('Données projet'!$B$13,Paramètres!$A$1:$I$89,5,0)</f>
        <v>138.81660000000002</v>
      </c>
      <c r="CV71" s="14">
        <f t="shared" si="95"/>
        <v>36.025771381937396</v>
      </c>
      <c r="CW71" s="22">
        <f t="shared" si="67"/>
        <v>304.51713015687432</v>
      </c>
      <c r="CX71" s="61">
        <f t="shared" si="68"/>
        <v>597.85046349020763</v>
      </c>
      <c r="CY71" s="61">
        <f ca="1">AVERAGE(OFFSET($CX$3,0,0,'Données projet'!$E$13+1,1))-AVERAGE(OFFSET($H$3,0,0,'Données projet'!$E$13+1,1))</f>
        <v>273.72618036666552</v>
      </c>
      <c r="CZ71" s="61">
        <f t="shared" si="96"/>
        <v>157.67999791700714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4.9999999999999947</v>
      </c>
      <c r="DO71" s="13">
        <f>IF('Données projet'!$A$166&gt;35,DO70+DN71-DW70,IF(A71&lt;'Données projet'!$A$166,$DL$205^A71,IF(A71='Données projet'!$A$166,'Données projet'!$B$166,DO70+DN71-DW70)))</f>
        <v>255.38461538461544</v>
      </c>
      <c r="DP71" s="18">
        <f>DO71*VLOOKUP('Données projet'!$B$14,Paramètres!$A$1:$I$89,3,0)*VLOOKUP('Données projet'!$B$14,Paramètres!$A$1:$I$89,5,0)</f>
        <v>171.31200000000004</v>
      </c>
      <c r="DQ71" s="14">
        <f t="shared" si="97"/>
        <v>43.383736333098376</v>
      </c>
      <c r="DR71" s="22">
        <f t="shared" si="70"/>
        <v>373.92840744681308</v>
      </c>
      <c r="DS71" s="61">
        <f t="shared" si="71"/>
        <v>667.2617407801464</v>
      </c>
      <c r="DT71" s="61">
        <f ca="1">AVERAGE(OFFSET($DS$3,0,0,'Données projet'!$E$14+1,1))-AVERAGE(OFFSET($H$3,0,0,'Données projet'!$E$14+1,1))</f>
        <v>312.06797204903796</v>
      </c>
      <c r="DU71" s="61">
        <f t="shared" si="98"/>
        <v>258.20189001775151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4.9272727272727277</v>
      </c>
      <c r="EJ71" s="13">
        <f>IF('Données projet'!$A$192&gt;35,EJ70+EI71-ER70,IF(A71&lt;'Données projet'!$A$192,$EG$205^A71,IF(A71='Données projet'!$A$192,'Données projet'!$B$192,EJ70+EI71-ER70)))</f>
        <v>232.54545454545467</v>
      </c>
      <c r="EK71" s="18">
        <f>EJ71*VLOOKUP('Données projet'!$B$15,Paramètres!$A$1:$I$89,3,0)*VLOOKUP('Données projet'!$B$15,Paramètres!$A$1:$I$89,5,0)</f>
        <v>188.64087272727284</v>
      </c>
      <c r="EL71" s="14">
        <f t="shared" si="99"/>
        <v>47.239343676097278</v>
      </c>
      <c r="EM71" s="22">
        <f t="shared" si="73"/>
        <v>410.82471023586959</v>
      </c>
      <c r="EN71" s="61">
        <f t="shared" si="74"/>
        <v>704.15804356920285</v>
      </c>
      <c r="EO71" s="61">
        <f ca="1">AVERAGE(OFFSET($EN$3,0,0,'Données projet'!$E$15+1,1))-AVERAGE(OFFSET($H$3,0,0,'Données projet'!$E$15+1,1))</f>
        <v>222.15256609836689</v>
      </c>
      <c r="EP71" s="61">
        <f t="shared" si="100"/>
        <v>221.10360210521077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8.6666666666666661</v>
      </c>
      <c r="FE71" s="13">
        <f>IF('Données projet'!$A$218&gt;35,FE70+FD71-FM70,IF(A71&lt;'Données projet'!$A$218,$FB$205^A71,IF(A71='Données projet'!$A$218,'Données projet'!$B$218,FE70+FD71-FM70)))</f>
        <v>319.33333333333343</v>
      </c>
      <c r="FF71" s="18">
        <f>FE71*VLOOKUP('Données projet'!$B$16,Paramètres!$A$1:$I$89,3,0)*VLOOKUP('Données projet'!$B$16,Paramètres!$A$1:$I$89,5,0)</f>
        <v>249.08000000000007</v>
      </c>
      <c r="FG71" s="14">
        <f t="shared" si="101"/>
        <v>60.388894447487807</v>
      </c>
      <c r="FH71" s="22">
        <f t="shared" si="76"/>
        <v>538.99165782937473</v>
      </c>
      <c r="FI71" s="61">
        <f t="shared" si="77"/>
        <v>832.3249911627081</v>
      </c>
      <c r="FJ71" s="61">
        <f ca="1">AVERAGE(OFFSET($FI$3,0,0,'Données projet'!$E$16+1,1))-AVERAGE(OFFSET($H$3,0,0,'Données projet'!$E$16+1,1))</f>
        <v>292.57482726862594</v>
      </c>
      <c r="FK71" s="61">
        <f t="shared" si="102"/>
        <v>283.48738729114024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6.8</v>
      </c>
      <c r="FZ71" s="13">
        <f>IF('Données projet'!$A$244&gt;35,FZ70+FY71-GH70,IF(A71&lt;'Données projet'!$A$244,$FW$205^A71,IF(A71='Données projet'!$A$244,'Données projet'!$B$244,FZ70+FY71-GH70)))</f>
        <v>249.39999999999995</v>
      </c>
      <c r="GA71" s="18">
        <f>FZ71*VLOOKUP('Données projet'!$B$17,Paramètres!$A$1:$I$89,3,0)*VLOOKUP('Données projet'!$B$17,Paramètres!$A$1:$I$89,5,0)</f>
        <v>241.21967999999995</v>
      </c>
      <c r="GB71" s="14">
        <f t="shared" si="103"/>
        <v>58.701873105526744</v>
      </c>
      <c r="GC71" s="22">
        <f t="shared" si="79"/>
        <v>522.36337165879229</v>
      </c>
      <c r="GD71" s="61">
        <f t="shared" si="80"/>
        <v>815.69670499212566</v>
      </c>
      <c r="GE71" s="61">
        <f ca="1">AVERAGE(OFFSET($GD$3,0,0,'Données projet'!$E$17+1,1))-AVERAGE(OFFSET($H$3,0,0,'Données projet'!$E$17+1,1))</f>
        <v>455.50822833641354</v>
      </c>
      <c r="GF71" s="61">
        <f t="shared" si="104"/>
        <v>261.14722581688039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0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0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6.8</v>
      </c>
      <c r="GU71" s="13">
        <f>IF('Données projet'!$A$270&gt;35,GU70+GT71-HC70,IF(A71&lt;'Données projet'!$A$270,$GR$205^A71,IF(A71='Données projet'!$A$270,'Données projet'!$B$270,GU70+GT71-HC70)))</f>
        <v>249.39999999999995</v>
      </c>
      <c r="GV71" s="18">
        <f>GU71*VLOOKUP('Données projet'!$B$18,Paramètres!$A$1:$I$89,3,0)*VLOOKUP('Données projet'!$B$18,Paramètres!$A$1:$I$89,5,0)</f>
        <v>268.45415999999994</v>
      </c>
      <c r="GW71" s="14">
        <f t="shared" si="105"/>
        <v>64.521093475436089</v>
      </c>
      <c r="GX71" s="22">
        <f t="shared" si="82"/>
        <v>579.93189980305101</v>
      </c>
      <c r="GY71" s="61">
        <f t="shared" si="83"/>
        <v>873.26523313638427</v>
      </c>
      <c r="GZ71" s="61">
        <f ca="1">AVERAGE(OFFSET($GY$3,0,0,'Données projet'!$E$18+1,1))-AVERAGE(OFFSET($H$3,0,0,'Données projet'!$E$18+1,1))</f>
        <v>502.07782026233912</v>
      </c>
      <c r="HA71" s="61">
        <f t="shared" si="106"/>
        <v>285.83623046025156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0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0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231.80975999999993</v>
      </c>
      <c r="P72" s="14">
        <f t="shared" si="87"/>
        <v>56.673815277159328</v>
      </c>
      <c r="Q72" s="22">
        <f t="shared" si="54"/>
        <v>502.44222694105241</v>
      </c>
      <c r="R72" s="61">
        <f t="shared" si="55"/>
        <v>795.77556027438573</v>
      </c>
      <c r="S72" s="61">
        <f ca="1">AVERAGE(OFFSET($R$3,0,0,'Données projet'!$E$9+1,1))-AVERAGE(OFFSET($H$3,0,0,'Données projet'!$E$9+1,1))</f>
        <v>428.8489304403459</v>
      </c>
      <c r="T72" s="61">
        <f t="shared" si="88"/>
        <v>247.01165577562966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1">
        <f t="shared" si="59"/>
        <v>854.95766336593738</v>
      </c>
      <c r="AN72" s="61">
        <f ca="1">AVERAGE(OFFSET($AM$3,0,0,'Données projet'!$E$10+1,1))-AVERAGE(OFFSET($H$3,0,0,'Données projet'!$E$10+1,1))</f>
        <v>475.47920969424894</v>
      </c>
      <c r="AO72" s="61">
        <f t="shared" si="90"/>
        <v>271.73544012419364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13.857142857142858</v>
      </c>
      <c r="BD72" s="13">
        <f>IF('Données projet'!$A$88&gt;35,BD71+BC72-BL71,IF(A72&lt;'Données projet'!$A$88,$BA$205^A72,IF(A72='Données projet'!$A$88,'Données projet'!$B$88,BD71+BC72-BL71)))</f>
        <v>537.14285714285677</v>
      </c>
      <c r="BE72" s="14">
        <f>BD72*VLOOKUP('Données projet'!$B$11,Paramètres!$A$1:$I$89,3,0)*VLOOKUP('Données projet'!$B$11,Paramètres!$A$1:$I$89,5,0)</f>
        <v>300.26285714285694</v>
      </c>
      <c r="BF72" s="14">
        <f t="shared" si="91"/>
        <v>71.231565620163408</v>
      </c>
      <c r="BG72" s="22">
        <f t="shared" si="61"/>
        <v>647.01945297892712</v>
      </c>
      <c r="BH72" s="61">
        <f t="shared" si="62"/>
        <v>940.35278631226038</v>
      </c>
      <c r="BI72" s="61">
        <f ca="1">AVERAGE(OFFSET($BH$3,0,0,'Données projet'!$E$11+1,1))-AVERAGE(OFFSET($H$3,0,0,'Données projet'!$E$11+1,1))</f>
        <v>374.79806286316051</v>
      </c>
      <c r="BJ72" s="61">
        <f t="shared" si="92"/>
        <v>350.01856672839466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7.5526986545390287</v>
      </c>
      <c r="BR72" s="23">
        <f>EXP(-LN(2)/2)*BR71+(1-EXP(-LN(2)/2))/(LN(2)/2)*BL72*BO72*VLOOKUP('Données projet'!$B$11,Paramètres!$A$1:$I$89,3,0)*0.475*44/12</f>
        <v>1.4846184960160037E-5</v>
      </c>
      <c r="BS72" s="24">
        <f t="shared" si="63"/>
        <v>7.5527135007239892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10.314743589743586</v>
      </c>
      <c r="BY72" s="13">
        <f>IF('Données projet'!$A$114&gt;35,BY71+BX72-CG71,IF(A72&lt;'Données projet'!$A$114,$BV$205^A72,IF(A72='Données projet'!$A$114,'Données projet'!$B$114,BY71+BX72-CG71)))</f>
        <v>316.87179487179492</v>
      </c>
      <c r="BZ72" s="14">
        <f>BY72*VLOOKUP('Données projet'!$B$12,Paramètres!$A$1:$I$89,3,0)*VLOOKUP('Données projet'!$B$12,Paramètres!$A$1:$I$89,5,0)</f>
        <v>148.29600000000002</v>
      </c>
      <c r="CA72" s="14">
        <f t="shared" si="93"/>
        <v>38.19108839282633</v>
      </c>
      <c r="CB72" s="22">
        <f t="shared" si="64"/>
        <v>324.7983456175059</v>
      </c>
      <c r="CC72" s="61">
        <f t="shared" si="65"/>
        <v>618.13167895083916</v>
      </c>
      <c r="CD72" s="61">
        <f ca="1">AVERAGE(OFFSET($CC$3,0,0,'Données projet'!$E$12+1,1))-AVERAGE(OFFSET($H$3,0,0,'Données projet'!$E$12+1,1))</f>
        <v>285.59863510278109</v>
      </c>
      <c r="CE72" s="61">
        <f t="shared" si="94"/>
        <v>190.4880882944471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10.7</v>
      </c>
      <c r="CT72" s="13">
        <f>IF('Données projet'!$A$140&gt;35,CT71+CS72-DB71,IF(A72&lt;'Données projet'!$A$140,$CQ$205^A72,IF(A72='Données projet'!$A$140,'Données projet'!$B$140,CT71+CS72-DB71)))</f>
        <v>299.3</v>
      </c>
      <c r="CU72" s="18">
        <f>CT72*VLOOKUP('Données projet'!$B$13,Paramètres!$A$1:$I$89,3,0)*VLOOKUP('Données projet'!$B$13,Paramètres!$A$1:$I$89,5,0)</f>
        <v>143.9633</v>
      </c>
      <c r="CV72" s="14">
        <f t="shared" si="95"/>
        <v>37.203461481418849</v>
      </c>
      <c r="CW72" s="22">
        <f t="shared" si="67"/>
        <v>315.53210958013784</v>
      </c>
      <c r="CX72" s="61">
        <f t="shared" si="68"/>
        <v>608.86544291347116</v>
      </c>
      <c r="CY72" s="61">
        <f ca="1">AVERAGE(OFFSET($CX$3,0,0,'Données projet'!$E$13+1,1))-AVERAGE(OFFSET($H$3,0,0,'Données projet'!$E$13+1,1))</f>
        <v>273.72618036666552</v>
      </c>
      <c r="CZ72" s="61">
        <f t="shared" si="96"/>
        <v>157.67999791700714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4.9999999999999947</v>
      </c>
      <c r="DO72" s="13">
        <f>IF('Données projet'!$A$166&gt;35,DO71+DN72-DW71,IF(A72&lt;'Données projet'!$A$166,$DL$205^A72,IF(A72='Données projet'!$A$166,'Données projet'!$B$166,DO71+DN72-DW71)))</f>
        <v>260.38461538461542</v>
      </c>
      <c r="DP72" s="18">
        <f>DO72*VLOOKUP('Données projet'!$B$14,Paramètres!$A$1:$I$89,3,0)*VLOOKUP('Données projet'!$B$14,Paramètres!$A$1:$I$89,5,0)</f>
        <v>174.66600000000003</v>
      </c>
      <c r="DQ72" s="14">
        <f t="shared" si="97"/>
        <v>44.133399826367565</v>
      </c>
      <c r="DR72" s="22">
        <f t="shared" si="70"/>
        <v>381.0756213642569</v>
      </c>
      <c r="DS72" s="61">
        <f t="shared" si="71"/>
        <v>674.40895469759016</v>
      </c>
      <c r="DT72" s="61">
        <f ca="1">AVERAGE(OFFSET($DS$3,0,0,'Données projet'!$E$14+1,1))-AVERAGE(OFFSET($H$3,0,0,'Données projet'!$E$14+1,1))</f>
        <v>312.06797204903796</v>
      </c>
      <c r="DU72" s="61">
        <f t="shared" si="98"/>
        <v>258.20189001775151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4.9272727272727277</v>
      </c>
      <c r="EJ72" s="13">
        <f>IF('Données projet'!$A$192&gt;35,EJ71+EI72-ER71,IF(A72&lt;'Données projet'!$A$192,$EG$205^A72,IF(A72='Données projet'!$A$192,'Données projet'!$B$192,EJ71+EI72-ER71)))</f>
        <v>237.47272727272741</v>
      </c>
      <c r="EK72" s="18">
        <f>EJ72*VLOOKUP('Données projet'!$B$15,Paramètres!$A$1:$I$89,3,0)*VLOOKUP('Données projet'!$B$15,Paramètres!$A$1:$I$89,5,0)</f>
        <v>192.63787636363648</v>
      </c>
      <c r="EL72" s="14">
        <f t="shared" si="99"/>
        <v>48.12268104232114</v>
      </c>
      <c r="EM72" s="22">
        <f t="shared" si="73"/>
        <v>419.32463748204282</v>
      </c>
      <c r="EN72" s="61">
        <f t="shared" si="74"/>
        <v>712.65797081537607</v>
      </c>
      <c r="EO72" s="61">
        <f ca="1">AVERAGE(OFFSET($EN$3,0,0,'Données projet'!$E$15+1,1))-AVERAGE(OFFSET($H$3,0,0,'Données projet'!$E$15+1,1))</f>
        <v>222.15256609836689</v>
      </c>
      <c r="EP72" s="61">
        <f t="shared" si="100"/>
        <v>221.10360210521077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328</v>
      </c>
      <c r="FC72" s="13">
        <f>VLOOKUP(A72,'Données projet'!$A$217:$I$237,9,0)</f>
        <v>8.6666666666666661</v>
      </c>
      <c r="FD72" s="13">
        <f t="array" ref="FD72">INDEX(FC:FC,MIN(IF(ISNUMBER(FC72:FC268),ROW(FC72:FC268),"")))</f>
        <v>8.6666666666666661</v>
      </c>
      <c r="FE72" s="13">
        <f>IF('Données projet'!$A$218&gt;35,FE71+FD72-FM71,IF(A72&lt;'Données projet'!$A$218,$FB$205^A72,IF(A72='Données projet'!$A$218,'Données projet'!$B$218,FE71+FD72-FM71)))</f>
        <v>328.00000000000011</v>
      </c>
      <c r="FF72" s="18">
        <f>FE72*VLOOKUP('Données projet'!$B$16,Paramètres!$A$1:$I$89,3,0)*VLOOKUP('Données projet'!$B$16,Paramètres!$A$1:$I$89,5,0)</f>
        <v>255.84000000000009</v>
      </c>
      <c r="FG72" s="14">
        <f t="shared" si="101"/>
        <v>61.834803371075836</v>
      </c>
      <c r="FH72" s="22">
        <f t="shared" si="76"/>
        <v>553.28361587129064</v>
      </c>
      <c r="FI72" s="61">
        <f t="shared" si="77"/>
        <v>846.61694920462401</v>
      </c>
      <c r="FJ72" s="61">
        <f ca="1">AVERAGE(OFFSET($FI$3,0,0,'Données projet'!$E$16+1,1))-AVERAGE(OFFSET($H$3,0,0,'Données projet'!$E$16+1,1))</f>
        <v>292.57482726862594</v>
      </c>
      <c r="FK72" s="61">
        <f t="shared" si="102"/>
        <v>283.48738729114024</v>
      </c>
      <c r="FL72" s="16">
        <f>IF(ISNA(VLOOKUP(A72,'Données projet'!$A$217:$I$237,3,0)),0,VLOOKUP(A72,'Données projet'!$A$217:$I$237,3,0))</f>
        <v>7</v>
      </c>
      <c r="FM72" s="16">
        <f>IF(ISNA(VLOOKUP(A72,'Données projet'!$A$217:$I$237,4,0)),0,VLOOKUP(A72,'Données projet'!$A$217:$I$237,4,0))</f>
        <v>328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6.8</v>
      </c>
      <c r="FZ72" s="13">
        <f>IF('Données projet'!$A$244&gt;35,FZ71+FY72-GH71,IF(A72&lt;'Données projet'!$A$244,$FW$205^A72,IF(A72='Données projet'!$A$244,'Données projet'!$B$244,FZ71+FY72-GH71)))</f>
        <v>256.19999999999993</v>
      </c>
      <c r="GA72" s="18">
        <f>FZ72*VLOOKUP('Données projet'!$B$17,Paramètres!$A$1:$I$89,3,0)*VLOOKUP('Données projet'!$B$17,Paramètres!$A$1:$I$89,5,0)</f>
        <v>247.79663999999997</v>
      </c>
      <c r="GB72" s="14">
        <f t="shared" si="103"/>
        <v>60.113881658336368</v>
      </c>
      <c r="GC72" s="22">
        <f t="shared" si="79"/>
        <v>536.27749188826908</v>
      </c>
      <c r="GD72" s="61">
        <f t="shared" si="80"/>
        <v>829.61082522160245</v>
      </c>
      <c r="GE72" s="61">
        <f ca="1">AVERAGE(OFFSET($GD$3,0,0,'Données projet'!$E$17+1,1))-AVERAGE(OFFSET($H$3,0,0,'Données projet'!$E$17+1,1))</f>
        <v>455.50822833641354</v>
      </c>
      <c r="GF72" s="61">
        <f t="shared" si="104"/>
        <v>261.14722581688039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0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0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6.8</v>
      </c>
      <c r="GU72" s="13">
        <f>IF('Données projet'!$A$270&gt;35,GU71+GT72-HC71,IF(A72&lt;'Données projet'!$A$270,$GR$205^A72,IF(A72='Données projet'!$A$270,'Données projet'!$B$270,GU71+GT72-HC71)))</f>
        <v>256.19999999999993</v>
      </c>
      <c r="GV72" s="18">
        <f>GU72*VLOOKUP('Données projet'!$B$18,Paramètres!$A$1:$I$89,3,0)*VLOOKUP('Données projet'!$B$18,Paramètres!$A$1:$I$89,5,0)</f>
        <v>275.7736799999999</v>
      </c>
      <c r="GW72" s="14">
        <f t="shared" si="105"/>
        <v>66.073076930208813</v>
      </c>
      <c r="GX72" s="22">
        <f t="shared" si="82"/>
        <v>595.38310165344672</v>
      </c>
      <c r="GY72" s="61">
        <f t="shared" si="83"/>
        <v>888.71643498678009</v>
      </c>
      <c r="GZ72" s="61">
        <f ca="1">AVERAGE(OFFSET($GY$3,0,0,'Données projet'!$E$18+1,1))-AVERAGE(OFFSET($H$3,0,0,'Données projet'!$E$18+1,1))</f>
        <v>502.07782026233912</v>
      </c>
      <c r="HA72" s="61">
        <f t="shared" si="106"/>
        <v>285.83623046025156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0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0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237.96239999999995</v>
      </c>
      <c r="P73" s="14">
        <f t="shared" si="87"/>
        <v>58.00091360766335</v>
      </c>
      <c r="Q73" s="22">
        <f t="shared" si="54"/>
        <v>515.4694378666801</v>
      </c>
      <c r="R73" s="61">
        <f t="shared" si="55"/>
        <v>808.80277120001347</v>
      </c>
      <c r="S73" s="61">
        <f ca="1">AVERAGE(OFFSET($R$3,0,0,'Données projet'!$E$9+1,1))-AVERAGE(OFFSET($H$3,0,0,'Données projet'!$E$9+1,1))</f>
        <v>428.8489304403459</v>
      </c>
      <c r="T73" s="61">
        <f t="shared" si="88"/>
        <v>247.01165577562966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1">
        <f t="shared" si="59"/>
        <v>869.52299500330537</v>
      </c>
      <c r="AN73" s="61">
        <f ca="1">AVERAGE(OFFSET($AM$3,0,0,'Données projet'!$E$10+1,1))-AVERAGE(OFFSET($H$3,0,0,'Données projet'!$E$10+1,1))</f>
        <v>475.47920969424894</v>
      </c>
      <c r="AO73" s="61">
        <f t="shared" si="90"/>
        <v>271.73544012419364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551</v>
      </c>
      <c r="BB73" s="13">
        <f>VLOOKUP(A73,'Données projet'!$A$87:$I$107,9,0)</f>
        <v>13.857142857142858</v>
      </c>
      <c r="BC73" s="13">
        <f t="array" ref="BC73">INDEX(BB:BB,MIN(IF(ISNUMBER(BB73:BB269),ROW(BB73:BB269),"")))</f>
        <v>13.857142857142858</v>
      </c>
      <c r="BD73" s="13">
        <f>IF('Données projet'!$A$88&gt;35,BD72+BC73-BL72,IF(A73&lt;'Données projet'!$A$88,$BA$205^A73,IF(A73='Données projet'!$A$88,'Données projet'!$B$88,BD72+BC73-BL72)))</f>
        <v>550.99999999999966</v>
      </c>
      <c r="BE73" s="14">
        <f>BD73*VLOOKUP('Données projet'!$B$11,Paramètres!$A$1:$I$89,3,0)*VLOOKUP('Données projet'!$B$11,Paramètres!$A$1:$I$89,5,0)</f>
        <v>308.00899999999979</v>
      </c>
      <c r="BF73" s="14">
        <f t="shared" si="91"/>
        <v>72.852874331417695</v>
      </c>
      <c r="BG73" s="22">
        <f t="shared" si="61"/>
        <v>663.33443112721886</v>
      </c>
      <c r="BH73" s="61">
        <f t="shared" si="62"/>
        <v>956.66776446055223</v>
      </c>
      <c r="BI73" s="61">
        <f ca="1">AVERAGE(OFFSET($BH$3,0,0,'Données projet'!$E$11+1,1))-AVERAGE(OFFSET($H$3,0,0,'Données projet'!$E$11+1,1))</f>
        <v>374.79806286316051</v>
      </c>
      <c r="BJ73" s="61">
        <f t="shared" si="92"/>
        <v>350.01856672839466</v>
      </c>
      <c r="BK73" s="16">
        <f>IF(ISNA(VLOOKUP(A73,'Données projet'!$A$87:$I$107,3,0)),0,VLOOKUP(A73,'Données projet'!$A$87:$I$107,3,0))</f>
        <v>8</v>
      </c>
      <c r="BL73" s="16">
        <f>IF(ISNA(VLOOKUP(A73,'Données projet'!$A$87:$I$107,4,0)),0,VLOOKUP(A73,'Données projet'!$A$87:$I$107,4,0))</f>
        <v>551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7.3461697126514984</v>
      </c>
      <c r="BR73" s="23">
        <f>EXP(-LN(2)/2)*BR72+(1-EXP(-LN(2)/2))/(LN(2)/2)*BL73*BO73*VLOOKUP('Données projet'!$B$11,Paramètres!$A$1:$I$89,3,0)*0.475*44/12</f>
        <v>1.0497838060078897E-5</v>
      </c>
      <c r="BS73" s="24">
        <f t="shared" si="63"/>
        <v>7.3461802104895586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10.314743589743586</v>
      </c>
      <c r="BY73" s="13">
        <f>IF('Données projet'!$A$114&gt;35,BY72+BX73-CG72,IF(A73&lt;'Données projet'!$A$114,$BV$205^A73,IF(A73='Données projet'!$A$114,'Données projet'!$B$114,BY72+BX73-CG72)))</f>
        <v>327.18653846153848</v>
      </c>
      <c r="BZ73" s="14">
        <f>BY73*VLOOKUP('Données projet'!$B$12,Paramètres!$A$1:$I$89,3,0)*VLOOKUP('Données projet'!$B$12,Paramètres!$A$1:$I$89,5,0)</f>
        <v>153.1233</v>
      </c>
      <c r="CA73" s="14">
        <f t="shared" si="93"/>
        <v>39.287513204310308</v>
      </c>
      <c r="CB73" s="22">
        <f t="shared" si="64"/>
        <v>335.1154996641738</v>
      </c>
      <c r="CC73" s="61">
        <f t="shared" si="65"/>
        <v>628.44883299750711</v>
      </c>
      <c r="CD73" s="61">
        <f ca="1">AVERAGE(OFFSET($CC$3,0,0,'Données projet'!$E$12+1,1))-AVERAGE(OFFSET($H$3,0,0,'Données projet'!$E$12+1,1))</f>
        <v>285.59863510278109</v>
      </c>
      <c r="CE73" s="61">
        <f t="shared" si="94"/>
        <v>190.4880882944471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310</v>
      </c>
      <c r="CR73" s="13">
        <f>VLOOKUP(A73,'Données projet'!$A$139:$I$159,9,0)</f>
        <v>10.7</v>
      </c>
      <c r="CS73" s="13">
        <f t="array" ref="CS73">INDEX(CR:CR,MIN(IF(ISNUMBER(CR73:CR269),ROW(CR73:CR269),"")))</f>
        <v>10.7</v>
      </c>
      <c r="CT73" s="13">
        <f>IF('Données projet'!$A$140&gt;35,CT72+CS73-DB72,IF(A73&lt;'Données projet'!$A$140,$CQ$205^A73,IF(A73='Données projet'!$A$140,'Données projet'!$B$140,CT72+CS73-DB72)))</f>
        <v>310</v>
      </c>
      <c r="CU73" s="18">
        <f>CT73*VLOOKUP('Données projet'!$B$13,Paramètres!$A$1:$I$89,3,0)*VLOOKUP('Données projet'!$B$13,Paramètres!$A$1:$I$89,5,0)</f>
        <v>149.11000000000001</v>
      </c>
      <c r="CV73" s="14">
        <f t="shared" si="95"/>
        <v>38.37625992957517</v>
      </c>
      <c r="CW73" s="22">
        <f t="shared" si="67"/>
        <v>326.53856937734338</v>
      </c>
      <c r="CX73" s="61">
        <f t="shared" si="68"/>
        <v>619.87190271067675</v>
      </c>
      <c r="CY73" s="61">
        <f ca="1">AVERAGE(OFFSET($CX$3,0,0,'Données projet'!$E$13+1,1))-AVERAGE(OFFSET($H$3,0,0,'Données projet'!$E$13+1,1))</f>
        <v>273.72618036666552</v>
      </c>
      <c r="CZ73" s="61">
        <f t="shared" si="96"/>
        <v>157.67999791700714</v>
      </c>
      <c r="DA73" s="16">
        <f>IF(ISNA(VLOOKUP(A73,'Données projet'!$A$139:$I$159,3,0)),0,VLOOKUP(A73,'Données projet'!$A$139:$I$159,3,0))</f>
        <v>4</v>
      </c>
      <c r="DB73" s="16">
        <f>IF(ISNA(VLOOKUP(A73,'Données projet'!$A$139:$I$159,4,0)),0,VLOOKUP(A73,'Données projet'!$A$139:$I$159,4,0))</f>
        <v>62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265.38461538461536</v>
      </c>
      <c r="DM73" s="13">
        <f>VLOOKUP(A73,'Données projet'!$A$165:$I$185,9,0)</f>
        <v>4.9999999999999947</v>
      </c>
      <c r="DN73" s="13">
        <f t="array" ref="DN73">INDEX(DM:DM,MIN(IF(ISNUMBER(DM73:DM269),ROW(DM73:DM269),"")))</f>
        <v>4.9999999999999947</v>
      </c>
      <c r="DO73" s="13">
        <f>IF('Données projet'!$A$166&gt;35,DO72+DN73-DW72,IF(A73&lt;'Données projet'!$A$166,$DL$205^A73,IF(A73='Données projet'!$A$166,'Données projet'!$B$166,DO72+DN73-DW72)))</f>
        <v>265.38461538461542</v>
      </c>
      <c r="DP73" s="18">
        <f>DO73*VLOOKUP('Données projet'!$B$14,Paramètres!$A$1:$I$89,3,0)*VLOOKUP('Données projet'!$B$14,Paramètres!$A$1:$I$89,5,0)</f>
        <v>178.02000000000004</v>
      </c>
      <c r="DQ73" s="14">
        <f t="shared" si="97"/>
        <v>44.881389467952083</v>
      </c>
      <c r="DR73" s="22">
        <f t="shared" si="70"/>
        <v>388.21991999001654</v>
      </c>
      <c r="DS73" s="61">
        <f t="shared" si="71"/>
        <v>681.55325332334985</v>
      </c>
      <c r="DT73" s="61">
        <f ca="1">AVERAGE(OFFSET($DS$3,0,0,'Données projet'!$E$14+1,1))-AVERAGE(OFFSET($H$3,0,0,'Données projet'!$E$14+1,1))</f>
        <v>312.06797204903796</v>
      </c>
      <c r="DU73" s="61">
        <f t="shared" si="98"/>
        <v>258.20189001775151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27.564102564102562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242.4</v>
      </c>
      <c r="EH73" s="13">
        <f>VLOOKUP(A73,'Données projet'!$A$191:$I$211,9,0)</f>
        <v>4.9272727272727277</v>
      </c>
      <c r="EI73" s="13">
        <f t="array" ref="EI73">INDEX(EH:EH,MIN(IF(ISNUMBER(EH73:EH269),ROW(EH73:EH269),"")))</f>
        <v>4.9272727272727277</v>
      </c>
      <c r="EJ73" s="13">
        <f>IF('Données projet'!$A$192&gt;35,EJ72+EI73-ER72,IF(A73&lt;'Données projet'!$A$192,$EG$205^A73,IF(A73='Données projet'!$A$192,'Données projet'!$B$192,EJ72+EI73-ER72)))</f>
        <v>242.40000000000015</v>
      </c>
      <c r="EK73" s="18">
        <f>EJ73*VLOOKUP('Données projet'!$B$15,Paramètres!$A$1:$I$89,3,0)*VLOOKUP('Données projet'!$B$15,Paramètres!$A$1:$I$89,5,0)</f>
        <v>196.63488000000015</v>
      </c>
      <c r="EL73" s="14">
        <f t="shared" si="99"/>
        <v>49.003887420349095</v>
      </c>
      <c r="EM73" s="22">
        <f t="shared" si="73"/>
        <v>427.82085325710824</v>
      </c>
      <c r="EN73" s="61">
        <f t="shared" si="74"/>
        <v>721.15418659044155</v>
      </c>
      <c r="EO73" s="61">
        <f ca="1">AVERAGE(OFFSET($EN$3,0,0,'Données projet'!$E$15+1,1))-AVERAGE(OFFSET($H$3,0,0,'Données projet'!$E$15+1,1))</f>
        <v>222.15256609836689</v>
      </c>
      <c r="EP73" s="61">
        <f t="shared" si="100"/>
        <v>221.10360210521077</v>
      </c>
      <c r="EQ73" s="16">
        <f>IF(ISNA(VLOOKUP(A73,'Données projet'!$A$191:$I$211,3,0)),0,VLOOKUP(A73,'Données projet'!$A$191:$I$211,3,0))</f>
        <v>4</v>
      </c>
      <c r="ER73" s="16">
        <f>IF(ISNA(VLOOKUP(A73,'Données projet'!$A$191:$I$211,4,0)),0,VLOOKUP(A73,'Données projet'!$A$191:$I$211,4,0))</f>
        <v>242.4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1.1368683772161603E-13</v>
      </c>
      <c r="FF73" s="18">
        <f>FE73*VLOOKUP('Données projet'!$B$16,Paramètres!$A$1:$I$89,3,0)*VLOOKUP('Données projet'!$B$16,Paramètres!$A$1:$I$89,5,0)</f>
        <v>8.8675733422860506E-14</v>
      </c>
      <c r="FG73" s="14">
        <f t="shared" si="101"/>
        <v>1.3509285393066301E-12</v>
      </c>
      <c r="FH73" s="22">
        <f t="shared" si="76"/>
        <v>2.5073107750038623E-12</v>
      </c>
      <c r="FI73" s="61">
        <f t="shared" si="77"/>
        <v>293.33333333333582</v>
      </c>
      <c r="FJ73" s="61">
        <f ca="1">AVERAGE(OFFSET($FI$3,0,0,'Données projet'!$E$16+1,1))-AVERAGE(OFFSET($H$3,0,0,'Données projet'!$E$16+1,1))</f>
        <v>292.57482726862594</v>
      </c>
      <c r="FK73" s="61">
        <f t="shared" si="102"/>
        <v>283.48738729114024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>
        <f>VLOOKUP(A73,'Données projet'!$A$243:$I$263,2,0)</f>
        <v>263</v>
      </c>
      <c r="FX73" s="13">
        <f>VLOOKUP(A73,'Données projet'!$A$243:$I$263,9,0)</f>
        <v>6.8</v>
      </c>
      <c r="FY73" s="13">
        <f t="array" ref="FY73">INDEX(FX:FX,MIN(IF(ISNUMBER(FX73:FX269),ROW(FX73:FX269),"")))</f>
        <v>6.8</v>
      </c>
      <c r="FZ73" s="13">
        <f>IF('Données projet'!$A$244&gt;35,FZ72+FY73-GH72,IF(A73&lt;'Données projet'!$A$244,$FW$205^A73,IF(A73='Données projet'!$A$244,'Données projet'!$B$244,FZ72+FY73-GH72)))</f>
        <v>262.99999999999994</v>
      </c>
      <c r="GA73" s="18">
        <f>FZ73*VLOOKUP('Données projet'!$B$17,Paramètres!$A$1:$I$89,3,0)*VLOOKUP('Données projet'!$B$17,Paramètres!$A$1:$I$89,5,0)</f>
        <v>254.37359999999998</v>
      </c>
      <c r="GB73" s="14">
        <f t="shared" si="103"/>
        <v>61.521534056516209</v>
      </c>
      <c r="GC73" s="22">
        <f t="shared" si="79"/>
        <v>550.1840251484324</v>
      </c>
      <c r="GD73" s="61">
        <f t="shared" si="80"/>
        <v>843.51735848176577</v>
      </c>
      <c r="GE73" s="61">
        <f ca="1">AVERAGE(OFFSET($GD$3,0,0,'Données projet'!$E$17+1,1))-AVERAGE(OFFSET($H$3,0,0,'Données projet'!$E$17+1,1))</f>
        <v>455.50822833641354</v>
      </c>
      <c r="GF73" s="61">
        <f t="shared" si="104"/>
        <v>261.14722581688039</v>
      </c>
      <c r="GG73" s="16">
        <f>IF(ISNA(VLOOKUP(A73,'Données projet'!$A$243:$I$263,3,0)),0,VLOOKUP(A73,'Données projet'!$A$243:$I$263,3,0))</f>
        <v>5</v>
      </c>
      <c r="GH73" s="16">
        <f>IF(ISNA(VLOOKUP(A73,'Données projet'!$A$243:$I$263,4,0)),0,VLOOKUP(A73,'Données projet'!$A$243:$I$263,4,0))</f>
        <v>42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0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0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>
        <f>VLOOKUP(A73,'Données projet'!$A$269:$I$289,2,0)</f>
        <v>263</v>
      </c>
      <c r="GS73" s="13">
        <f>VLOOKUP(A73,'Données projet'!$A$269:$I$289,9,0)</f>
        <v>6.8</v>
      </c>
      <c r="GT73" s="13">
        <f t="array" ref="GT73">INDEX(GS:GS,MIN(IF(ISNUMBER(GS73:GS269),ROW(GS73:GS269),"")))</f>
        <v>6.8</v>
      </c>
      <c r="GU73" s="13">
        <f>IF('Données projet'!$A$270&gt;35,GU72+GT73-HC72,IF(A73&lt;'Données projet'!$A$270,$GR$205^A73,IF(A73='Données projet'!$A$270,'Données projet'!$B$270,GU72+GT73-HC72)))</f>
        <v>262.99999999999994</v>
      </c>
      <c r="GV73" s="18">
        <f>GU73*VLOOKUP('Données projet'!$B$18,Paramètres!$A$1:$I$89,3,0)*VLOOKUP('Données projet'!$B$18,Paramètres!$A$1:$I$89,5,0)</f>
        <v>283.09319999999991</v>
      </c>
      <c r="GW73" s="14">
        <f t="shared" si="105"/>
        <v>67.620272397048666</v>
      </c>
      <c r="GX73" s="22">
        <f t="shared" si="82"/>
        <v>610.82596442485954</v>
      </c>
      <c r="GY73" s="61">
        <f t="shared" si="83"/>
        <v>904.15929775819291</v>
      </c>
      <c r="GZ73" s="61">
        <f ca="1">AVERAGE(OFFSET($GY$3,0,0,'Données projet'!$E$18+1,1))-AVERAGE(OFFSET($H$3,0,0,'Données projet'!$E$18+1,1))</f>
        <v>502.07782026233912</v>
      </c>
      <c r="HA73" s="61">
        <f t="shared" si="106"/>
        <v>285.83623046025156</v>
      </c>
      <c r="HB73" s="16">
        <f>IF(ISNA(VLOOKUP(A73,'Données projet'!$A$269:$I$289,3,0)),0,VLOOKUP(A73,'Données projet'!$A$269:$I$289,3,0))</f>
        <v>5</v>
      </c>
      <c r="HC73" s="16">
        <f>IF(ISNA(VLOOKUP(A73,'Données projet'!$A$269:$I$289,4,0)),0,VLOOKUP(A73,'Données projet'!$A$269:$I$289,4,0))</f>
        <v>42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0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0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205.57055999999994</v>
      </c>
      <c r="P74" s="14">
        <f t="shared" si="87"/>
        <v>50.966443946767392</v>
      </c>
      <c r="Q74" s="22">
        <f t="shared" si="54"/>
        <v>446.80194854061978</v>
      </c>
      <c r="R74" s="61">
        <f t="shared" si="55"/>
        <v>740.13528187395309</v>
      </c>
      <c r="S74" s="61">
        <f ca="1">AVERAGE(OFFSET($R$3,0,0,'Données projet'!$E$9+1,1))-AVERAGE(OFFSET($H$3,0,0,'Données projet'!$E$9+1,1))</f>
        <v>428.8489304403459</v>
      </c>
      <c r="T74" s="61">
        <f t="shared" si="88"/>
        <v>247.01165577562966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1">
        <f t="shared" si="59"/>
        <v>792.74895496845193</v>
      </c>
      <c r="AN74" s="61">
        <f ca="1">AVERAGE(OFFSET($AM$3,0,0,'Données projet'!$E$10+1,1))-AVERAGE(OFFSET($H$3,0,0,'Données projet'!$E$10+1,1))</f>
        <v>475.47920969424894</v>
      </c>
      <c r="AO74" s="61">
        <f t="shared" si="90"/>
        <v>271.73544012419364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-3.4106051316484809E-13</v>
      </c>
      <c r="BE74" s="14">
        <f>BD74*VLOOKUP('Données projet'!$B$11,Paramètres!$A$1:$I$89,3,0)*VLOOKUP('Données projet'!$B$11,Paramètres!$A$1:$I$89,5,0)</f>
        <v>-1.9065282685915009E-13</v>
      </c>
      <c r="BF74" s="14" t="e">
        <f t="shared" si="91"/>
        <v>#NUM!</v>
      </c>
      <c r="BG74" s="22" t="e">
        <f t="shared" si="61"/>
        <v>#NUM!</v>
      </c>
      <c r="BH74" s="61" t="e">
        <f t="shared" si="62"/>
        <v>#NUM!</v>
      </c>
      <c r="BI74" s="61">
        <f ca="1">AVERAGE(OFFSET($BH$3,0,0,'Données projet'!$E$11+1,1))-AVERAGE(OFFSET($H$3,0,0,'Données projet'!$E$11+1,1))</f>
        <v>374.79806286316051</v>
      </c>
      <c r="BJ74" s="61">
        <f t="shared" si="92"/>
        <v>350.01856672839466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7.1452883155407676</v>
      </c>
      <c r="BR74" s="23">
        <f>EXP(-LN(2)/2)*BR73+(1-EXP(-LN(2)/2))/(LN(2)/2)*BL74*BO74*VLOOKUP('Données projet'!$B$11,Paramètres!$A$1:$I$89,3,0)*0.475*44/12</f>
        <v>7.42309248008002E-6</v>
      </c>
      <c r="BS74" s="24">
        <f t="shared" si="63"/>
        <v>7.1452957386332479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10.314743589743586</v>
      </c>
      <c r="BY74" s="13">
        <f>IF('Données projet'!$A$114&gt;35,BY73+BX74-CG73,IF(A74&lt;'Données projet'!$A$114,$BV$205^A74,IF(A74='Données projet'!$A$114,'Données projet'!$B$114,BY73+BX74-CG73)))</f>
        <v>337.50128205128203</v>
      </c>
      <c r="BZ74" s="14">
        <f>BY74*VLOOKUP('Données projet'!$B$12,Paramètres!$A$1:$I$89,3,0)*VLOOKUP('Données projet'!$B$12,Paramètres!$A$1:$I$89,5,0)</f>
        <v>157.95059999999998</v>
      </c>
      <c r="CA74" s="14">
        <f t="shared" si="93"/>
        <v>40.379921270810094</v>
      </c>
      <c r="CB74" s="22">
        <f t="shared" si="64"/>
        <v>345.42565787999416</v>
      </c>
      <c r="CC74" s="61">
        <f t="shared" si="65"/>
        <v>638.75899121332748</v>
      </c>
      <c r="CD74" s="61">
        <f ca="1">AVERAGE(OFFSET($CC$3,0,0,'Données projet'!$E$12+1,1))-AVERAGE(OFFSET($H$3,0,0,'Données projet'!$E$12+1,1))</f>
        <v>285.59863510278109</v>
      </c>
      <c r="CE74" s="61">
        <f t="shared" si="94"/>
        <v>190.4880882944471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11.3</v>
      </c>
      <c r="CT74" s="13">
        <f>IF('Données projet'!$A$140&gt;35,CT73+CS74-DB73,IF(A74&lt;'Données projet'!$A$140,$CQ$205^A74,IF(A74='Données projet'!$A$140,'Données projet'!$B$140,CT73+CS74-DB73)))</f>
        <v>259.3</v>
      </c>
      <c r="CU74" s="18">
        <f>CT74*VLOOKUP('Données projet'!$B$13,Paramètres!$A$1:$I$89,3,0)*VLOOKUP('Données projet'!$B$13,Paramètres!$A$1:$I$89,5,0)</f>
        <v>124.72330000000001</v>
      </c>
      <c r="CV74" s="14">
        <f t="shared" si="95"/>
        <v>32.774144047461718</v>
      </c>
      <c r="CW74" s="22">
        <f t="shared" si="67"/>
        <v>274.30804838266249</v>
      </c>
      <c r="CX74" s="61">
        <f t="shared" si="68"/>
        <v>567.64138171599575</v>
      </c>
      <c r="CY74" s="61">
        <f ca="1">AVERAGE(OFFSET($CX$3,0,0,'Données projet'!$E$13+1,1))-AVERAGE(OFFSET($H$3,0,0,'Données projet'!$E$13+1,1))</f>
        <v>273.72618036666552</v>
      </c>
      <c r="CZ74" s="61">
        <f t="shared" si="96"/>
        <v>157.67999791700714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4.6153846153846247</v>
      </c>
      <c r="DO74" s="13">
        <f>IF('Données projet'!$A$166&gt;35,DO73+DN74-DW73,IF(A74&lt;'Données projet'!$A$166,$DL$205^A74,IF(A74='Données projet'!$A$166,'Données projet'!$B$166,DO73+DN74-DW73)))</f>
        <v>242.43589743589749</v>
      </c>
      <c r="DP74" s="18">
        <f>DO74*VLOOKUP('Données projet'!$B$14,Paramètres!$A$1:$I$89,3,0)*VLOOKUP('Données projet'!$B$14,Paramètres!$A$1:$I$89,5,0)</f>
        <v>162.62600000000003</v>
      </c>
      <c r="DQ74" s="14">
        <f t="shared" si="97"/>
        <v>41.43425469159893</v>
      </c>
      <c r="DR74" s="22">
        <f t="shared" si="70"/>
        <v>355.40494358786822</v>
      </c>
      <c r="DS74" s="61">
        <f t="shared" si="71"/>
        <v>648.73827692120153</v>
      </c>
      <c r="DT74" s="61">
        <f ca="1">AVERAGE(OFFSET($DS$3,0,0,'Données projet'!$E$14+1,1))-AVERAGE(OFFSET($H$3,0,0,'Données projet'!$E$14+1,1))</f>
        <v>312.06797204903796</v>
      </c>
      <c r="DU74" s="61">
        <f t="shared" si="98"/>
        <v>258.20189001775151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1.4210854715202004E-13</v>
      </c>
      <c r="EK74" s="18">
        <f>EJ74*VLOOKUP('Données projet'!$B$15,Paramètres!$A$1:$I$89,3,0)*VLOOKUP('Données projet'!$B$15,Paramètres!$A$1:$I$89,5,0)</f>
        <v>1.1527845344971866E-13</v>
      </c>
      <c r="EL74" s="14">
        <f t="shared" si="99"/>
        <v>1.7033846239409443E-12</v>
      </c>
      <c r="EM74" s="22">
        <f t="shared" si="73"/>
        <v>3.1675048597887374E-12</v>
      </c>
      <c r="EN74" s="61">
        <f t="shared" si="74"/>
        <v>293.3333333333365</v>
      </c>
      <c r="EO74" s="61">
        <f ca="1">AVERAGE(OFFSET($EN$3,0,0,'Données projet'!$E$15+1,1))-AVERAGE(OFFSET($H$3,0,0,'Données projet'!$E$15+1,1))</f>
        <v>222.15256609836689</v>
      </c>
      <c r="EP74" s="61">
        <f t="shared" si="100"/>
        <v>221.10360210521077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1.1368683772161603E-13</v>
      </c>
      <c r="FF74" s="18">
        <f>FE74*VLOOKUP('Données projet'!$B$16,Paramètres!$A$1:$I$89,3,0)*VLOOKUP('Données projet'!$B$16,Paramètres!$A$1:$I$89,5,0)</f>
        <v>8.8675733422860506E-14</v>
      </c>
      <c r="FG74" s="14">
        <f t="shared" si="101"/>
        <v>1.3509285393066301E-12</v>
      </c>
      <c r="FH74" s="22">
        <f t="shared" si="76"/>
        <v>2.5073107750038623E-12</v>
      </c>
      <c r="FI74" s="61">
        <f t="shared" si="77"/>
        <v>293.33333333333582</v>
      </c>
      <c r="FJ74" s="61">
        <f ca="1">AVERAGE(OFFSET($FI$3,0,0,'Données projet'!$E$16+1,1))-AVERAGE(OFFSET($H$3,0,0,'Données projet'!$E$16+1,1))</f>
        <v>292.57482726862594</v>
      </c>
      <c r="FK74" s="61">
        <f t="shared" si="102"/>
        <v>283.48738729114024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6.2</v>
      </c>
      <c r="FZ74" s="13">
        <f>IF('Données projet'!$A$244&gt;35,FZ73+FY74-GH73,IF(A74&lt;'Données projet'!$A$244,$FW$205^A74,IF(A74='Données projet'!$A$244,'Données projet'!$B$244,FZ73+FY74-GH73)))</f>
        <v>227.19999999999993</v>
      </c>
      <c r="GA74" s="18">
        <f>FZ74*VLOOKUP('Données projet'!$B$17,Paramètres!$A$1:$I$89,3,0)*VLOOKUP('Données projet'!$B$17,Paramètres!$A$1:$I$89,5,0)</f>
        <v>219.74783999999994</v>
      </c>
      <c r="GB74" s="14">
        <f t="shared" si="103"/>
        <v>54.060076332940561</v>
      </c>
      <c r="GC74" s="22">
        <f t="shared" si="79"/>
        <v>476.88212094653812</v>
      </c>
      <c r="GD74" s="61">
        <f t="shared" si="80"/>
        <v>770.21545427987144</v>
      </c>
      <c r="GE74" s="61">
        <f ca="1">AVERAGE(OFFSET($GD$3,0,0,'Données projet'!$E$17+1,1))-AVERAGE(OFFSET($H$3,0,0,'Données projet'!$E$17+1,1))</f>
        <v>455.50822833641354</v>
      </c>
      <c r="GF74" s="61">
        <f t="shared" si="104"/>
        <v>261.14722581688039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0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0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6.2</v>
      </c>
      <c r="GU74" s="13">
        <f>IF('Données projet'!$A$270&gt;35,GU73+GT74-HC73,IF(A74&lt;'Données projet'!$A$270,$GR$205^A74,IF(A74='Données projet'!$A$270,'Données projet'!$B$270,GU73+GT74-HC73)))</f>
        <v>227.19999999999993</v>
      </c>
      <c r="GV74" s="18">
        <f>GU74*VLOOKUP('Données projet'!$B$18,Paramètres!$A$1:$I$89,3,0)*VLOOKUP('Données projet'!$B$18,Paramètres!$A$1:$I$89,5,0)</f>
        <v>244.55807999999993</v>
      </c>
      <c r="GW74" s="14">
        <f t="shared" si="105"/>
        <v>59.419147189674156</v>
      </c>
      <c r="GX74" s="22">
        <f t="shared" si="82"/>
        <v>529.42700402201569</v>
      </c>
      <c r="GY74" s="61">
        <f t="shared" si="83"/>
        <v>822.76033735534907</v>
      </c>
      <c r="GZ74" s="61">
        <f ca="1">AVERAGE(OFFSET($GY$3,0,0,'Données projet'!$E$18+1,1))-AVERAGE(OFFSET($H$3,0,0,'Données projet'!$E$18+1,1))</f>
        <v>502.07782026233912</v>
      </c>
      <c r="HA74" s="61">
        <f t="shared" si="106"/>
        <v>285.83623046025156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0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0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211.18031999999994</v>
      </c>
      <c r="P75" s="14">
        <f t="shared" si="87"/>
        <v>52.193431117443019</v>
      </c>
      <c r="Q75" s="22">
        <f t="shared" si="54"/>
        <v>458.70928319621316</v>
      </c>
      <c r="R75" s="61">
        <f t="shared" si="55"/>
        <v>752.04261652954642</v>
      </c>
      <c r="S75" s="61">
        <f ca="1">AVERAGE(OFFSET($R$3,0,0,'Données projet'!$E$9+1,1))-AVERAGE(OFFSET($H$3,0,0,'Données projet'!$E$9+1,1))</f>
        <v>428.8489304403459</v>
      </c>
      <c r="T75" s="61">
        <f t="shared" si="88"/>
        <v>247.01165577562966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1">
        <f t="shared" si="59"/>
        <v>806.06182740569329</v>
      </c>
      <c r="AN75" s="61">
        <f ca="1">AVERAGE(OFFSET($AM$3,0,0,'Données projet'!$E$10+1,1))-AVERAGE(OFFSET($H$3,0,0,'Données projet'!$E$10+1,1))</f>
        <v>475.47920969424894</v>
      </c>
      <c r="AO75" s="61">
        <f t="shared" si="90"/>
        <v>271.73544012419364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-3.4106051316484809E-13</v>
      </c>
      <c r="BE75" s="14">
        <f>BD75*VLOOKUP('Données projet'!$B$11,Paramètres!$A$1:$I$89,3,0)*VLOOKUP('Données projet'!$B$11,Paramètres!$A$1:$I$89,5,0)</f>
        <v>-1.9065282685915009E-13</v>
      </c>
      <c r="BF75" s="14" t="e">
        <f t="shared" si="91"/>
        <v>#NUM!</v>
      </c>
      <c r="BG75" s="22" t="e">
        <f t="shared" si="61"/>
        <v>#NUM!</v>
      </c>
      <c r="BH75" s="61" t="e">
        <f t="shared" si="62"/>
        <v>#NUM!</v>
      </c>
      <c r="BI75" s="61">
        <f ca="1">AVERAGE(OFFSET($BH$3,0,0,'Données projet'!$E$11+1,1))-AVERAGE(OFFSET($H$3,0,0,'Données projet'!$E$11+1,1))</f>
        <v>374.79806286316051</v>
      </c>
      <c r="BJ75" s="61">
        <f t="shared" si="92"/>
        <v>350.01856672839466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6.9499000307979237</v>
      </c>
      <c r="BR75" s="23">
        <f>EXP(-LN(2)/2)*BR74+(1-EXP(-LN(2)/2))/(LN(2)/2)*BL75*BO75*VLOOKUP('Données projet'!$B$11,Paramètres!$A$1:$I$89,3,0)*0.475*44/12</f>
        <v>5.2489190300394493E-6</v>
      </c>
      <c r="BS75" s="24">
        <f t="shared" si="63"/>
        <v>6.9499052797169538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10.314743589743586</v>
      </c>
      <c r="BY75" s="13">
        <f>IF('Données projet'!$A$114&gt;35,BY74+BX75-CG74,IF(A75&lt;'Données projet'!$A$114,$BV$205^A75,IF(A75='Données projet'!$A$114,'Données projet'!$B$114,BY74+BX75-CG74)))</f>
        <v>347.81602564102559</v>
      </c>
      <c r="BZ75" s="14">
        <f>BY75*VLOOKUP('Données projet'!$B$12,Paramètres!$A$1:$I$89,3,0)*VLOOKUP('Données projet'!$B$12,Paramètres!$A$1:$I$89,5,0)</f>
        <v>162.77789999999996</v>
      </c>
      <c r="CA75" s="14">
        <f t="shared" si="93"/>
        <v>41.468449441443077</v>
      </c>
      <c r="CB75" s="22">
        <f t="shared" si="64"/>
        <v>355.72905861051328</v>
      </c>
      <c r="CC75" s="61">
        <f t="shared" si="65"/>
        <v>649.06239194384659</v>
      </c>
      <c r="CD75" s="61">
        <f ca="1">AVERAGE(OFFSET($CC$3,0,0,'Données projet'!$E$12+1,1))-AVERAGE(OFFSET($H$3,0,0,'Données projet'!$E$12+1,1))</f>
        <v>285.59863510278109</v>
      </c>
      <c r="CE75" s="61">
        <f t="shared" si="94"/>
        <v>190.4880882944471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11.3</v>
      </c>
      <c r="CT75" s="13">
        <f>IF('Données projet'!$A$140&gt;35,CT74+CS75-DB74,IF(A75&lt;'Données projet'!$A$140,$CQ$205^A75,IF(A75='Données projet'!$A$140,'Données projet'!$B$140,CT74+CS75-DB74)))</f>
        <v>270.60000000000002</v>
      </c>
      <c r="CU75" s="18">
        <f>CT75*VLOOKUP('Données projet'!$B$13,Paramètres!$A$1:$I$89,3,0)*VLOOKUP('Données projet'!$B$13,Paramètres!$A$1:$I$89,5,0)</f>
        <v>130.15860000000004</v>
      </c>
      <c r="CV75" s="14">
        <f t="shared" si="95"/>
        <v>34.033004534779167</v>
      </c>
      <c r="CW75" s="22">
        <f t="shared" si="67"/>
        <v>285.96704456474043</v>
      </c>
      <c r="CX75" s="61">
        <f t="shared" si="68"/>
        <v>579.30037789807375</v>
      </c>
      <c r="CY75" s="61">
        <f ca="1">AVERAGE(OFFSET($CX$3,0,0,'Données projet'!$E$13+1,1))-AVERAGE(OFFSET($H$3,0,0,'Données projet'!$E$13+1,1))</f>
        <v>273.72618036666552</v>
      </c>
      <c r="CZ75" s="61">
        <f t="shared" si="96"/>
        <v>157.67999791700714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4.6153846153846247</v>
      </c>
      <c r="DO75" s="13">
        <f>IF('Données projet'!$A$166&gt;35,DO74+DN75-DW74,IF(A75&lt;'Données projet'!$A$166,$DL$205^A75,IF(A75='Données projet'!$A$166,'Données projet'!$B$166,DO74+DN75-DW74)))</f>
        <v>247.0512820512821</v>
      </c>
      <c r="DP75" s="18">
        <f>DO75*VLOOKUP('Données projet'!$B$14,Paramètres!$A$1:$I$89,3,0)*VLOOKUP('Données projet'!$B$14,Paramètres!$A$1:$I$89,5,0)</f>
        <v>165.72200000000004</v>
      </c>
      <c r="DQ75" s="14">
        <f t="shared" si="97"/>
        <v>42.130477313738041</v>
      </c>
      <c r="DR75" s="22">
        <f t="shared" si="70"/>
        <v>362.00973132142713</v>
      </c>
      <c r="DS75" s="61">
        <f t="shared" si="71"/>
        <v>655.34306465476038</v>
      </c>
      <c r="DT75" s="61">
        <f ca="1">AVERAGE(OFFSET($DS$3,0,0,'Données projet'!$E$14+1,1))-AVERAGE(OFFSET($H$3,0,0,'Données projet'!$E$14+1,1))</f>
        <v>312.06797204903796</v>
      </c>
      <c r="DU75" s="61">
        <f t="shared" si="98"/>
        <v>258.20189001775151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1.4210854715202004E-13</v>
      </c>
      <c r="EK75" s="18">
        <f>EJ75*VLOOKUP('Données projet'!$B$15,Paramètres!$A$1:$I$89,3,0)*VLOOKUP('Données projet'!$B$15,Paramètres!$A$1:$I$89,5,0)</f>
        <v>1.1527845344971866E-13</v>
      </c>
      <c r="EL75" s="14">
        <f t="shared" si="99"/>
        <v>1.7033846239409443E-12</v>
      </c>
      <c r="EM75" s="22">
        <f t="shared" si="73"/>
        <v>3.1675048597887374E-12</v>
      </c>
      <c r="EN75" s="61">
        <f t="shared" si="74"/>
        <v>293.3333333333365</v>
      </c>
      <c r="EO75" s="61">
        <f ca="1">AVERAGE(OFFSET($EN$3,0,0,'Données projet'!$E$15+1,1))-AVERAGE(OFFSET($H$3,0,0,'Données projet'!$E$15+1,1))</f>
        <v>222.15256609836689</v>
      </c>
      <c r="EP75" s="61">
        <f t="shared" si="100"/>
        <v>221.10360210521077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1.1368683772161603E-13</v>
      </c>
      <c r="FF75" s="18">
        <f>FE75*VLOOKUP('Données projet'!$B$16,Paramètres!$A$1:$I$89,3,0)*VLOOKUP('Données projet'!$B$16,Paramètres!$A$1:$I$89,5,0)</f>
        <v>8.8675733422860506E-14</v>
      </c>
      <c r="FG75" s="14">
        <f t="shared" si="101"/>
        <v>1.3509285393066301E-12</v>
      </c>
      <c r="FH75" s="22">
        <f t="shared" si="76"/>
        <v>2.5073107750038623E-12</v>
      </c>
      <c r="FI75" s="61">
        <f t="shared" si="77"/>
        <v>293.33333333333582</v>
      </c>
      <c r="FJ75" s="61">
        <f ca="1">AVERAGE(OFFSET($FI$3,0,0,'Données projet'!$E$16+1,1))-AVERAGE(OFFSET($H$3,0,0,'Données projet'!$E$16+1,1))</f>
        <v>292.57482726862594</v>
      </c>
      <c r="FK75" s="61">
        <f t="shared" si="102"/>
        <v>283.48738729114024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6.2</v>
      </c>
      <c r="FZ75" s="13">
        <f>IF('Données projet'!$A$244&gt;35,FZ74+FY75-GH74,IF(A75&lt;'Données projet'!$A$244,$FW$205^A75,IF(A75='Données projet'!$A$244,'Données projet'!$B$244,FZ74+FY75-GH74)))</f>
        <v>233.39999999999992</v>
      </c>
      <c r="GA75" s="18">
        <f>FZ75*VLOOKUP('Données projet'!$B$17,Paramètres!$A$1:$I$89,3,0)*VLOOKUP('Données projet'!$B$17,Paramètres!$A$1:$I$89,5,0)</f>
        <v>225.74447999999992</v>
      </c>
      <c r="GB75" s="14">
        <f t="shared" si="103"/>
        <v>55.36154088431374</v>
      </c>
      <c r="GC75" s="22">
        <f t="shared" si="79"/>
        <v>489.59298637351299</v>
      </c>
      <c r="GD75" s="61">
        <f t="shared" si="80"/>
        <v>782.92631970684624</v>
      </c>
      <c r="GE75" s="61">
        <f ca="1">AVERAGE(OFFSET($GD$3,0,0,'Données projet'!$E$17+1,1))-AVERAGE(OFFSET($H$3,0,0,'Données projet'!$E$17+1,1))</f>
        <v>455.50822833641354</v>
      </c>
      <c r="GF75" s="61">
        <f t="shared" si="104"/>
        <v>261.14722581688039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0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0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6.2</v>
      </c>
      <c r="GU75" s="13">
        <f>IF('Données projet'!$A$270&gt;35,GU74+GT75-HC74,IF(A75&lt;'Données projet'!$A$270,$GR$205^A75,IF(A75='Données projet'!$A$270,'Données projet'!$B$270,GU74+GT75-HC74)))</f>
        <v>233.39999999999992</v>
      </c>
      <c r="GV75" s="18">
        <f>GU75*VLOOKUP('Données projet'!$B$18,Paramètres!$A$1:$I$89,3,0)*VLOOKUP('Données projet'!$B$18,Paramètres!$A$1:$I$89,5,0)</f>
        <v>251.23175999999989</v>
      </c>
      <c r="GW75" s="14">
        <f t="shared" si="105"/>
        <v>60.849628220886878</v>
      </c>
      <c r="GX75" s="22">
        <f t="shared" si="82"/>
        <v>543.54175115137775</v>
      </c>
      <c r="GY75" s="61">
        <f t="shared" si="83"/>
        <v>836.87508448471112</v>
      </c>
      <c r="GZ75" s="61">
        <f ca="1">AVERAGE(OFFSET($GY$3,0,0,'Données projet'!$E$18+1,1))-AVERAGE(OFFSET($H$3,0,0,'Données projet'!$E$18+1,1))</f>
        <v>502.07782026233912</v>
      </c>
      <c r="HA75" s="61">
        <f t="shared" si="106"/>
        <v>285.83623046025156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0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0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216.7900799999999</v>
      </c>
      <c r="P76" s="14">
        <f t="shared" si="87"/>
        <v>53.416629794462551</v>
      </c>
      <c r="Q76" s="22">
        <f t="shared" si="54"/>
        <v>470.61001955868869</v>
      </c>
      <c r="R76" s="61">
        <f t="shared" si="55"/>
        <v>763.94335289202195</v>
      </c>
      <c r="S76" s="61">
        <f ca="1">AVERAGE(OFFSET($R$3,0,0,'Données projet'!$E$9+1,1))-AVERAGE(OFFSET($H$3,0,0,'Données projet'!$E$9+1,1))</f>
        <v>428.8489304403459</v>
      </c>
      <c r="T76" s="61">
        <f t="shared" si="88"/>
        <v>247.01165577562966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1">
        <f t="shared" si="59"/>
        <v>819.36740263248726</v>
      </c>
      <c r="AN76" s="61">
        <f ca="1">AVERAGE(OFFSET($AM$3,0,0,'Données projet'!$E$10+1,1))-AVERAGE(OFFSET($H$3,0,0,'Données projet'!$E$10+1,1))</f>
        <v>475.47920969424894</v>
      </c>
      <c r="AO76" s="61">
        <f t="shared" si="90"/>
        <v>271.73544012419364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-3.4106051316484809E-13</v>
      </c>
      <c r="BE76" s="14">
        <f>BD76*VLOOKUP('Données projet'!$B$11,Paramètres!$A$1:$I$89,3,0)*VLOOKUP('Données projet'!$B$11,Paramètres!$A$1:$I$89,5,0)</f>
        <v>-1.9065282685915009E-13</v>
      </c>
      <c r="BF76" s="14" t="e">
        <f t="shared" si="91"/>
        <v>#NUM!</v>
      </c>
      <c r="BG76" s="22" t="e">
        <f t="shared" si="61"/>
        <v>#NUM!</v>
      </c>
      <c r="BH76" s="61" t="e">
        <f t="shared" si="62"/>
        <v>#NUM!</v>
      </c>
      <c r="BI76" s="61">
        <f ca="1">AVERAGE(OFFSET($BH$3,0,0,'Données projet'!$E$11+1,1))-AVERAGE(OFFSET($H$3,0,0,'Données projet'!$E$11+1,1))</f>
        <v>374.79806286316051</v>
      </c>
      <c r="BJ76" s="61">
        <f t="shared" si="92"/>
        <v>350.01856672839466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6.759854648976396</v>
      </c>
      <c r="BR76" s="23">
        <f>EXP(-LN(2)/2)*BR75+(1-EXP(-LN(2)/2))/(LN(2)/2)*BL76*BO76*VLOOKUP('Données projet'!$B$11,Paramètres!$A$1:$I$89,3,0)*0.475*44/12</f>
        <v>3.7115462400400104E-6</v>
      </c>
      <c r="BS76" s="24">
        <f t="shared" si="63"/>
        <v>6.7598583605226361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>
        <f>VLOOKUP(A76,'Données projet'!$A$113:$I$133,2,0)</f>
        <v>358.1307692307692</v>
      </c>
      <c r="BW76" s="13">
        <f>VLOOKUP(A76,'Données projet'!$A$113:$I$133,9,0)</f>
        <v>10.314743589743586</v>
      </c>
      <c r="BX76" s="13">
        <f t="array" ref="BX76">INDEX(BW:BW,MIN(IF(ISNUMBER(BW76:BW272),ROW(BW76:BW272),"")))</f>
        <v>10.314743589743586</v>
      </c>
      <c r="BY76" s="13">
        <f>IF('Données projet'!$A$114&gt;35,BY75+BX76-CG75,IF(A76&lt;'Données projet'!$A$114,$BV$205^A76,IF(A76='Données projet'!$A$114,'Données projet'!$B$114,BY75+BX76-CG75)))</f>
        <v>358.13076923076915</v>
      </c>
      <c r="BZ76" s="14">
        <f>BY76*VLOOKUP('Données projet'!$B$12,Paramètres!$A$1:$I$89,3,0)*VLOOKUP('Données projet'!$B$12,Paramètres!$A$1:$I$89,5,0)</f>
        <v>167.60519999999997</v>
      </c>
      <c r="CA76" s="14">
        <f t="shared" si="93"/>
        <v>42.553225987206702</v>
      </c>
      <c r="CB76" s="22">
        <f t="shared" si="64"/>
        <v>366.02592526105167</v>
      </c>
      <c r="CC76" s="61">
        <f t="shared" si="65"/>
        <v>659.35925859438498</v>
      </c>
      <c r="CD76" s="61">
        <f ca="1">AVERAGE(OFFSET($CC$3,0,0,'Données projet'!$E$12+1,1))-AVERAGE(OFFSET($H$3,0,0,'Données projet'!$E$12+1,1))</f>
        <v>285.59863510278109</v>
      </c>
      <c r="CE76" s="61">
        <f t="shared" si="94"/>
        <v>190.4880882944471</v>
      </c>
      <c r="CF76" s="16">
        <f>IF(ISNA(VLOOKUP(A76,'Données projet'!$A$113:$I$133,3,0)),0,VLOOKUP(A76,'Données projet'!$A$113:$I$133,3,0))</f>
        <v>3</v>
      </c>
      <c r="CG76" s="16">
        <f>IF(ISNA(VLOOKUP(A76,'Données projet'!$A$113:$I$133,4,0)),0,VLOOKUP(A76,'Données projet'!$A$113:$I$133,4,0))</f>
        <v>93.584615384615375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11.3</v>
      </c>
      <c r="CT76" s="13">
        <f>IF('Données projet'!$A$140&gt;35,CT75+CS76-DB75,IF(A76&lt;'Données projet'!$A$140,$CQ$205^A76,IF(A76='Données projet'!$A$140,'Données projet'!$B$140,CT75+CS76-DB75)))</f>
        <v>281.90000000000003</v>
      </c>
      <c r="CU76" s="18">
        <f>CT76*VLOOKUP('Données projet'!$B$13,Paramètres!$A$1:$I$89,3,0)*VLOOKUP('Données projet'!$B$13,Paramètres!$A$1:$I$89,5,0)</f>
        <v>135.59390000000002</v>
      </c>
      <c r="CV76" s="14">
        <f t="shared" si="95"/>
        <v>35.285758984382056</v>
      </c>
      <c r="CW76" s="22">
        <f t="shared" si="67"/>
        <v>297.61540606446545</v>
      </c>
      <c r="CX76" s="61">
        <f t="shared" si="68"/>
        <v>590.94873939779882</v>
      </c>
      <c r="CY76" s="61">
        <f ca="1">AVERAGE(OFFSET($CX$3,0,0,'Données projet'!$E$13+1,1))-AVERAGE(OFFSET($H$3,0,0,'Données projet'!$E$13+1,1))</f>
        <v>273.72618036666552</v>
      </c>
      <c r="CZ76" s="61">
        <f t="shared" si="96"/>
        <v>157.67999791700714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4.6153846153846247</v>
      </c>
      <c r="DO76" s="13">
        <f>IF('Données projet'!$A$166&gt;35,DO75+DN76-DW75,IF(A76&lt;'Données projet'!$A$166,$DL$205^A76,IF(A76='Données projet'!$A$166,'Données projet'!$B$166,DO75+DN76-DW75)))</f>
        <v>251.66666666666671</v>
      </c>
      <c r="DP76" s="18">
        <f>DO76*VLOOKUP('Données projet'!$B$14,Paramètres!$A$1:$I$89,3,0)*VLOOKUP('Données projet'!$B$14,Paramètres!$A$1:$I$89,5,0)</f>
        <v>168.81800000000004</v>
      </c>
      <c r="DQ76" s="14">
        <f t="shared" si="97"/>
        <v>42.825187501685285</v>
      </c>
      <c r="DR76" s="22">
        <f t="shared" si="70"/>
        <v>368.61188489876866</v>
      </c>
      <c r="DS76" s="61">
        <f t="shared" si="71"/>
        <v>661.94521823210198</v>
      </c>
      <c r="DT76" s="61">
        <f ca="1">AVERAGE(OFFSET($DS$3,0,0,'Données projet'!$E$14+1,1))-AVERAGE(OFFSET($H$3,0,0,'Données projet'!$E$14+1,1))</f>
        <v>312.06797204903796</v>
      </c>
      <c r="DU76" s="61">
        <f t="shared" si="98"/>
        <v>258.20189001775151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1.4210854715202004E-13</v>
      </c>
      <c r="EK76" s="18">
        <f>EJ76*VLOOKUP('Données projet'!$B$15,Paramètres!$A$1:$I$89,3,0)*VLOOKUP('Données projet'!$B$15,Paramètres!$A$1:$I$89,5,0)</f>
        <v>1.1527845344971866E-13</v>
      </c>
      <c r="EL76" s="14">
        <f t="shared" si="99"/>
        <v>1.7033846239409443E-12</v>
      </c>
      <c r="EM76" s="22">
        <f t="shared" si="73"/>
        <v>3.1675048597887374E-12</v>
      </c>
      <c r="EN76" s="61">
        <f t="shared" si="74"/>
        <v>293.3333333333365</v>
      </c>
      <c r="EO76" s="61">
        <f ca="1">AVERAGE(OFFSET($EN$3,0,0,'Données projet'!$E$15+1,1))-AVERAGE(OFFSET($H$3,0,0,'Données projet'!$E$15+1,1))</f>
        <v>222.15256609836689</v>
      </c>
      <c r="EP76" s="61">
        <f t="shared" si="100"/>
        <v>221.10360210521077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1.1368683772161603E-13</v>
      </c>
      <c r="FF76" s="18">
        <f>FE76*VLOOKUP('Données projet'!$B$16,Paramètres!$A$1:$I$89,3,0)*VLOOKUP('Données projet'!$B$16,Paramètres!$A$1:$I$89,5,0)</f>
        <v>8.8675733422860506E-14</v>
      </c>
      <c r="FG76" s="14">
        <f t="shared" si="101"/>
        <v>1.3509285393066301E-12</v>
      </c>
      <c r="FH76" s="22">
        <f t="shared" si="76"/>
        <v>2.5073107750038623E-12</v>
      </c>
      <c r="FI76" s="61">
        <f t="shared" si="77"/>
        <v>293.33333333333582</v>
      </c>
      <c r="FJ76" s="61">
        <f ca="1">AVERAGE(OFFSET($FI$3,0,0,'Données projet'!$E$16+1,1))-AVERAGE(OFFSET($H$3,0,0,'Données projet'!$E$16+1,1))</f>
        <v>292.57482726862594</v>
      </c>
      <c r="FK76" s="61">
        <f t="shared" si="102"/>
        <v>283.48738729114024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6.2</v>
      </c>
      <c r="FZ76" s="13">
        <f>IF('Données projet'!$A$244&gt;35,FZ75+FY76-GH75,IF(A76&lt;'Données projet'!$A$244,$FW$205^A76,IF(A76='Données projet'!$A$244,'Données projet'!$B$244,FZ75+FY76-GH75)))</f>
        <v>239.59999999999991</v>
      </c>
      <c r="GA76" s="18">
        <f>FZ76*VLOOKUP('Données projet'!$B$17,Paramètres!$A$1:$I$89,3,0)*VLOOKUP('Données projet'!$B$17,Paramètres!$A$1:$I$89,5,0)</f>
        <v>231.74111999999991</v>
      </c>
      <c r="GB76" s="14">
        <f t="shared" si="103"/>
        <v>56.658986982752438</v>
      </c>
      <c r="GC76" s="22">
        <f t="shared" si="79"/>
        <v>502.29685299496032</v>
      </c>
      <c r="GD76" s="61">
        <f t="shared" si="80"/>
        <v>795.63018632829358</v>
      </c>
      <c r="GE76" s="61">
        <f ca="1">AVERAGE(OFFSET($GD$3,0,0,'Données projet'!$E$17+1,1))-AVERAGE(OFFSET($H$3,0,0,'Données projet'!$E$17+1,1))</f>
        <v>455.50822833641354</v>
      </c>
      <c r="GF76" s="61">
        <f t="shared" si="104"/>
        <v>261.14722581688039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0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0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6.2</v>
      </c>
      <c r="GU76" s="13">
        <f>IF('Données projet'!$A$270&gt;35,GU75+GT76-HC75,IF(A76&lt;'Données projet'!$A$270,$GR$205^A76,IF(A76='Données projet'!$A$270,'Données projet'!$B$270,GU75+GT76-HC75)))</f>
        <v>239.59999999999991</v>
      </c>
      <c r="GV76" s="18">
        <f>GU76*VLOOKUP('Données projet'!$B$18,Paramètres!$A$1:$I$89,3,0)*VLOOKUP('Données projet'!$B$18,Paramètres!$A$1:$I$89,5,0)</f>
        <v>257.90543999999989</v>
      </c>
      <c r="GW76" s="14">
        <f t="shared" si="105"/>
        <v>62.275692442827719</v>
      </c>
      <c r="GX76" s="22">
        <f t="shared" si="82"/>
        <v>557.64880567125817</v>
      </c>
      <c r="GY76" s="61">
        <f t="shared" si="83"/>
        <v>850.98213900459155</v>
      </c>
      <c r="GZ76" s="61">
        <f ca="1">AVERAGE(OFFSET($GY$3,0,0,'Données projet'!$E$18+1,1))-AVERAGE(OFFSET($H$3,0,0,'Données projet'!$E$18+1,1))</f>
        <v>502.07782026233912</v>
      </c>
      <c r="HA76" s="61">
        <f t="shared" si="106"/>
        <v>285.83623046025156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0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0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222.3998399999999</v>
      </c>
      <c r="P77" s="14">
        <f t="shared" si="87"/>
        <v>54.636149281681448</v>
      </c>
      <c r="Q77" s="22">
        <f t="shared" si="54"/>
        <v>482.50434799892832</v>
      </c>
      <c r="R77" s="61">
        <f t="shared" si="55"/>
        <v>775.83768133226158</v>
      </c>
      <c r="S77" s="61">
        <f ca="1">AVERAGE(OFFSET($R$3,0,0,'Données projet'!$E$9+1,1))-AVERAGE(OFFSET($H$3,0,0,'Données projet'!$E$9+1,1))</f>
        <v>428.8489304403459</v>
      </c>
      <c r="T77" s="61">
        <f t="shared" si="88"/>
        <v>247.01165577562966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1">
        <f t="shared" si="59"/>
        <v>832.66589118455317</v>
      </c>
      <c r="AN77" s="61">
        <f ca="1">AVERAGE(OFFSET($AM$3,0,0,'Données projet'!$E$10+1,1))-AVERAGE(OFFSET($H$3,0,0,'Données projet'!$E$10+1,1))</f>
        <v>475.47920969424894</v>
      </c>
      <c r="AO77" s="61">
        <f t="shared" si="90"/>
        <v>271.73544012419364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-3.4106051316484809E-13</v>
      </c>
      <c r="BE77" s="14">
        <f>BD77*VLOOKUP('Données projet'!$B$11,Paramètres!$A$1:$I$89,3,0)*VLOOKUP('Données projet'!$B$11,Paramètres!$A$1:$I$89,5,0)</f>
        <v>-1.9065282685915009E-13</v>
      </c>
      <c r="BF77" s="14" t="e">
        <f t="shared" si="91"/>
        <v>#NUM!</v>
      </c>
      <c r="BG77" s="22" t="e">
        <f t="shared" si="61"/>
        <v>#NUM!</v>
      </c>
      <c r="BH77" s="61" t="e">
        <f t="shared" si="62"/>
        <v>#NUM!</v>
      </c>
      <c r="BI77" s="61">
        <f ca="1">AVERAGE(OFFSET($BH$3,0,0,'Données projet'!$E$11+1,1))-AVERAGE(OFFSET($H$3,0,0,'Données projet'!$E$11+1,1))</f>
        <v>374.79806286316051</v>
      </c>
      <c r="BJ77" s="61">
        <f t="shared" si="92"/>
        <v>350.01856672839466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6.5750060681148303</v>
      </c>
      <c r="BR77" s="23">
        <f>EXP(-LN(2)/2)*BR76+(1-EXP(-LN(2)/2))/(LN(2)/2)*BL77*BO77*VLOOKUP('Données projet'!$B$11,Paramètres!$A$1:$I$89,3,0)*0.475*44/12</f>
        <v>2.6244595150197251E-6</v>
      </c>
      <c r="BS77" s="24">
        <f t="shared" si="63"/>
        <v>6.5750086925743449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9.52371794871795</v>
      </c>
      <c r="BY77" s="13">
        <f>IF('Données projet'!$A$114&gt;35,BY76+BX77-CG76,IF(A77&lt;'Données projet'!$A$114,$BV$205^A77,IF(A77='Données projet'!$A$114,'Données projet'!$B$114,BY76+BX77-CG76)))</f>
        <v>274.06987179487169</v>
      </c>
      <c r="BZ77" s="14">
        <f>BY77*VLOOKUP('Données projet'!$B$12,Paramètres!$A$1:$I$89,3,0)*VLOOKUP('Données projet'!$B$12,Paramètres!$A$1:$I$89,5,0)</f>
        <v>128.26469999999995</v>
      </c>
      <c r="CA77" s="14">
        <f t="shared" si="93"/>
        <v>33.595069382484645</v>
      </c>
      <c r="CB77" s="22">
        <f t="shared" si="64"/>
        <v>281.90576500782731</v>
      </c>
      <c r="CC77" s="61">
        <f t="shared" si="65"/>
        <v>575.23909834116057</v>
      </c>
      <c r="CD77" s="61">
        <f ca="1">AVERAGE(OFFSET($CC$3,0,0,'Données projet'!$E$12+1,1))-AVERAGE(OFFSET($H$3,0,0,'Données projet'!$E$12+1,1))</f>
        <v>285.59863510278109</v>
      </c>
      <c r="CE77" s="61">
        <f t="shared" si="94"/>
        <v>190.4880882944471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11.3</v>
      </c>
      <c r="CT77" s="13">
        <f>IF('Données projet'!$A$140&gt;35,CT76+CS77-DB76,IF(A77&lt;'Données projet'!$A$140,$CQ$205^A77,IF(A77='Données projet'!$A$140,'Données projet'!$B$140,CT76+CS77-DB76)))</f>
        <v>293.20000000000005</v>
      </c>
      <c r="CU77" s="18">
        <f>CT77*VLOOKUP('Données projet'!$B$13,Paramètres!$A$1:$I$89,3,0)*VLOOKUP('Données projet'!$B$13,Paramètres!$A$1:$I$89,5,0)</f>
        <v>141.0292</v>
      </c>
      <c r="CV77" s="14">
        <f t="shared" si="95"/>
        <v>36.532680160219776</v>
      </c>
      <c r="CW77" s="22">
        <f t="shared" si="67"/>
        <v>309.25360794571606</v>
      </c>
      <c r="CX77" s="61">
        <f t="shared" si="68"/>
        <v>602.58694127904937</v>
      </c>
      <c r="CY77" s="61">
        <f ca="1">AVERAGE(OFFSET($CX$3,0,0,'Données projet'!$E$13+1,1))-AVERAGE(OFFSET($H$3,0,0,'Données projet'!$E$13+1,1))</f>
        <v>273.72618036666552</v>
      </c>
      <c r="CZ77" s="61">
        <f t="shared" si="96"/>
        <v>157.67999791700714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4.6153846153846247</v>
      </c>
      <c r="DO77" s="13">
        <f>IF('Données projet'!$A$166&gt;35,DO76+DN77-DW76,IF(A77&lt;'Données projet'!$A$166,$DL$205^A77,IF(A77='Données projet'!$A$166,'Données projet'!$B$166,DO76+DN77-DW76)))</f>
        <v>256.28205128205133</v>
      </c>
      <c r="DP77" s="18">
        <f>DO77*VLOOKUP('Données projet'!$B$14,Paramètres!$A$1:$I$89,3,0)*VLOOKUP('Données projet'!$B$14,Paramètres!$A$1:$I$89,5,0)</f>
        <v>171.91400000000002</v>
      </c>
      <c r="DQ77" s="14">
        <f t="shared" si="97"/>
        <v>43.518416191440224</v>
      </c>
      <c r="DR77" s="22">
        <f t="shared" si="70"/>
        <v>375.21145820009173</v>
      </c>
      <c r="DS77" s="61">
        <f t="shared" si="71"/>
        <v>668.54479153342504</v>
      </c>
      <c r="DT77" s="61">
        <f ca="1">AVERAGE(OFFSET($DS$3,0,0,'Données projet'!$E$14+1,1))-AVERAGE(OFFSET($H$3,0,0,'Données projet'!$E$14+1,1))</f>
        <v>312.06797204903796</v>
      </c>
      <c r="DU77" s="61">
        <f t="shared" si="98"/>
        <v>258.20189001775151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1.4210854715202004E-13</v>
      </c>
      <c r="EK77" s="18">
        <f>EJ77*VLOOKUP('Données projet'!$B$15,Paramètres!$A$1:$I$89,3,0)*VLOOKUP('Données projet'!$B$15,Paramètres!$A$1:$I$89,5,0)</f>
        <v>1.1527845344971866E-13</v>
      </c>
      <c r="EL77" s="14">
        <f t="shared" si="99"/>
        <v>1.7033846239409443E-12</v>
      </c>
      <c r="EM77" s="22">
        <f t="shared" si="73"/>
        <v>3.1675048597887374E-12</v>
      </c>
      <c r="EN77" s="61">
        <f t="shared" si="74"/>
        <v>293.3333333333365</v>
      </c>
      <c r="EO77" s="61">
        <f ca="1">AVERAGE(OFFSET($EN$3,0,0,'Données projet'!$E$15+1,1))-AVERAGE(OFFSET($H$3,0,0,'Données projet'!$E$15+1,1))</f>
        <v>222.15256609836689</v>
      </c>
      <c r="EP77" s="61">
        <f t="shared" si="100"/>
        <v>221.10360210521077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1.1368683772161603E-13</v>
      </c>
      <c r="FF77" s="18">
        <f>FE77*VLOOKUP('Données projet'!$B$16,Paramètres!$A$1:$I$89,3,0)*VLOOKUP('Données projet'!$B$16,Paramètres!$A$1:$I$89,5,0)</f>
        <v>8.8675733422860506E-14</v>
      </c>
      <c r="FG77" s="14">
        <f t="shared" si="101"/>
        <v>1.3509285393066301E-12</v>
      </c>
      <c r="FH77" s="22">
        <f t="shared" si="76"/>
        <v>2.5073107750038623E-12</v>
      </c>
      <c r="FI77" s="61">
        <f t="shared" si="77"/>
        <v>293.33333333333582</v>
      </c>
      <c r="FJ77" s="61">
        <f ca="1">AVERAGE(OFFSET($FI$3,0,0,'Données projet'!$E$16+1,1))-AVERAGE(OFFSET($H$3,0,0,'Données projet'!$E$16+1,1))</f>
        <v>292.57482726862594</v>
      </c>
      <c r="FK77" s="61">
        <f t="shared" si="102"/>
        <v>283.48738729114024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6.2</v>
      </c>
      <c r="FZ77" s="13">
        <f>IF('Données projet'!$A$244&gt;35,FZ76+FY77-GH76,IF(A77&lt;'Données projet'!$A$244,$FW$205^A77,IF(A77='Données projet'!$A$244,'Données projet'!$B$244,FZ76+FY77-GH76)))</f>
        <v>245.7999999999999</v>
      </c>
      <c r="GA77" s="18">
        <f>FZ77*VLOOKUP('Données projet'!$B$17,Paramètres!$A$1:$I$89,3,0)*VLOOKUP('Données projet'!$B$17,Paramètres!$A$1:$I$89,5,0)</f>
        <v>237.73775999999989</v>
      </c>
      <c r="GB77" s="14">
        <f t="shared" si="103"/>
        <v>57.952530566790166</v>
      </c>
      <c r="GC77" s="22">
        <f t="shared" si="79"/>
        <v>514.99392273715932</v>
      </c>
      <c r="GD77" s="61">
        <f t="shared" si="80"/>
        <v>808.32725607049269</v>
      </c>
      <c r="GE77" s="61">
        <f ca="1">AVERAGE(OFFSET($GD$3,0,0,'Données projet'!$E$17+1,1))-AVERAGE(OFFSET($H$3,0,0,'Données projet'!$E$17+1,1))</f>
        <v>455.50822833641354</v>
      </c>
      <c r="GF77" s="61">
        <f t="shared" si="104"/>
        <v>261.14722581688039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0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0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6.2</v>
      </c>
      <c r="GU77" s="13">
        <f>IF('Données projet'!$A$270&gt;35,GU76+GT77-HC76,IF(A77&lt;'Données projet'!$A$270,$GR$205^A77,IF(A77='Données projet'!$A$270,'Données projet'!$B$270,GU76+GT77-HC76)))</f>
        <v>245.7999999999999</v>
      </c>
      <c r="GV77" s="18">
        <f>GU77*VLOOKUP('Données projet'!$B$18,Paramètres!$A$1:$I$89,3,0)*VLOOKUP('Données projet'!$B$18,Paramètres!$A$1:$I$89,5,0)</f>
        <v>264.57911999999988</v>
      </c>
      <c r="GW77" s="14">
        <f t="shared" si="105"/>
        <v>63.697467287221869</v>
      </c>
      <c r="GX77" s="22">
        <f t="shared" si="82"/>
        <v>571.74838952524453</v>
      </c>
      <c r="GY77" s="61">
        <f t="shared" si="83"/>
        <v>865.0817228585779</v>
      </c>
      <c r="GZ77" s="61">
        <f ca="1">AVERAGE(OFFSET($GY$3,0,0,'Données projet'!$E$18+1,1))-AVERAGE(OFFSET($H$3,0,0,'Données projet'!$E$18+1,1))</f>
        <v>502.07782026233912</v>
      </c>
      <c r="HA77" s="61">
        <f t="shared" si="106"/>
        <v>285.83623046025156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0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0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228.00959999999986</v>
      </c>
      <c r="P78" s="14">
        <f t="shared" si="87"/>
        <v>55.852093054619779</v>
      </c>
      <c r="Q78" s="22">
        <f t="shared" si="54"/>
        <v>494.39244873679587</v>
      </c>
      <c r="R78" s="61">
        <f t="shared" si="55"/>
        <v>787.72578207012918</v>
      </c>
      <c r="S78" s="61">
        <f ca="1">AVERAGE(OFFSET($R$3,0,0,'Données projet'!$E$9+1,1))-AVERAGE(OFFSET($H$3,0,0,'Données projet'!$E$9+1,1))</f>
        <v>428.8489304403459</v>
      </c>
      <c r="T78" s="61">
        <f t="shared" si="88"/>
        <v>247.01165577562966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1">
        <f t="shared" si="59"/>
        <v>845.95749237135647</v>
      </c>
      <c r="AN78" s="61">
        <f ca="1">AVERAGE(OFFSET($AM$3,0,0,'Données projet'!$E$10+1,1))-AVERAGE(OFFSET($H$3,0,0,'Données projet'!$E$10+1,1))</f>
        <v>475.47920969424894</v>
      </c>
      <c r="AO78" s="61">
        <f t="shared" si="90"/>
        <v>271.73544012419364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-3.4106051316484809E-13</v>
      </c>
      <c r="BE78" s="14">
        <f>BD78*VLOOKUP('Données projet'!$B$11,Paramètres!$A$1:$I$89,3,0)*VLOOKUP('Données projet'!$B$11,Paramètres!$A$1:$I$89,5,0)</f>
        <v>-1.9065282685915009E-13</v>
      </c>
      <c r="BF78" s="14" t="e">
        <f t="shared" si="91"/>
        <v>#NUM!</v>
      </c>
      <c r="BG78" s="22" t="e">
        <f t="shared" si="61"/>
        <v>#NUM!</v>
      </c>
      <c r="BH78" s="61" t="e">
        <f t="shared" si="62"/>
        <v>#NUM!</v>
      </c>
      <c r="BI78" s="61">
        <f ca="1">AVERAGE(OFFSET($BH$3,0,0,'Données projet'!$E$11+1,1))-AVERAGE(OFFSET($H$3,0,0,'Données projet'!$E$11+1,1))</f>
        <v>374.79806286316051</v>
      </c>
      <c r="BJ78" s="61">
        <f t="shared" si="92"/>
        <v>350.01856672839466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6.3952121814176888</v>
      </c>
      <c r="BR78" s="23">
        <f>EXP(-LN(2)/2)*BR77+(1-EXP(-LN(2)/2))/(LN(2)/2)*BL78*BO78*VLOOKUP('Données projet'!$B$11,Paramètres!$A$1:$I$89,3,0)*0.475*44/12</f>
        <v>1.8557731200200054E-6</v>
      </c>
      <c r="BS78" s="24">
        <f t="shared" si="63"/>
        <v>6.3952140371908088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9.52371794871795</v>
      </c>
      <c r="BY78" s="13">
        <f>IF('Données projet'!$A$114&gt;35,BY77+BX78-CG77,IF(A78&lt;'Données projet'!$A$114,$BV$205^A78,IF(A78='Données projet'!$A$114,'Données projet'!$B$114,BY77+BX78-CG77)))</f>
        <v>283.59358974358963</v>
      </c>
      <c r="BZ78" s="14">
        <f>BY78*VLOOKUP('Données projet'!$B$12,Paramètres!$A$1:$I$89,3,0)*VLOOKUP('Données projet'!$B$12,Paramètres!$A$1:$I$89,5,0)</f>
        <v>132.72179999999994</v>
      </c>
      <c r="CA78" s="14">
        <f t="shared" si="93"/>
        <v>34.624526937017947</v>
      </c>
      <c r="CB78" s="22">
        <f t="shared" si="64"/>
        <v>291.4615194153061</v>
      </c>
      <c r="CC78" s="61">
        <f t="shared" si="65"/>
        <v>584.79485274863941</v>
      </c>
      <c r="CD78" s="61">
        <f ca="1">AVERAGE(OFFSET($CC$3,0,0,'Données projet'!$E$12+1,1))-AVERAGE(OFFSET($H$3,0,0,'Données projet'!$E$12+1,1))</f>
        <v>285.59863510278109</v>
      </c>
      <c r="CE78" s="61">
        <f t="shared" si="94"/>
        <v>190.4880882944471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11.3</v>
      </c>
      <c r="CT78" s="13">
        <f>IF('Données projet'!$A$140&gt;35,CT77+CS78-DB77,IF(A78&lt;'Données projet'!$A$140,$CQ$205^A78,IF(A78='Données projet'!$A$140,'Données projet'!$B$140,CT77+CS78-DB77)))</f>
        <v>304.50000000000006</v>
      </c>
      <c r="CU78" s="18">
        <f>CT78*VLOOKUP('Données projet'!$B$13,Paramètres!$A$1:$I$89,3,0)*VLOOKUP('Données projet'!$B$13,Paramètres!$A$1:$I$89,5,0)</f>
        <v>146.46450000000004</v>
      </c>
      <c r="CV78" s="14">
        <f t="shared" si="95"/>
        <v>37.774018610834226</v>
      </c>
      <c r="CW78" s="22">
        <f t="shared" si="67"/>
        <v>320.88208658053628</v>
      </c>
      <c r="CX78" s="61">
        <f t="shared" si="68"/>
        <v>614.2154199138696</v>
      </c>
      <c r="CY78" s="61">
        <f ca="1">AVERAGE(OFFSET($CX$3,0,0,'Données projet'!$E$13+1,1))-AVERAGE(OFFSET($H$3,0,0,'Données projet'!$E$13+1,1))</f>
        <v>273.72618036666552</v>
      </c>
      <c r="CZ78" s="61">
        <f t="shared" si="96"/>
        <v>157.67999791700714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260.89743589743591</v>
      </c>
      <c r="DM78" s="13">
        <f>VLOOKUP(A78,'Données projet'!$A$165:$I$185,9,0)</f>
        <v>4.6153846153846247</v>
      </c>
      <c r="DN78" s="13">
        <f t="array" ref="DN78">INDEX(DM:DM,MIN(IF(ISNUMBER(DM78:DM274),ROW(DM78:DM274),"")))</f>
        <v>4.6153846153846247</v>
      </c>
      <c r="DO78" s="13">
        <f>IF('Données projet'!$A$166&gt;35,DO77+DN78-DW77,IF(A78&lt;'Données projet'!$A$166,$DL$205^A78,IF(A78='Données projet'!$A$166,'Données projet'!$B$166,DO77+DN78-DW77)))</f>
        <v>260.89743589743597</v>
      </c>
      <c r="DP78" s="18">
        <f>DO78*VLOOKUP('Données projet'!$B$14,Paramètres!$A$1:$I$89,3,0)*VLOOKUP('Données projet'!$B$14,Paramètres!$A$1:$I$89,5,0)</f>
        <v>175.01000000000005</v>
      </c>
      <c r="DQ78" s="14">
        <f t="shared" si="97"/>
        <v>44.210193140944192</v>
      </c>
      <c r="DR78" s="22">
        <f t="shared" si="70"/>
        <v>381.80850305381119</v>
      </c>
      <c r="DS78" s="61">
        <f t="shared" si="71"/>
        <v>675.14183638714451</v>
      </c>
      <c r="DT78" s="61">
        <f ca="1">AVERAGE(OFFSET($DS$3,0,0,'Données projet'!$E$14+1,1))-AVERAGE(OFFSET($H$3,0,0,'Données projet'!$E$14+1,1))</f>
        <v>312.06797204903796</v>
      </c>
      <c r="DU78" s="61">
        <f t="shared" si="98"/>
        <v>258.20189001775151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1.4210854715202004E-13</v>
      </c>
      <c r="EK78" s="18">
        <f>EJ78*VLOOKUP('Données projet'!$B$15,Paramètres!$A$1:$I$89,3,0)*VLOOKUP('Données projet'!$B$15,Paramètres!$A$1:$I$89,5,0)</f>
        <v>1.1527845344971866E-13</v>
      </c>
      <c r="EL78" s="14">
        <f t="shared" si="99"/>
        <v>1.7033846239409443E-12</v>
      </c>
      <c r="EM78" s="22">
        <f t="shared" si="73"/>
        <v>3.1675048597887374E-12</v>
      </c>
      <c r="EN78" s="61">
        <f t="shared" si="74"/>
        <v>293.3333333333365</v>
      </c>
      <c r="EO78" s="61">
        <f ca="1">AVERAGE(OFFSET($EN$3,0,0,'Données projet'!$E$15+1,1))-AVERAGE(OFFSET($H$3,0,0,'Données projet'!$E$15+1,1))</f>
        <v>222.15256609836689</v>
      </c>
      <c r="EP78" s="61">
        <f t="shared" si="100"/>
        <v>221.10360210521077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1.1368683772161603E-13</v>
      </c>
      <c r="FF78" s="18">
        <f>FE78*VLOOKUP('Données projet'!$B$16,Paramètres!$A$1:$I$89,3,0)*VLOOKUP('Données projet'!$B$16,Paramètres!$A$1:$I$89,5,0)</f>
        <v>8.8675733422860506E-14</v>
      </c>
      <c r="FG78" s="14">
        <f t="shared" si="101"/>
        <v>1.3509285393066301E-12</v>
      </c>
      <c r="FH78" s="22">
        <f t="shared" si="76"/>
        <v>2.5073107750038623E-12</v>
      </c>
      <c r="FI78" s="61">
        <f t="shared" si="77"/>
        <v>293.33333333333582</v>
      </c>
      <c r="FJ78" s="61">
        <f ca="1">AVERAGE(OFFSET($FI$3,0,0,'Données projet'!$E$16+1,1))-AVERAGE(OFFSET($H$3,0,0,'Données projet'!$E$16+1,1))</f>
        <v>292.57482726862594</v>
      </c>
      <c r="FK78" s="61">
        <f t="shared" si="102"/>
        <v>283.48738729114024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>
        <f>VLOOKUP(A78,'Données projet'!$A$243:$I$263,2,0)</f>
        <v>252</v>
      </c>
      <c r="FX78" s="13">
        <f>VLOOKUP(A78,'Données projet'!$A$243:$I$263,9,0)</f>
        <v>6.2</v>
      </c>
      <c r="FY78" s="13">
        <f t="array" ref="FY78">INDEX(FX:FX,MIN(IF(ISNUMBER(FX78:FX274),ROW(FX78:FX274),"")))</f>
        <v>6.2</v>
      </c>
      <c r="FZ78" s="13">
        <f>IF('Données projet'!$A$244&gt;35,FZ77+FY78-GH77,IF(A78&lt;'Données projet'!$A$244,$FW$205^A78,IF(A78='Données projet'!$A$244,'Données projet'!$B$244,FZ77+FY78-GH77)))</f>
        <v>251.99999999999989</v>
      </c>
      <c r="GA78" s="18">
        <f>FZ78*VLOOKUP('Données projet'!$B$17,Paramètres!$A$1:$I$89,3,0)*VLOOKUP('Données projet'!$B$17,Paramètres!$A$1:$I$89,5,0)</f>
        <v>243.73439999999988</v>
      </c>
      <c r="GB78" s="14">
        <f t="shared" si="103"/>
        <v>59.242281392848767</v>
      </c>
      <c r="GC78" s="22">
        <f t="shared" si="79"/>
        <v>527.68438675921141</v>
      </c>
      <c r="GD78" s="61">
        <f t="shared" si="80"/>
        <v>821.01772009254478</v>
      </c>
      <c r="GE78" s="61">
        <f ca="1">AVERAGE(OFFSET($GD$3,0,0,'Données projet'!$E$17+1,1))-AVERAGE(OFFSET($H$3,0,0,'Données projet'!$E$17+1,1))</f>
        <v>455.50822833641354</v>
      </c>
      <c r="GF78" s="61">
        <f t="shared" si="104"/>
        <v>261.14722581688039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0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0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>
        <f>VLOOKUP(A78,'Données projet'!$A$269:$I$289,2,0)</f>
        <v>252</v>
      </c>
      <c r="GS78" s="13">
        <f>VLOOKUP(A78,'Données projet'!$A$269:$I$289,9,0)</f>
        <v>6.2</v>
      </c>
      <c r="GT78" s="13">
        <f t="array" ref="GT78">INDEX(GS:GS,MIN(IF(ISNUMBER(GS78:GS274),ROW(GS78:GS274),"")))</f>
        <v>6.2</v>
      </c>
      <c r="GU78" s="13">
        <f>IF('Données projet'!$A$270&gt;35,GU77+GT78-HC77,IF(A78&lt;'Données projet'!$A$270,$GR$205^A78,IF(A78='Données projet'!$A$270,'Données projet'!$B$270,GU77+GT78-HC77)))</f>
        <v>251.99999999999989</v>
      </c>
      <c r="GV78" s="18">
        <f>GU78*VLOOKUP('Données projet'!$B$18,Paramètres!$A$1:$I$89,3,0)*VLOOKUP('Données projet'!$B$18,Paramètres!$A$1:$I$89,5,0)</f>
        <v>271.25279999999987</v>
      </c>
      <c r="GW78" s="14">
        <f t="shared" si="105"/>
        <v>65.115073390838859</v>
      </c>
      <c r="GX78" s="22">
        <f t="shared" si="82"/>
        <v>585.84071282237744</v>
      </c>
      <c r="GY78" s="61">
        <f t="shared" si="83"/>
        <v>879.17404615571081</v>
      </c>
      <c r="GZ78" s="61">
        <f ca="1">AVERAGE(OFFSET($GY$3,0,0,'Données projet'!$E$18+1,1))-AVERAGE(OFFSET($H$3,0,0,'Données projet'!$E$18+1,1))</f>
        <v>502.07782026233912</v>
      </c>
      <c r="HA78" s="61">
        <f t="shared" si="106"/>
        <v>285.83623046025156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0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0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233.43839999999989</v>
      </c>
      <c r="P79" s="14">
        <f t="shared" si="87"/>
        <v>57.025500710931624</v>
      </c>
      <c r="Q79" s="22">
        <f t="shared" si="54"/>
        <v>505.89129373820577</v>
      </c>
      <c r="R79" s="61">
        <f t="shared" si="55"/>
        <v>799.22462707153909</v>
      </c>
      <c r="S79" s="61">
        <f ca="1">AVERAGE(OFFSET($R$3,0,0,'Données projet'!$E$9+1,1))-AVERAGE(OFFSET($H$3,0,0,'Données projet'!$E$9+1,1))</f>
        <v>428.8489304403459</v>
      </c>
      <c r="T79" s="61">
        <f t="shared" si="88"/>
        <v>247.01165577562966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1">
        <f t="shared" si="59"/>
        <v>858.81395257903955</v>
      </c>
      <c r="AN79" s="61">
        <f ca="1">AVERAGE(OFFSET($AM$3,0,0,'Données projet'!$E$10+1,1))-AVERAGE(OFFSET($H$3,0,0,'Données projet'!$E$10+1,1))</f>
        <v>475.47920969424894</v>
      </c>
      <c r="AO79" s="61">
        <f t="shared" si="90"/>
        <v>271.73544012419364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-3.4106051316484809E-13</v>
      </c>
      <c r="BE79" s="14">
        <f>BD79*VLOOKUP('Données projet'!$B$11,Paramètres!$A$1:$I$89,3,0)*VLOOKUP('Données projet'!$B$11,Paramètres!$A$1:$I$89,5,0)</f>
        <v>-1.9065282685915009E-13</v>
      </c>
      <c r="BF79" s="14" t="e">
        <f t="shared" si="91"/>
        <v>#NUM!</v>
      </c>
      <c r="BG79" s="22" t="e">
        <f t="shared" si="61"/>
        <v>#NUM!</v>
      </c>
      <c r="BH79" s="61" t="e">
        <f t="shared" si="62"/>
        <v>#NUM!</v>
      </c>
      <c r="BI79" s="61">
        <f ca="1">AVERAGE(OFFSET($BH$3,0,0,'Données projet'!$E$11+1,1))-AVERAGE(OFFSET($H$3,0,0,'Données projet'!$E$11+1,1))</f>
        <v>374.79806286316051</v>
      </c>
      <c r="BJ79" s="61">
        <f t="shared" si="92"/>
        <v>350.01856672839466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6.2203347680072296</v>
      </c>
      <c r="BR79" s="23">
        <f>EXP(-LN(2)/2)*BR78+(1-EXP(-LN(2)/2))/(LN(2)/2)*BL79*BO79*VLOOKUP('Données projet'!$B$11,Paramètres!$A$1:$I$89,3,0)*0.475*44/12</f>
        <v>1.3122297575098628E-6</v>
      </c>
      <c r="BS79" s="24">
        <f t="shared" si="63"/>
        <v>6.2203360802369874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9.52371794871795</v>
      </c>
      <c r="BY79" s="13">
        <f>IF('Données projet'!$A$114&gt;35,BY78+BX79-CG78,IF(A79&lt;'Données projet'!$A$114,$BV$205^A79,IF(A79='Données projet'!$A$114,'Données projet'!$B$114,BY78+BX79-CG78)))</f>
        <v>293.11730769230758</v>
      </c>
      <c r="BZ79" s="14">
        <f>BY79*VLOOKUP('Données projet'!$B$12,Paramètres!$A$1:$I$89,3,0)*VLOOKUP('Données projet'!$B$12,Paramètres!$A$1:$I$89,5,0)</f>
        <v>137.17889999999994</v>
      </c>
      <c r="CA79" s="14">
        <f t="shared" si="93"/>
        <v>35.649967423044082</v>
      </c>
      <c r="CB79" s="22">
        <f t="shared" si="64"/>
        <v>301.01027742846833</v>
      </c>
      <c r="CC79" s="61">
        <f t="shared" si="65"/>
        <v>594.34361076180164</v>
      </c>
      <c r="CD79" s="61">
        <f ca="1">AVERAGE(OFFSET($CC$3,0,0,'Données projet'!$E$12+1,1))-AVERAGE(OFFSET($H$3,0,0,'Données projet'!$E$12+1,1))</f>
        <v>285.59863510278109</v>
      </c>
      <c r="CE79" s="61">
        <f t="shared" si="94"/>
        <v>190.4880882944471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11.3</v>
      </c>
      <c r="CT79" s="13">
        <f>IF('Données projet'!$A$140&gt;35,CT78+CS79-DB78,IF(A79&lt;'Données projet'!$A$140,$CQ$205^A79,IF(A79='Données projet'!$A$140,'Données projet'!$B$140,CT78+CS79-DB78)))</f>
        <v>315.80000000000007</v>
      </c>
      <c r="CU79" s="18">
        <f>CT79*VLOOKUP('Données projet'!$B$13,Paramètres!$A$1:$I$89,3,0)*VLOOKUP('Données projet'!$B$13,Paramètres!$A$1:$I$89,5,0)</f>
        <v>151.89980000000003</v>
      </c>
      <c r="CV79" s="14">
        <f t="shared" si="95"/>
        <v>39.010005235445981</v>
      </c>
      <c r="CW79" s="22">
        <f t="shared" si="67"/>
        <v>332.50124411840181</v>
      </c>
      <c r="CX79" s="61">
        <f t="shared" si="68"/>
        <v>625.83457745173519</v>
      </c>
      <c r="CY79" s="61">
        <f ca="1">AVERAGE(OFFSET($CX$3,0,0,'Données projet'!$E$13+1,1))-AVERAGE(OFFSET($H$3,0,0,'Données projet'!$E$13+1,1))</f>
        <v>273.72618036666552</v>
      </c>
      <c r="CZ79" s="61">
        <f t="shared" si="96"/>
        <v>157.67999791700714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4.2307692307692264</v>
      </c>
      <c r="DO79" s="13">
        <f>IF('Données projet'!$A$166&gt;35,DO78+DN79-DW78,IF(A79&lt;'Données projet'!$A$166,$DL$205^A79,IF(A79='Données projet'!$A$166,'Données projet'!$B$166,DO78+DN79-DW78)))</f>
        <v>265.1282051282052</v>
      </c>
      <c r="DP79" s="18">
        <f>DO79*VLOOKUP('Données projet'!$B$14,Paramètres!$A$1:$I$89,3,0)*VLOOKUP('Données projet'!$B$14,Paramètres!$A$1:$I$89,5,0)</f>
        <v>177.84800000000004</v>
      </c>
      <c r="DQ79" s="14">
        <f t="shared" si="97"/>
        <v>44.84307118144492</v>
      </c>
      <c r="DR79" s="22">
        <f t="shared" si="70"/>
        <v>387.85361564101663</v>
      </c>
      <c r="DS79" s="61">
        <f t="shared" si="71"/>
        <v>681.18694897434989</v>
      </c>
      <c r="DT79" s="61">
        <f ca="1">AVERAGE(OFFSET($DS$3,0,0,'Données projet'!$E$14+1,1))-AVERAGE(OFFSET($H$3,0,0,'Données projet'!$E$14+1,1))</f>
        <v>312.06797204903796</v>
      </c>
      <c r="DU79" s="61">
        <f t="shared" si="98"/>
        <v>258.20189001775151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1.4210854715202004E-13</v>
      </c>
      <c r="EK79" s="18">
        <f>EJ79*VLOOKUP('Données projet'!$B$15,Paramètres!$A$1:$I$89,3,0)*VLOOKUP('Données projet'!$B$15,Paramètres!$A$1:$I$89,5,0)</f>
        <v>1.1527845344971866E-13</v>
      </c>
      <c r="EL79" s="14">
        <f t="shared" si="99"/>
        <v>1.7033846239409443E-12</v>
      </c>
      <c r="EM79" s="22">
        <f t="shared" si="73"/>
        <v>3.1675048597887374E-12</v>
      </c>
      <c r="EN79" s="61">
        <f t="shared" si="74"/>
        <v>293.3333333333365</v>
      </c>
      <c r="EO79" s="61">
        <f ca="1">AVERAGE(OFFSET($EN$3,0,0,'Données projet'!$E$15+1,1))-AVERAGE(OFFSET($H$3,0,0,'Données projet'!$E$15+1,1))</f>
        <v>222.15256609836689</v>
      </c>
      <c r="EP79" s="61">
        <f t="shared" si="100"/>
        <v>221.10360210521077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1.1368683772161603E-13</v>
      </c>
      <c r="FF79" s="18">
        <f>FE79*VLOOKUP('Données projet'!$B$16,Paramètres!$A$1:$I$89,3,0)*VLOOKUP('Données projet'!$B$16,Paramètres!$A$1:$I$89,5,0)</f>
        <v>8.8675733422860506E-14</v>
      </c>
      <c r="FG79" s="14">
        <f t="shared" si="101"/>
        <v>1.3509285393066301E-12</v>
      </c>
      <c r="FH79" s="22">
        <f t="shared" si="76"/>
        <v>2.5073107750038623E-12</v>
      </c>
      <c r="FI79" s="61">
        <f t="shared" si="77"/>
        <v>293.33333333333582</v>
      </c>
      <c r="FJ79" s="61">
        <f ca="1">AVERAGE(OFFSET($FI$3,0,0,'Données projet'!$E$16+1,1))-AVERAGE(OFFSET($H$3,0,0,'Données projet'!$E$16+1,1))</f>
        <v>292.57482726862594</v>
      </c>
      <c r="FK79" s="61">
        <f t="shared" si="102"/>
        <v>283.48738729114024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6</v>
      </c>
      <c r="FZ79" s="13">
        <f>IF('Données projet'!$A$244&gt;35,FZ78+FY79-GH78,IF(A79&lt;'Données projet'!$A$244,$FW$205^A79,IF(A79='Données projet'!$A$244,'Données projet'!$B$244,FZ78+FY79-GH78)))</f>
        <v>257.99999999999989</v>
      </c>
      <c r="GA79" s="18">
        <f>FZ79*VLOOKUP('Données projet'!$B$17,Paramètres!$A$1:$I$89,3,0)*VLOOKUP('Données projet'!$B$17,Paramètres!$A$1:$I$89,5,0)</f>
        <v>249.53759999999988</v>
      </c>
      <c r="GB79" s="14">
        <f t="shared" si="103"/>
        <v>60.486914185674671</v>
      </c>
      <c r="GC79" s="22">
        <f t="shared" si="79"/>
        <v>539.95936220671649</v>
      </c>
      <c r="GD79" s="61">
        <f t="shared" si="80"/>
        <v>833.29269554004986</v>
      </c>
      <c r="GE79" s="61">
        <f ca="1">AVERAGE(OFFSET($GD$3,0,0,'Données projet'!$E$17+1,1))-AVERAGE(OFFSET($H$3,0,0,'Données projet'!$E$17+1,1))</f>
        <v>455.50822833641354</v>
      </c>
      <c r="GF79" s="61">
        <f t="shared" si="104"/>
        <v>261.14722581688039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0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0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6</v>
      </c>
      <c r="GU79" s="13">
        <f>IF('Données projet'!$A$270&gt;35,GU78+GT79-HC78,IF(A79&lt;'Données projet'!$A$270,$GR$205^A79,IF(A79='Données projet'!$A$270,'Données projet'!$B$270,GU78+GT79-HC78)))</f>
        <v>257.99999999999989</v>
      </c>
      <c r="GV79" s="18">
        <f>GU79*VLOOKUP('Données projet'!$B$18,Paramètres!$A$1:$I$89,3,0)*VLOOKUP('Données projet'!$B$18,Paramètres!$A$1:$I$89,5,0)</f>
        <v>277.71119999999985</v>
      </c>
      <c r="GW79" s="14">
        <f t="shared" si="105"/>
        <v>66.483088830893976</v>
      </c>
      <c r="GX79" s="22">
        <f t="shared" si="82"/>
        <v>599.47171971380669</v>
      </c>
      <c r="GY79" s="61">
        <f t="shared" si="83"/>
        <v>892.80505304714006</v>
      </c>
      <c r="GZ79" s="61">
        <f ca="1">AVERAGE(OFFSET($GY$3,0,0,'Données projet'!$E$18+1,1))-AVERAGE(OFFSET($H$3,0,0,'Données projet'!$E$18+1,1))</f>
        <v>502.07782026233912</v>
      </c>
      <c r="HA79" s="61">
        <f t="shared" si="106"/>
        <v>285.83623046025156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0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0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238.86719999999988</v>
      </c>
      <c r="P80" s="14">
        <f t="shared" si="87"/>
        <v>58.195735973104156</v>
      </c>
      <c r="Q80" s="22">
        <f t="shared" si="54"/>
        <v>517.38461348648957</v>
      </c>
      <c r="R80" s="61">
        <f t="shared" si="55"/>
        <v>810.71794681982283</v>
      </c>
      <c r="S80" s="61">
        <f ca="1">AVERAGE(OFFSET($R$3,0,0,'Données projet'!$E$9+1,1))-AVERAGE(OFFSET($H$3,0,0,'Données projet'!$E$9+1,1))</f>
        <v>428.8489304403459</v>
      </c>
      <c r="T80" s="61">
        <f t="shared" si="88"/>
        <v>247.01165577562966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1">
        <f t="shared" si="59"/>
        <v>871.66430227691103</v>
      </c>
      <c r="AN80" s="61">
        <f ca="1">AVERAGE(OFFSET($AM$3,0,0,'Données projet'!$E$10+1,1))-AVERAGE(OFFSET($H$3,0,0,'Données projet'!$E$10+1,1))</f>
        <v>475.47920969424894</v>
      </c>
      <c r="AO80" s="61">
        <f t="shared" si="90"/>
        <v>271.73544012419364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-3.4106051316484809E-13</v>
      </c>
      <c r="BE80" s="14">
        <f>BD80*VLOOKUP('Données projet'!$B$11,Paramètres!$A$1:$I$89,3,0)*VLOOKUP('Données projet'!$B$11,Paramètres!$A$1:$I$89,5,0)</f>
        <v>-1.9065282685915009E-13</v>
      </c>
      <c r="BF80" s="14" t="e">
        <f t="shared" si="91"/>
        <v>#NUM!</v>
      </c>
      <c r="BG80" s="22" t="e">
        <f t="shared" si="61"/>
        <v>#NUM!</v>
      </c>
      <c r="BH80" s="61" t="e">
        <f t="shared" si="62"/>
        <v>#NUM!</v>
      </c>
      <c r="BI80" s="61">
        <f ca="1">AVERAGE(OFFSET($BH$3,0,0,'Données projet'!$E$11+1,1))-AVERAGE(OFFSET($H$3,0,0,'Données projet'!$E$11+1,1))</f>
        <v>374.79806286316051</v>
      </c>
      <c r="BJ80" s="61">
        <f t="shared" si="92"/>
        <v>350.01856672839466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6.0502393866628834</v>
      </c>
      <c r="BR80" s="23">
        <f>EXP(-LN(2)/2)*BR79+(1-EXP(-LN(2)/2))/(LN(2)/2)*BL80*BO80*VLOOKUP('Données projet'!$B$11,Paramètres!$A$1:$I$89,3,0)*0.475*44/12</f>
        <v>9.2788656001000292E-7</v>
      </c>
      <c r="BS80" s="24">
        <f t="shared" si="63"/>
        <v>6.050240314549443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9.52371794871795</v>
      </c>
      <c r="BY80" s="13">
        <f>IF('Données projet'!$A$114&gt;35,BY79+BX80-CG79,IF(A80&lt;'Données projet'!$A$114,$BV$205^A80,IF(A80='Données projet'!$A$114,'Données projet'!$B$114,BY79+BX80-CG79)))</f>
        <v>302.64102564102552</v>
      </c>
      <c r="BZ80" s="14">
        <f>BY80*VLOOKUP('Données projet'!$B$12,Paramètres!$A$1:$I$89,3,0)*VLOOKUP('Données projet'!$B$12,Paramètres!$A$1:$I$89,5,0)</f>
        <v>141.63599999999994</v>
      </c>
      <c r="CA80" s="14">
        <f t="shared" si="93"/>
        <v>36.671536328944384</v>
      </c>
      <c r="CB80" s="22">
        <f t="shared" si="64"/>
        <v>310.55229243957797</v>
      </c>
      <c r="CC80" s="61">
        <f t="shared" si="65"/>
        <v>603.88562577291123</v>
      </c>
      <c r="CD80" s="61">
        <f ca="1">AVERAGE(OFFSET($CC$3,0,0,'Données projet'!$E$12+1,1))-AVERAGE(OFFSET($H$3,0,0,'Données projet'!$E$12+1,1))</f>
        <v>285.59863510278109</v>
      </c>
      <c r="CE80" s="61">
        <f t="shared" si="94"/>
        <v>190.4880882944471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11.3</v>
      </c>
      <c r="CT80" s="13">
        <f>IF('Données projet'!$A$140&gt;35,CT79+CS80-DB79,IF(A80&lt;'Données projet'!$A$140,$CQ$205^A80,IF(A80='Données projet'!$A$140,'Données projet'!$B$140,CT79+CS80-DB79)))</f>
        <v>327.10000000000008</v>
      </c>
      <c r="CU80" s="18">
        <f>CT80*VLOOKUP('Données projet'!$B$13,Paramètres!$A$1:$I$89,3,0)*VLOOKUP('Données projet'!$B$13,Paramètres!$A$1:$I$89,5,0)</f>
        <v>157.33510000000004</v>
      </c>
      <c r="CV80" s="14">
        <f t="shared" si="95"/>
        <v>40.240853472438801</v>
      </c>
      <c r="CW80" s="22">
        <f t="shared" si="67"/>
        <v>344.11145229783097</v>
      </c>
      <c r="CX80" s="61">
        <f t="shared" si="68"/>
        <v>637.44478563116422</v>
      </c>
      <c r="CY80" s="61">
        <f ca="1">AVERAGE(OFFSET($CX$3,0,0,'Données projet'!$E$13+1,1))-AVERAGE(OFFSET($H$3,0,0,'Données projet'!$E$13+1,1))</f>
        <v>273.72618036666552</v>
      </c>
      <c r="CZ80" s="61">
        <f t="shared" si="96"/>
        <v>157.67999791700714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4.2307692307692264</v>
      </c>
      <c r="DO80" s="13">
        <f>IF('Données projet'!$A$166&gt;35,DO79+DN80-DW79,IF(A80&lt;'Données projet'!$A$166,$DL$205^A80,IF(A80='Données projet'!$A$166,'Données projet'!$B$166,DO79+DN80-DW79)))</f>
        <v>269.35897435897442</v>
      </c>
      <c r="DP80" s="18">
        <f>DO80*VLOOKUP('Données projet'!$B$14,Paramètres!$A$1:$I$89,3,0)*VLOOKUP('Données projet'!$B$14,Paramètres!$A$1:$I$89,5,0)</f>
        <v>180.68600000000004</v>
      </c>
      <c r="DQ80" s="14">
        <f t="shared" si="97"/>
        <v>45.474774723021419</v>
      </c>
      <c r="DR80" s="22">
        <f t="shared" si="70"/>
        <v>393.89668264259575</v>
      </c>
      <c r="DS80" s="61">
        <f t="shared" si="71"/>
        <v>687.23001597592906</v>
      </c>
      <c r="DT80" s="61">
        <f ca="1">AVERAGE(OFFSET($DS$3,0,0,'Données projet'!$E$14+1,1))-AVERAGE(OFFSET($H$3,0,0,'Données projet'!$E$14+1,1))</f>
        <v>312.06797204903796</v>
      </c>
      <c r="DU80" s="61">
        <f t="shared" si="98"/>
        <v>258.20189001775151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1.4210854715202004E-13</v>
      </c>
      <c r="EK80" s="18">
        <f>EJ80*VLOOKUP('Données projet'!$B$15,Paramètres!$A$1:$I$89,3,0)*VLOOKUP('Données projet'!$B$15,Paramètres!$A$1:$I$89,5,0)</f>
        <v>1.1527845344971866E-13</v>
      </c>
      <c r="EL80" s="14">
        <f t="shared" si="99"/>
        <v>1.7033846239409443E-12</v>
      </c>
      <c r="EM80" s="22">
        <f t="shared" si="73"/>
        <v>3.1675048597887374E-12</v>
      </c>
      <c r="EN80" s="61">
        <f t="shared" si="74"/>
        <v>293.3333333333365</v>
      </c>
      <c r="EO80" s="61">
        <f ca="1">AVERAGE(OFFSET($EN$3,0,0,'Données projet'!$E$15+1,1))-AVERAGE(OFFSET($H$3,0,0,'Données projet'!$E$15+1,1))</f>
        <v>222.15256609836689</v>
      </c>
      <c r="EP80" s="61">
        <f t="shared" si="100"/>
        <v>221.10360210521077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1.1368683772161603E-13</v>
      </c>
      <c r="FF80" s="18">
        <f>FE80*VLOOKUP('Données projet'!$B$16,Paramètres!$A$1:$I$89,3,0)*VLOOKUP('Données projet'!$B$16,Paramètres!$A$1:$I$89,5,0)</f>
        <v>8.8675733422860506E-14</v>
      </c>
      <c r="FG80" s="14">
        <f t="shared" si="101"/>
        <v>1.3509285393066301E-12</v>
      </c>
      <c r="FH80" s="22">
        <f t="shared" si="76"/>
        <v>2.5073107750038623E-12</v>
      </c>
      <c r="FI80" s="61">
        <f t="shared" si="77"/>
        <v>293.33333333333582</v>
      </c>
      <c r="FJ80" s="61">
        <f ca="1">AVERAGE(OFFSET($FI$3,0,0,'Données projet'!$E$16+1,1))-AVERAGE(OFFSET($H$3,0,0,'Données projet'!$E$16+1,1))</f>
        <v>292.57482726862594</v>
      </c>
      <c r="FK80" s="61">
        <f t="shared" si="102"/>
        <v>283.48738729114024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6</v>
      </c>
      <c r="FZ80" s="13">
        <f>IF('Données projet'!$A$244&gt;35,FZ79+FY80-GH79,IF(A80&lt;'Données projet'!$A$244,$FW$205^A80,IF(A80='Données projet'!$A$244,'Données projet'!$B$244,FZ79+FY80-GH79)))</f>
        <v>263.99999999999989</v>
      </c>
      <c r="GA80" s="18">
        <f>FZ80*VLOOKUP('Données projet'!$B$17,Paramètres!$A$1:$I$89,3,0)*VLOOKUP('Données projet'!$B$17,Paramètres!$A$1:$I$89,5,0)</f>
        <v>255.34079999999989</v>
      </c>
      <c r="GB80" s="14">
        <f t="shared" si="103"/>
        <v>61.728182021951895</v>
      </c>
      <c r="GC80" s="22">
        <f t="shared" si="79"/>
        <v>552.22847702156594</v>
      </c>
      <c r="GD80" s="61">
        <f t="shared" si="80"/>
        <v>845.56181035489931</v>
      </c>
      <c r="GE80" s="61">
        <f ca="1">AVERAGE(OFFSET($GD$3,0,0,'Données projet'!$E$17+1,1))-AVERAGE(OFFSET($H$3,0,0,'Données projet'!$E$17+1,1))</f>
        <v>455.50822833641354</v>
      </c>
      <c r="GF80" s="61">
        <f t="shared" si="104"/>
        <v>261.14722581688039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0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0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6</v>
      </c>
      <c r="GU80" s="13">
        <f>IF('Données projet'!$A$270&gt;35,GU79+GT80-HC79,IF(A80&lt;'Données projet'!$A$270,$GR$205^A80,IF(A80='Données projet'!$A$270,'Données projet'!$B$270,GU79+GT80-HC79)))</f>
        <v>263.99999999999989</v>
      </c>
      <c r="GV80" s="18">
        <f>GU80*VLOOKUP('Données projet'!$B$18,Paramètres!$A$1:$I$89,3,0)*VLOOKUP('Données projet'!$B$18,Paramètres!$A$1:$I$89,5,0)</f>
        <v>284.16959999999989</v>
      </c>
      <c r="GW80" s="14">
        <f t="shared" si="105"/>
        <v>67.847405740313874</v>
      </c>
      <c r="GX80" s="22">
        <f t="shared" si="82"/>
        <v>613.09628499771316</v>
      </c>
      <c r="GY80" s="61">
        <f t="shared" si="83"/>
        <v>906.42961833104641</v>
      </c>
      <c r="GZ80" s="61">
        <f ca="1">AVERAGE(OFFSET($GY$3,0,0,'Données projet'!$E$18+1,1))-AVERAGE(OFFSET($H$3,0,0,'Données projet'!$E$18+1,1))</f>
        <v>502.07782026233912</v>
      </c>
      <c r="HA80" s="61">
        <f t="shared" si="106"/>
        <v>285.83623046025156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0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0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244.29599999999991</v>
      </c>
      <c r="P81" s="14">
        <f t="shared" si="87"/>
        <v>59.362879241040318</v>
      </c>
      <c r="Q81" s="22">
        <f t="shared" si="54"/>
        <v>528.87254801147833</v>
      </c>
      <c r="R81" s="61">
        <f t="shared" si="55"/>
        <v>822.20588134481159</v>
      </c>
      <c r="S81" s="61">
        <f ca="1">AVERAGE(OFFSET($R$3,0,0,'Données projet'!$E$9+1,1))-AVERAGE(OFFSET($H$3,0,0,'Données projet'!$E$9+1,1))</f>
        <v>428.8489304403459</v>
      </c>
      <c r="T81" s="61">
        <f t="shared" si="88"/>
        <v>247.01165577562966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1">
        <f t="shared" si="59"/>
        <v>884.50869632731633</v>
      </c>
      <c r="AN81" s="61">
        <f ca="1">AVERAGE(OFFSET($AM$3,0,0,'Données projet'!$E$10+1,1))-AVERAGE(OFFSET($H$3,0,0,'Données projet'!$E$10+1,1))</f>
        <v>475.47920969424894</v>
      </c>
      <c r="AO81" s="61">
        <f t="shared" si="90"/>
        <v>271.73544012419364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-3.4106051316484809E-13</v>
      </c>
      <c r="BE81" s="14">
        <f>BD81*VLOOKUP('Données projet'!$B$11,Paramètres!$A$1:$I$89,3,0)*VLOOKUP('Données projet'!$B$11,Paramètres!$A$1:$I$89,5,0)</f>
        <v>-1.9065282685915009E-13</v>
      </c>
      <c r="BF81" s="14" t="e">
        <f t="shared" si="91"/>
        <v>#NUM!</v>
      </c>
      <c r="BG81" s="22" t="e">
        <f t="shared" si="61"/>
        <v>#NUM!</v>
      </c>
      <c r="BH81" s="61" t="e">
        <f t="shared" si="62"/>
        <v>#NUM!</v>
      </c>
      <c r="BI81" s="61">
        <f ca="1">AVERAGE(OFFSET($BH$3,0,0,'Données projet'!$E$11+1,1))-AVERAGE(OFFSET($H$3,0,0,'Données projet'!$E$11+1,1))</f>
        <v>374.79806286316051</v>
      </c>
      <c r="BJ81" s="61">
        <f t="shared" si="92"/>
        <v>350.01856672839466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5.8847952724663255</v>
      </c>
      <c r="BR81" s="23">
        <f>EXP(-LN(2)/2)*BR80+(1-EXP(-LN(2)/2))/(LN(2)/2)*BL81*BO81*VLOOKUP('Données projet'!$B$11,Paramètres!$A$1:$I$89,3,0)*0.475*44/12</f>
        <v>6.5611487875493148E-7</v>
      </c>
      <c r="BS81" s="24">
        <f t="shared" si="63"/>
        <v>5.8847959285812044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9.52371794871795</v>
      </c>
      <c r="BY81" s="13">
        <f>IF('Données projet'!$A$114&gt;35,BY80+BX81-CG80,IF(A81&lt;'Données projet'!$A$114,$BV$205^A81,IF(A81='Données projet'!$A$114,'Données projet'!$B$114,BY80+BX81-CG80)))</f>
        <v>312.16474358974347</v>
      </c>
      <c r="BZ81" s="14">
        <f>BY81*VLOOKUP('Données projet'!$B$12,Paramètres!$A$1:$I$89,3,0)*VLOOKUP('Données projet'!$B$12,Paramètres!$A$1:$I$89,5,0)</f>
        <v>146.09309999999994</v>
      </c>
      <c r="CA81" s="14">
        <f t="shared" si="93"/>
        <v>37.689369466401395</v>
      </c>
      <c r="CB81" s="22">
        <f t="shared" si="64"/>
        <v>320.08780098731563</v>
      </c>
      <c r="CC81" s="61">
        <f t="shared" si="65"/>
        <v>613.42113432064889</v>
      </c>
      <c r="CD81" s="61">
        <f ca="1">AVERAGE(OFFSET($CC$3,0,0,'Données projet'!$E$12+1,1))-AVERAGE(OFFSET($H$3,0,0,'Données projet'!$E$12+1,1))</f>
        <v>285.59863510278109</v>
      </c>
      <c r="CE81" s="61">
        <f t="shared" si="94"/>
        <v>190.4880882944471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11.3</v>
      </c>
      <c r="CT81" s="13">
        <f>IF('Données projet'!$A$140&gt;35,CT80+CS81-DB80,IF(A81&lt;'Données projet'!$A$140,$CQ$205^A81,IF(A81='Données projet'!$A$140,'Données projet'!$B$140,CT80+CS81-DB80)))</f>
        <v>338.40000000000009</v>
      </c>
      <c r="CU81" s="18">
        <f>CT81*VLOOKUP('Données projet'!$B$13,Paramètres!$A$1:$I$89,3,0)*VLOOKUP('Données projet'!$B$13,Paramètres!$A$1:$I$89,5,0)</f>
        <v>162.77040000000005</v>
      </c>
      <c r="CV81" s="14">
        <f t="shared" si="95"/>
        <v>41.466761176934298</v>
      </c>
      <c r="CW81" s="22">
        <f t="shared" si="67"/>
        <v>355.71305571649401</v>
      </c>
      <c r="CX81" s="61">
        <f t="shared" si="68"/>
        <v>649.04638904982733</v>
      </c>
      <c r="CY81" s="61">
        <f ca="1">AVERAGE(OFFSET($CX$3,0,0,'Données projet'!$E$13+1,1))-AVERAGE(OFFSET($H$3,0,0,'Données projet'!$E$13+1,1))</f>
        <v>273.72618036666552</v>
      </c>
      <c r="CZ81" s="61">
        <f t="shared" si="96"/>
        <v>157.67999791700714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4.2307692307692264</v>
      </c>
      <c r="DO81" s="13">
        <f>IF('Données projet'!$A$166&gt;35,DO80+DN81-DW80,IF(A81&lt;'Données projet'!$A$166,$DL$205^A81,IF(A81='Données projet'!$A$166,'Données projet'!$B$166,DO80+DN81-DW80)))</f>
        <v>273.58974358974365</v>
      </c>
      <c r="DP81" s="18">
        <f>DO81*VLOOKUP('Données projet'!$B$14,Paramètres!$A$1:$I$89,3,0)*VLOOKUP('Données projet'!$B$14,Paramètres!$A$1:$I$89,5,0)</f>
        <v>183.52400000000006</v>
      </c>
      <c r="DQ81" s="14">
        <f t="shared" si="97"/>
        <v>46.10532434349372</v>
      </c>
      <c r="DR81" s="22">
        <f t="shared" si="70"/>
        <v>399.93773989825166</v>
      </c>
      <c r="DS81" s="61">
        <f t="shared" si="71"/>
        <v>693.27107323158498</v>
      </c>
      <c r="DT81" s="61">
        <f ca="1">AVERAGE(OFFSET($DS$3,0,0,'Données projet'!$E$14+1,1))-AVERAGE(OFFSET($H$3,0,0,'Données projet'!$E$14+1,1))</f>
        <v>312.06797204903796</v>
      </c>
      <c r="DU81" s="61">
        <f t="shared" si="98"/>
        <v>258.20189001775151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1.4210854715202004E-13</v>
      </c>
      <c r="EK81" s="18">
        <f>EJ81*VLOOKUP('Données projet'!$B$15,Paramètres!$A$1:$I$89,3,0)*VLOOKUP('Données projet'!$B$15,Paramètres!$A$1:$I$89,5,0)</f>
        <v>1.1527845344971866E-13</v>
      </c>
      <c r="EL81" s="14">
        <f t="shared" si="99"/>
        <v>1.7033846239409443E-12</v>
      </c>
      <c r="EM81" s="22">
        <f t="shared" si="73"/>
        <v>3.1675048597887374E-12</v>
      </c>
      <c r="EN81" s="61">
        <f t="shared" si="74"/>
        <v>293.3333333333365</v>
      </c>
      <c r="EO81" s="61">
        <f ca="1">AVERAGE(OFFSET($EN$3,0,0,'Données projet'!$E$15+1,1))-AVERAGE(OFFSET($H$3,0,0,'Données projet'!$E$15+1,1))</f>
        <v>222.15256609836689</v>
      </c>
      <c r="EP81" s="61">
        <f t="shared" si="100"/>
        <v>221.10360210521077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1.1368683772161603E-13</v>
      </c>
      <c r="FF81" s="18">
        <f>FE81*VLOOKUP('Données projet'!$B$16,Paramètres!$A$1:$I$89,3,0)*VLOOKUP('Données projet'!$B$16,Paramètres!$A$1:$I$89,5,0)</f>
        <v>8.8675733422860506E-14</v>
      </c>
      <c r="FG81" s="14">
        <f t="shared" si="101"/>
        <v>1.3509285393066301E-12</v>
      </c>
      <c r="FH81" s="22">
        <f t="shared" si="76"/>
        <v>2.5073107750038623E-12</v>
      </c>
      <c r="FI81" s="61">
        <f t="shared" si="77"/>
        <v>293.33333333333582</v>
      </c>
      <c r="FJ81" s="61">
        <f ca="1">AVERAGE(OFFSET($FI$3,0,0,'Données projet'!$E$16+1,1))-AVERAGE(OFFSET($H$3,0,0,'Données projet'!$E$16+1,1))</f>
        <v>292.57482726862594</v>
      </c>
      <c r="FK81" s="61">
        <f t="shared" si="102"/>
        <v>283.48738729114024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6</v>
      </c>
      <c r="FZ81" s="13">
        <f>IF('Données projet'!$A$244&gt;35,FZ80+FY81-GH80,IF(A81&lt;'Données projet'!$A$244,$FW$205^A81,IF(A81='Données projet'!$A$244,'Données projet'!$B$244,FZ80+FY81-GH80)))</f>
        <v>269.99999999999989</v>
      </c>
      <c r="GA81" s="18">
        <f>FZ81*VLOOKUP('Données projet'!$B$17,Paramètres!$A$1:$I$89,3,0)*VLOOKUP('Données projet'!$B$17,Paramètres!$A$1:$I$89,5,0)</f>
        <v>261.14399999999989</v>
      </c>
      <c r="GB81" s="14">
        <f t="shared" si="103"/>
        <v>62.966170181808813</v>
      </c>
      <c r="GC81" s="22">
        <f t="shared" si="79"/>
        <v>564.49187973331675</v>
      </c>
      <c r="GD81" s="61">
        <f t="shared" si="80"/>
        <v>857.82521306665012</v>
      </c>
      <c r="GE81" s="61">
        <f ca="1">AVERAGE(OFFSET($GD$3,0,0,'Données projet'!$E$17+1,1))-AVERAGE(OFFSET($H$3,0,0,'Données projet'!$E$17+1,1))</f>
        <v>455.50822833641354</v>
      </c>
      <c r="GF81" s="61">
        <f t="shared" si="104"/>
        <v>261.14722581688039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0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0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6</v>
      </c>
      <c r="GU81" s="13">
        <f>IF('Données projet'!$A$270&gt;35,GU80+GT81-HC80,IF(A81&lt;'Données projet'!$A$270,$GR$205^A81,IF(A81='Données projet'!$A$270,'Données projet'!$B$270,GU80+GT81-HC80)))</f>
        <v>269.99999999999989</v>
      </c>
      <c r="GV81" s="18">
        <f>GU81*VLOOKUP('Données projet'!$B$18,Paramètres!$A$1:$I$89,3,0)*VLOOKUP('Données projet'!$B$18,Paramètres!$A$1:$I$89,5,0)</f>
        <v>290.62799999999987</v>
      </c>
      <c r="GW81" s="14">
        <f t="shared" si="105"/>
        <v>69.208117853196882</v>
      </c>
      <c r="GX81" s="22">
        <f t="shared" si="82"/>
        <v>626.71457192765104</v>
      </c>
      <c r="GY81" s="61">
        <f t="shared" si="83"/>
        <v>920.04790526098441</v>
      </c>
      <c r="GZ81" s="61">
        <f ca="1">AVERAGE(OFFSET($GY$3,0,0,'Données projet'!$E$18+1,1))-AVERAGE(OFFSET($H$3,0,0,'Données projet'!$E$18+1,1))</f>
        <v>502.07782026233912</v>
      </c>
      <c r="HA81" s="61">
        <f t="shared" si="106"/>
        <v>285.83623046025156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0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0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249.7247999999999</v>
      </c>
      <c r="P82" s="14">
        <f t="shared" si="87"/>
        <v>60.527007137298092</v>
      </c>
      <c r="Q82" s="22">
        <f t="shared" si="54"/>
        <v>540.35523076412733</v>
      </c>
      <c r="R82" s="61">
        <f t="shared" si="55"/>
        <v>833.68856409746058</v>
      </c>
      <c r="S82" s="61">
        <f ca="1">AVERAGE(OFFSET($R$3,0,0,'Données projet'!$E$9+1,1))-AVERAGE(OFFSET($H$3,0,0,'Données projet'!$E$9+1,1))</f>
        <v>428.8489304403459</v>
      </c>
      <c r="T82" s="61">
        <f t="shared" si="88"/>
        <v>247.01165577562966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1">
        <f t="shared" si="59"/>
        <v>897.34728231686381</v>
      </c>
      <c r="AN82" s="61">
        <f ca="1">AVERAGE(OFFSET($AM$3,0,0,'Données projet'!$E$10+1,1))-AVERAGE(OFFSET($H$3,0,0,'Données projet'!$E$10+1,1))</f>
        <v>475.47920969424894</v>
      </c>
      <c r="AO82" s="61">
        <f t="shared" si="90"/>
        <v>271.73544012419364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-3.4106051316484809E-13</v>
      </c>
      <c r="BE82" s="14">
        <f>BD82*VLOOKUP('Données projet'!$B$11,Paramètres!$A$1:$I$89,3,0)*VLOOKUP('Données projet'!$B$11,Paramètres!$A$1:$I$89,5,0)</f>
        <v>-1.9065282685915009E-13</v>
      </c>
      <c r="BF82" s="14" t="e">
        <f t="shared" si="91"/>
        <v>#NUM!</v>
      </c>
      <c r="BG82" s="22" t="e">
        <f t="shared" si="61"/>
        <v>#NUM!</v>
      </c>
      <c r="BH82" s="61" t="e">
        <f t="shared" si="62"/>
        <v>#NUM!</v>
      </c>
      <c r="BI82" s="61">
        <f ca="1">AVERAGE(OFFSET($BH$3,0,0,'Données projet'!$E$11+1,1))-AVERAGE(OFFSET($H$3,0,0,'Données projet'!$E$11+1,1))</f>
        <v>374.79806286316051</v>
      </c>
      <c r="BJ82" s="61">
        <f t="shared" si="92"/>
        <v>350.01856672839466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5.7238752362728</v>
      </c>
      <c r="BR82" s="23">
        <f>EXP(-LN(2)/2)*BR81+(1-EXP(-LN(2)/2))/(LN(2)/2)*BL82*BO82*VLOOKUP('Données projet'!$B$11,Paramètres!$A$1:$I$89,3,0)*0.475*44/12</f>
        <v>4.6394328000500152E-7</v>
      </c>
      <c r="BS82" s="24">
        <f t="shared" si="63"/>
        <v>5.7238757002160803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9.52371794871795</v>
      </c>
      <c r="BY82" s="13">
        <f>IF('Données projet'!$A$114&gt;35,BY81+BX82-CG81,IF(A82&lt;'Données projet'!$A$114,$BV$205^A82,IF(A82='Données projet'!$A$114,'Données projet'!$B$114,BY81+BX82-CG81)))</f>
        <v>321.68846153846141</v>
      </c>
      <c r="BZ82" s="14">
        <f>BY82*VLOOKUP('Données projet'!$B$12,Paramètres!$A$1:$I$89,3,0)*VLOOKUP('Données projet'!$B$12,Paramètres!$A$1:$I$89,5,0)</f>
        <v>150.55019999999993</v>
      </c>
      <c r="CA82" s="14">
        <f t="shared" si="93"/>
        <v>38.703593889379775</v>
      </c>
      <c r="CB82" s="22">
        <f t="shared" si="64"/>
        <v>329.61702435733633</v>
      </c>
      <c r="CC82" s="61">
        <f t="shared" si="65"/>
        <v>622.95035769066965</v>
      </c>
      <c r="CD82" s="61">
        <f ca="1">AVERAGE(OFFSET($CC$3,0,0,'Données projet'!$E$12+1,1))-AVERAGE(OFFSET($H$3,0,0,'Données projet'!$E$12+1,1))</f>
        <v>285.59863510278109</v>
      </c>
      <c r="CE82" s="61">
        <f t="shared" si="94"/>
        <v>190.4880882944471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11.3</v>
      </c>
      <c r="CT82" s="13">
        <f>IF('Données projet'!$A$140&gt;35,CT81+CS82-DB81,IF(A82&lt;'Données projet'!$A$140,$CQ$205^A82,IF(A82='Données projet'!$A$140,'Données projet'!$B$140,CT81+CS82-DB81)))</f>
        <v>349.7000000000001</v>
      </c>
      <c r="CU82" s="18">
        <f>CT82*VLOOKUP('Données projet'!$B$13,Paramètres!$A$1:$I$89,3,0)*VLOOKUP('Données projet'!$B$13,Paramètres!$A$1:$I$89,5,0)</f>
        <v>168.20570000000006</v>
      </c>
      <c r="CV82" s="14">
        <f t="shared" si="95"/>
        <v>42.687912240534693</v>
      </c>
      <c r="CW82" s="22">
        <f t="shared" si="67"/>
        <v>367.30637465226465</v>
      </c>
      <c r="CX82" s="61">
        <f t="shared" si="68"/>
        <v>660.63970798559797</v>
      </c>
      <c r="CY82" s="61">
        <f ca="1">AVERAGE(OFFSET($CX$3,0,0,'Données projet'!$E$13+1,1))-AVERAGE(OFFSET($H$3,0,0,'Données projet'!$E$13+1,1))</f>
        <v>273.72618036666552</v>
      </c>
      <c r="CZ82" s="61">
        <f t="shared" si="96"/>
        <v>157.67999791700714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4.2307692307692264</v>
      </c>
      <c r="DO82" s="13">
        <f>IF('Données projet'!$A$166&gt;35,DO81+DN82-DW81,IF(A82&lt;'Données projet'!$A$166,$DL$205^A82,IF(A82='Données projet'!$A$166,'Données projet'!$B$166,DO81+DN82-DW81)))</f>
        <v>277.82051282051287</v>
      </c>
      <c r="DP82" s="18">
        <f>DO82*VLOOKUP('Données projet'!$B$14,Paramètres!$A$1:$I$89,3,0)*VLOOKUP('Données projet'!$B$14,Paramètres!$A$1:$I$89,5,0)</f>
        <v>186.36200000000002</v>
      </c>
      <c r="DQ82" s="14">
        <f t="shared" si="97"/>
        <v>46.734739947740024</v>
      </c>
      <c r="DR82" s="22">
        <f t="shared" si="70"/>
        <v>405.97682207564725</v>
      </c>
      <c r="DS82" s="61">
        <f t="shared" si="71"/>
        <v>699.31015540898056</v>
      </c>
      <c r="DT82" s="61">
        <f ca="1">AVERAGE(OFFSET($DS$3,0,0,'Données projet'!$E$14+1,1))-AVERAGE(OFFSET($H$3,0,0,'Données projet'!$E$14+1,1))</f>
        <v>312.06797204903796</v>
      </c>
      <c r="DU82" s="61">
        <f t="shared" si="98"/>
        <v>258.20189001775151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1.4210854715202004E-13</v>
      </c>
      <c r="EK82" s="18">
        <f>EJ82*VLOOKUP('Données projet'!$B$15,Paramètres!$A$1:$I$89,3,0)*VLOOKUP('Données projet'!$B$15,Paramètres!$A$1:$I$89,5,0)</f>
        <v>1.1527845344971866E-13</v>
      </c>
      <c r="EL82" s="14">
        <f t="shared" si="99"/>
        <v>1.7033846239409443E-12</v>
      </c>
      <c r="EM82" s="22">
        <f t="shared" si="73"/>
        <v>3.1675048597887374E-12</v>
      </c>
      <c r="EN82" s="61">
        <f t="shared" si="74"/>
        <v>293.3333333333365</v>
      </c>
      <c r="EO82" s="61">
        <f ca="1">AVERAGE(OFFSET($EN$3,0,0,'Données projet'!$E$15+1,1))-AVERAGE(OFFSET($H$3,0,0,'Données projet'!$E$15+1,1))</f>
        <v>222.15256609836689</v>
      </c>
      <c r="EP82" s="61">
        <f t="shared" si="100"/>
        <v>221.10360210521077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1.1368683772161603E-13</v>
      </c>
      <c r="FF82" s="18">
        <f>FE82*VLOOKUP('Données projet'!$B$16,Paramètres!$A$1:$I$89,3,0)*VLOOKUP('Données projet'!$B$16,Paramètres!$A$1:$I$89,5,0)</f>
        <v>8.8675733422860506E-14</v>
      </c>
      <c r="FG82" s="14">
        <f t="shared" si="101"/>
        <v>1.3509285393066301E-12</v>
      </c>
      <c r="FH82" s="22">
        <f t="shared" si="76"/>
        <v>2.5073107750038623E-12</v>
      </c>
      <c r="FI82" s="61">
        <f t="shared" si="77"/>
        <v>293.33333333333582</v>
      </c>
      <c r="FJ82" s="61">
        <f ca="1">AVERAGE(OFFSET($FI$3,0,0,'Données projet'!$E$16+1,1))-AVERAGE(OFFSET($H$3,0,0,'Données projet'!$E$16+1,1))</f>
        <v>292.57482726862594</v>
      </c>
      <c r="FK82" s="61">
        <f t="shared" si="102"/>
        <v>283.48738729114024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6</v>
      </c>
      <c r="FZ82" s="13">
        <f>IF('Données projet'!$A$244&gt;35,FZ81+FY82-GH81,IF(A82&lt;'Données projet'!$A$244,$FW$205^A82,IF(A82='Données projet'!$A$244,'Données projet'!$B$244,FZ81+FY82-GH81)))</f>
        <v>275.99999999999989</v>
      </c>
      <c r="GA82" s="18">
        <f>FZ82*VLOOKUP('Données projet'!$B$17,Paramètres!$A$1:$I$89,3,0)*VLOOKUP('Données projet'!$B$17,Paramètres!$A$1:$I$89,5,0)</f>
        <v>266.9471999999999</v>
      </c>
      <c r="GB82" s="14">
        <f t="shared" si="103"/>
        <v>64.200959938746379</v>
      </c>
      <c r="GC82" s="22">
        <f t="shared" si="79"/>
        <v>576.74971189331643</v>
      </c>
      <c r="GD82" s="61">
        <f t="shared" si="80"/>
        <v>870.0830452266498</v>
      </c>
      <c r="GE82" s="61">
        <f ca="1">AVERAGE(OFFSET($GD$3,0,0,'Données projet'!$E$17+1,1))-AVERAGE(OFFSET($H$3,0,0,'Données projet'!$E$17+1,1))</f>
        <v>455.50822833641354</v>
      </c>
      <c r="GF82" s="61">
        <f t="shared" si="104"/>
        <v>261.14722581688039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0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0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6</v>
      </c>
      <c r="GU82" s="13">
        <f>IF('Données projet'!$A$270&gt;35,GU81+GT82-HC81,IF(A82&lt;'Données projet'!$A$270,$GR$205^A82,IF(A82='Données projet'!$A$270,'Données projet'!$B$270,GU81+GT82-HC81)))</f>
        <v>275.99999999999989</v>
      </c>
      <c r="GV82" s="18">
        <f>GU82*VLOOKUP('Données projet'!$B$18,Paramètres!$A$1:$I$89,3,0)*VLOOKUP('Données projet'!$B$18,Paramètres!$A$1:$I$89,5,0)</f>
        <v>297.08639999999986</v>
      </c>
      <c r="GW82" s="14">
        <f t="shared" si="105"/>
        <v>70.565314499829583</v>
      </c>
      <c r="GX82" s="22">
        <f t="shared" si="82"/>
        <v>640.3267360872029</v>
      </c>
      <c r="GY82" s="61">
        <f t="shared" si="83"/>
        <v>933.66006942053627</v>
      </c>
      <c r="GZ82" s="61">
        <f ca="1">AVERAGE(OFFSET($GY$3,0,0,'Données projet'!$E$18+1,1))-AVERAGE(OFFSET($H$3,0,0,'Données projet'!$E$18+1,1))</f>
        <v>502.07782026233912</v>
      </c>
      <c r="HA82" s="61">
        <f t="shared" si="106"/>
        <v>285.83623046025156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0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0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255.15359999999987</v>
      </c>
      <c r="P83" s="14">
        <f t="shared" si="87"/>
        <v>61.688192762754376</v>
      </c>
      <c r="Q83" s="22">
        <f t="shared" si="54"/>
        <v>551.83278906179692</v>
      </c>
      <c r="R83" s="61">
        <f t="shared" si="55"/>
        <v>845.16612239513029</v>
      </c>
      <c r="S83" s="61">
        <f ca="1">AVERAGE(OFFSET($R$3,0,0,'Données projet'!$E$9+1,1))-AVERAGE(OFFSET($H$3,0,0,'Données projet'!$E$9+1,1))</f>
        <v>428.8489304403459</v>
      </c>
      <c r="T83" s="61">
        <f t="shared" si="88"/>
        <v>247.01165577562966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1">
        <f t="shared" si="59"/>
        <v>910.18020104887296</v>
      </c>
      <c r="AN83" s="61">
        <f ca="1">AVERAGE(OFFSET($AM$3,0,0,'Données projet'!$E$10+1,1))-AVERAGE(OFFSET($H$3,0,0,'Données projet'!$E$10+1,1))</f>
        <v>475.47920969424894</v>
      </c>
      <c r="AO83" s="61">
        <f t="shared" si="90"/>
        <v>271.73544012419364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-3.4106051316484809E-13</v>
      </c>
      <c r="BE83" s="14">
        <f>BD83*VLOOKUP('Données projet'!$B$11,Paramètres!$A$1:$I$89,3,0)*VLOOKUP('Données projet'!$B$11,Paramètres!$A$1:$I$89,5,0)</f>
        <v>-1.9065282685915009E-13</v>
      </c>
      <c r="BF83" s="14" t="e">
        <f t="shared" si="91"/>
        <v>#NUM!</v>
      </c>
      <c r="BG83" s="22" t="e">
        <f t="shared" si="61"/>
        <v>#NUM!</v>
      </c>
      <c r="BH83" s="61" t="e">
        <f t="shared" si="62"/>
        <v>#NUM!</v>
      </c>
      <c r="BI83" s="61">
        <f ca="1">AVERAGE(OFFSET($BH$3,0,0,'Données projet'!$E$11+1,1))-AVERAGE(OFFSET($H$3,0,0,'Données projet'!$E$11+1,1))</f>
        <v>374.79806286316051</v>
      </c>
      <c r="BJ83" s="61">
        <f t="shared" si="92"/>
        <v>350.01856672839466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5.5673555669314041</v>
      </c>
      <c r="BR83" s="23">
        <f>EXP(-LN(2)/2)*BR82+(1-EXP(-LN(2)/2))/(LN(2)/2)*BL83*BO83*VLOOKUP('Données projet'!$B$11,Paramètres!$A$1:$I$89,3,0)*0.475*44/12</f>
        <v>3.280574393774658E-7</v>
      </c>
      <c r="BS83" s="24">
        <f t="shared" si="63"/>
        <v>5.5673558949888431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9.52371794871795</v>
      </c>
      <c r="BY83" s="13">
        <f>IF('Données projet'!$A$114&gt;35,BY82+BX83-CG82,IF(A83&lt;'Données projet'!$A$114,$BV$205^A83,IF(A83='Données projet'!$A$114,'Données projet'!$B$114,BY82+BX83-CG82)))</f>
        <v>331.21217948717936</v>
      </c>
      <c r="BZ83" s="14">
        <f>BY83*VLOOKUP('Données projet'!$B$12,Paramètres!$A$1:$I$89,3,0)*VLOOKUP('Données projet'!$B$12,Paramètres!$A$1:$I$89,5,0)</f>
        <v>155.00729999999993</v>
      </c>
      <c r="CA83" s="14">
        <f t="shared" si="93"/>
        <v>39.714328701221483</v>
      </c>
      <c r="CB83" s="22">
        <f t="shared" si="64"/>
        <v>339.14016998796063</v>
      </c>
      <c r="CC83" s="61">
        <f t="shared" si="65"/>
        <v>632.47350332129395</v>
      </c>
      <c r="CD83" s="61">
        <f ca="1">AVERAGE(OFFSET($CC$3,0,0,'Données projet'!$E$12+1,1))-AVERAGE(OFFSET($H$3,0,0,'Données projet'!$E$12+1,1))</f>
        <v>285.59863510278109</v>
      </c>
      <c r="CE83" s="61">
        <f t="shared" si="94"/>
        <v>190.4880882944471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361</v>
      </c>
      <c r="CR83" s="13">
        <f>VLOOKUP(A83,'Données projet'!$A$139:$I$159,9,0)</f>
        <v>11.3</v>
      </c>
      <c r="CS83" s="13">
        <f t="array" ref="CS83">INDEX(CR:CR,MIN(IF(ISNUMBER(CR83:CR279),ROW(CR83:CR279),"")))</f>
        <v>11.3</v>
      </c>
      <c r="CT83" s="13">
        <f>IF('Données projet'!$A$140&gt;35,CT82+CS83-DB82,IF(A83&lt;'Données projet'!$A$140,$CQ$205^A83,IF(A83='Données projet'!$A$140,'Données projet'!$B$140,CT82+CS83-DB82)))</f>
        <v>361.00000000000011</v>
      </c>
      <c r="CU83" s="18">
        <f>CT83*VLOOKUP('Données projet'!$B$13,Paramètres!$A$1:$I$89,3,0)*VLOOKUP('Données projet'!$B$13,Paramètres!$A$1:$I$89,5,0)</f>
        <v>173.64100000000008</v>
      </c>
      <c r="CV83" s="14">
        <f t="shared" si="95"/>
        <v>43.90447799582666</v>
      </c>
      <c r="CW83" s="22">
        <f t="shared" si="67"/>
        <v>378.8917075093982</v>
      </c>
      <c r="CX83" s="61">
        <f t="shared" si="68"/>
        <v>672.22504084273146</v>
      </c>
      <c r="CY83" s="61">
        <f ca="1">AVERAGE(OFFSET($CX$3,0,0,'Données projet'!$E$13+1,1))-AVERAGE(OFFSET($H$3,0,0,'Données projet'!$E$13+1,1))</f>
        <v>273.72618036666552</v>
      </c>
      <c r="CZ83" s="61">
        <f t="shared" si="96"/>
        <v>157.67999791700714</v>
      </c>
      <c r="DA83" s="16">
        <f>IF(ISNA(VLOOKUP(A83,'Données projet'!$A$139:$I$159,3,0)),0,VLOOKUP(A83,'Données projet'!$A$139:$I$159,3,0))</f>
        <v>5</v>
      </c>
      <c r="DB83" s="16">
        <f>IF(ISNA(VLOOKUP(A83,'Données projet'!$A$139:$I$159,4,0)),0,VLOOKUP(A83,'Données projet'!$A$139:$I$159,4,0))</f>
        <v>58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282.05128205128204</v>
      </c>
      <c r="DM83" s="13">
        <f>VLOOKUP(A83,'Données projet'!$A$165:$I$185,9,0)</f>
        <v>4.2307692307692264</v>
      </c>
      <c r="DN83" s="13">
        <f t="array" ref="DN83">INDEX(DM:DM,MIN(IF(ISNUMBER(DM83:DM279),ROW(DM83:DM279),"")))</f>
        <v>4.2307692307692264</v>
      </c>
      <c r="DO83" s="13">
        <f>IF('Données projet'!$A$166&gt;35,DO82+DN83-DW82,IF(A83&lt;'Données projet'!$A$166,$DL$205^A83,IF(A83='Données projet'!$A$166,'Données projet'!$B$166,DO82+DN83-DW82)))</f>
        <v>282.0512820512821</v>
      </c>
      <c r="DP83" s="18">
        <f>DO83*VLOOKUP('Données projet'!$B$14,Paramètres!$A$1:$I$89,3,0)*VLOOKUP('Données projet'!$B$14,Paramètres!$A$1:$I$89,5,0)</f>
        <v>189.20000000000005</v>
      </c>
      <c r="DQ83" s="14">
        <f t="shared" si="97"/>
        <v>47.363040799609742</v>
      </c>
      <c r="DR83" s="22">
        <f t="shared" si="70"/>
        <v>412.01396272598703</v>
      </c>
      <c r="DS83" s="61">
        <f t="shared" si="71"/>
        <v>705.34729605932034</v>
      </c>
      <c r="DT83" s="61">
        <f ca="1">AVERAGE(OFFSET($DS$3,0,0,'Données projet'!$E$14+1,1))-AVERAGE(OFFSET($H$3,0,0,'Données projet'!$E$14+1,1))</f>
        <v>312.06797204903796</v>
      </c>
      <c r="DU83" s="61">
        <f t="shared" si="98"/>
        <v>258.20189001775151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26.282051282051281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1.4210854715202004E-13</v>
      </c>
      <c r="EK83" s="18">
        <f>EJ83*VLOOKUP('Données projet'!$B$15,Paramètres!$A$1:$I$89,3,0)*VLOOKUP('Données projet'!$B$15,Paramètres!$A$1:$I$89,5,0)</f>
        <v>1.1527845344971866E-13</v>
      </c>
      <c r="EL83" s="14">
        <f t="shared" si="99"/>
        <v>1.7033846239409443E-12</v>
      </c>
      <c r="EM83" s="22">
        <f t="shared" si="73"/>
        <v>3.1675048597887374E-12</v>
      </c>
      <c r="EN83" s="61">
        <f t="shared" si="74"/>
        <v>293.3333333333365</v>
      </c>
      <c r="EO83" s="61">
        <f ca="1">AVERAGE(OFFSET($EN$3,0,0,'Données projet'!$E$15+1,1))-AVERAGE(OFFSET($H$3,0,0,'Données projet'!$E$15+1,1))</f>
        <v>222.15256609836689</v>
      </c>
      <c r="EP83" s="61">
        <f t="shared" si="100"/>
        <v>221.10360210521077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1.1368683772161603E-13</v>
      </c>
      <c r="FF83" s="18">
        <f>FE83*VLOOKUP('Données projet'!$B$16,Paramètres!$A$1:$I$89,3,0)*VLOOKUP('Données projet'!$B$16,Paramètres!$A$1:$I$89,5,0)</f>
        <v>8.8675733422860506E-14</v>
      </c>
      <c r="FG83" s="14">
        <f t="shared" si="101"/>
        <v>1.3509285393066301E-12</v>
      </c>
      <c r="FH83" s="22">
        <f t="shared" si="76"/>
        <v>2.5073107750038623E-12</v>
      </c>
      <c r="FI83" s="61">
        <f t="shared" si="77"/>
        <v>293.33333333333582</v>
      </c>
      <c r="FJ83" s="61">
        <f ca="1">AVERAGE(OFFSET($FI$3,0,0,'Données projet'!$E$16+1,1))-AVERAGE(OFFSET($H$3,0,0,'Données projet'!$E$16+1,1))</f>
        <v>292.57482726862594</v>
      </c>
      <c r="FK83" s="61">
        <f t="shared" si="102"/>
        <v>283.48738729114024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>
        <f>VLOOKUP(A83,'Données projet'!$A$243:$I$263,2,0)</f>
        <v>282</v>
      </c>
      <c r="FX83" s="13">
        <f>VLOOKUP(A83,'Données projet'!$A$243:$I$263,9,0)</f>
        <v>6</v>
      </c>
      <c r="FY83" s="13">
        <f t="array" ref="FY83">INDEX(FX:FX,MIN(IF(ISNUMBER(FX83:FX279),ROW(FX83:FX279),"")))</f>
        <v>6</v>
      </c>
      <c r="FZ83" s="13">
        <f>IF('Données projet'!$A$244&gt;35,FZ82+FY83-GH82,IF(A83&lt;'Données projet'!$A$244,$FW$205^A83,IF(A83='Données projet'!$A$244,'Données projet'!$B$244,FZ82+FY83-GH82)))</f>
        <v>281.99999999999989</v>
      </c>
      <c r="GA83" s="18">
        <f>FZ83*VLOOKUP('Données projet'!$B$17,Paramètres!$A$1:$I$89,3,0)*VLOOKUP('Données projet'!$B$17,Paramètres!$A$1:$I$89,5,0)</f>
        <v>272.7503999999999</v>
      </c>
      <c r="GB83" s="14">
        <f t="shared" si="103"/>
        <v>65.432628830820633</v>
      </c>
      <c r="GC83" s="22">
        <f t="shared" si="79"/>
        <v>589.00210854701243</v>
      </c>
      <c r="GD83" s="61">
        <f t="shared" si="80"/>
        <v>882.3354418803458</v>
      </c>
      <c r="GE83" s="61">
        <f ca="1">AVERAGE(OFFSET($GD$3,0,0,'Données projet'!$E$17+1,1))-AVERAGE(OFFSET($H$3,0,0,'Données projet'!$E$17+1,1))</f>
        <v>455.50822833641354</v>
      </c>
      <c r="GF83" s="61">
        <f t="shared" si="104"/>
        <v>261.14722581688039</v>
      </c>
      <c r="GG83" s="16">
        <f>IF(ISNA(VLOOKUP(A83,'Données projet'!$A$243:$I$263,3,0)),0,VLOOKUP(A83,'Données projet'!$A$243:$I$263,3,0))</f>
        <v>6</v>
      </c>
      <c r="GH83" s="16">
        <f>IF(ISNA(VLOOKUP(A83,'Données projet'!$A$243:$I$263,4,0)),0,VLOOKUP(A83,'Données projet'!$A$243:$I$263,4,0))</f>
        <v>42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0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0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>
        <f>VLOOKUP(A83,'Données projet'!$A$269:$I$289,2,0)</f>
        <v>282</v>
      </c>
      <c r="GS83" s="13">
        <f>VLOOKUP(A83,'Données projet'!$A$269:$I$289,9,0)</f>
        <v>6</v>
      </c>
      <c r="GT83" s="13">
        <f t="array" ref="GT83">INDEX(GS:GS,MIN(IF(ISNUMBER(GS83:GS279),ROW(GS83:GS279),"")))</f>
        <v>6</v>
      </c>
      <c r="GU83" s="13">
        <f>IF('Données projet'!$A$270&gt;35,GU82+GT83-HC82,IF(A83&lt;'Données projet'!$A$270,$GR$205^A83,IF(A83='Données projet'!$A$270,'Données projet'!$B$270,GU82+GT83-HC82)))</f>
        <v>281.99999999999989</v>
      </c>
      <c r="GV83" s="18">
        <f>GU83*VLOOKUP('Données projet'!$B$18,Paramètres!$A$1:$I$89,3,0)*VLOOKUP('Données projet'!$B$18,Paramètres!$A$1:$I$89,5,0)</f>
        <v>303.54479999999984</v>
      </c>
      <c r="GW83" s="14">
        <f t="shared" si="105"/>
        <v>71.919080904752505</v>
      </c>
      <c r="GX83" s="22">
        <f t="shared" si="82"/>
        <v>653.93292590911028</v>
      </c>
      <c r="GY83" s="61">
        <f t="shared" si="83"/>
        <v>947.26625924244354</v>
      </c>
      <c r="GZ83" s="61">
        <f ca="1">AVERAGE(OFFSET($GY$3,0,0,'Données projet'!$E$18+1,1))-AVERAGE(OFFSET($H$3,0,0,'Données projet'!$E$18+1,1))</f>
        <v>502.07782026233912</v>
      </c>
      <c r="HA83" s="61">
        <f t="shared" si="106"/>
        <v>285.83623046025156</v>
      </c>
      <c r="HB83" s="16">
        <f>IF(ISNA(VLOOKUP(A83,'Données projet'!$A$269:$I$289,3,0)),0,VLOOKUP(A83,'Données projet'!$A$269:$I$289,3,0))</f>
        <v>6</v>
      </c>
      <c r="HC83" s="16">
        <f>IF(ISNA(VLOOKUP(A83,'Données projet'!$A$269:$I$289,4,0)),0,VLOOKUP(A83,'Données projet'!$A$269:$I$289,4,0))</f>
        <v>42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0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0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222.21887999999993</v>
      </c>
      <c r="P84" s="14">
        <f t="shared" si="87"/>
        <v>54.596866296848852</v>
      </c>
      <c r="Q84" s="22">
        <f t="shared" si="54"/>
        <v>482.12075813367829</v>
      </c>
      <c r="R84" s="61">
        <f t="shared" si="55"/>
        <v>775.45409146701161</v>
      </c>
      <c r="S84" s="61">
        <f ca="1">AVERAGE(OFFSET($R$3,0,0,'Données projet'!$E$9+1,1))-AVERAGE(OFFSET($H$3,0,0,'Données projet'!$E$9+1,1))</f>
        <v>428.8489304403459</v>
      </c>
      <c r="T84" s="61">
        <f t="shared" si="88"/>
        <v>247.01165577562966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1">
        <f t="shared" si="59"/>
        <v>832.2370162281502</v>
      </c>
      <c r="AN84" s="61">
        <f ca="1">AVERAGE(OFFSET($AM$3,0,0,'Données projet'!$E$10+1,1))-AVERAGE(OFFSET($H$3,0,0,'Données projet'!$E$10+1,1))</f>
        <v>475.47920969424894</v>
      </c>
      <c r="AO84" s="61">
        <f t="shared" si="90"/>
        <v>271.73544012419364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-3.4106051316484809E-13</v>
      </c>
      <c r="BE84" s="14">
        <f>BD84*VLOOKUP('Données projet'!$B$11,Paramètres!$A$1:$I$89,3,0)*VLOOKUP('Données projet'!$B$11,Paramètres!$A$1:$I$89,5,0)</f>
        <v>-1.9065282685915009E-13</v>
      </c>
      <c r="BF84" s="14" t="e">
        <f t="shared" si="91"/>
        <v>#NUM!</v>
      </c>
      <c r="BG84" s="22" t="e">
        <f t="shared" si="61"/>
        <v>#NUM!</v>
      </c>
      <c r="BH84" s="61" t="e">
        <f t="shared" si="62"/>
        <v>#NUM!</v>
      </c>
      <c r="BI84" s="61">
        <f ca="1">AVERAGE(OFFSET($BH$3,0,0,'Données projet'!$E$11+1,1))-AVERAGE(OFFSET($H$3,0,0,'Données projet'!$E$11+1,1))</f>
        <v>374.79806286316051</v>
      </c>
      <c r="BJ84" s="61">
        <f t="shared" si="92"/>
        <v>350.01856672839466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5.4151159361791601</v>
      </c>
      <c r="BR84" s="23">
        <f>EXP(-LN(2)/2)*BR83+(1-EXP(-LN(2)/2))/(LN(2)/2)*BL84*BO84*VLOOKUP('Données projet'!$B$11,Paramètres!$A$1:$I$89,3,0)*0.475*44/12</f>
        <v>2.3197164000250081E-7</v>
      </c>
      <c r="BS84" s="24">
        <f t="shared" si="63"/>
        <v>5.4151161681508002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9.52371794871795</v>
      </c>
      <c r="BY84" s="13">
        <f>IF('Données projet'!$A$114&gt;35,BY83+BX84-CG83,IF(A84&lt;'Données projet'!$A$114,$BV$205^A84,IF(A84='Données projet'!$A$114,'Données projet'!$B$114,BY83+BX84-CG83)))</f>
        <v>340.7358974358973</v>
      </c>
      <c r="BZ84" s="14">
        <f>BY84*VLOOKUP('Données projet'!$B$12,Paramètres!$A$1:$I$89,3,0)*VLOOKUP('Données projet'!$B$12,Paramètres!$A$1:$I$89,5,0)</f>
        <v>159.46439999999993</v>
      </c>
      <c r="CA84" s="14">
        <f t="shared" si="93"/>
        <v>40.721685766303267</v>
      </c>
      <c r="CB84" s="22">
        <f t="shared" si="64"/>
        <v>348.65743270964475</v>
      </c>
      <c r="CC84" s="61">
        <f t="shared" si="65"/>
        <v>641.99076604297807</v>
      </c>
      <c r="CD84" s="61">
        <f ca="1">AVERAGE(OFFSET($CC$3,0,0,'Données projet'!$E$12+1,1))-AVERAGE(OFFSET($H$3,0,0,'Données projet'!$E$12+1,1))</f>
        <v>285.59863510278109</v>
      </c>
      <c r="CE84" s="61">
        <f t="shared" si="94"/>
        <v>190.4880882944471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11.8</v>
      </c>
      <c r="CT84" s="13">
        <f>IF('Données projet'!$A$140&gt;35,CT83+CS84-DB83,IF(A84&lt;'Données projet'!$A$140,$CQ$205^A84,IF(A84='Données projet'!$A$140,'Données projet'!$B$140,CT83+CS84-DB83)))</f>
        <v>314.80000000000013</v>
      </c>
      <c r="CU84" s="18">
        <f>CT84*VLOOKUP('Données projet'!$B$13,Paramètres!$A$1:$I$89,3,0)*VLOOKUP('Données projet'!$B$13,Paramètres!$A$1:$I$89,5,0)</f>
        <v>151.41880000000006</v>
      </c>
      <c r="CV84" s="14">
        <f t="shared" si="95"/>
        <v>38.900836139202958</v>
      </c>
      <c r="CW84" s="22">
        <f t="shared" si="67"/>
        <v>331.47336627577857</v>
      </c>
      <c r="CX84" s="61">
        <f t="shared" si="68"/>
        <v>624.80669960911189</v>
      </c>
      <c r="CY84" s="61">
        <f ca="1">AVERAGE(OFFSET($CX$3,0,0,'Données projet'!$E$13+1,1))-AVERAGE(OFFSET($H$3,0,0,'Données projet'!$E$13+1,1))</f>
        <v>273.72618036666552</v>
      </c>
      <c r="CZ84" s="61">
        <f t="shared" si="96"/>
        <v>157.67999791700714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4.1025641025640995</v>
      </c>
      <c r="DO84" s="13">
        <f>IF('Données projet'!$A$166&gt;35,DO83+DN84-DW83,IF(A84&lt;'Données projet'!$A$166,$DL$205^A84,IF(A84='Données projet'!$A$166,'Données projet'!$B$166,DO83+DN84-DW83)))</f>
        <v>259.87179487179492</v>
      </c>
      <c r="DP84" s="18">
        <f>DO84*VLOOKUP('Données projet'!$B$14,Paramètres!$A$1:$I$89,3,0)*VLOOKUP('Données projet'!$B$14,Paramètres!$A$1:$I$89,5,0)</f>
        <v>174.32200000000003</v>
      </c>
      <c r="DQ84" s="14">
        <f t="shared" si="97"/>
        <v>44.056588905148665</v>
      </c>
      <c r="DR84" s="22">
        <f t="shared" si="70"/>
        <v>380.34270900980056</v>
      </c>
      <c r="DS84" s="61">
        <f t="shared" si="71"/>
        <v>673.67604234313387</v>
      </c>
      <c r="DT84" s="61">
        <f ca="1">AVERAGE(OFFSET($DS$3,0,0,'Données projet'!$E$14+1,1))-AVERAGE(OFFSET($H$3,0,0,'Données projet'!$E$14+1,1))</f>
        <v>312.06797204903796</v>
      </c>
      <c r="DU84" s="61">
        <f t="shared" si="98"/>
        <v>258.20189001775151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1.4210854715202004E-13</v>
      </c>
      <c r="EK84" s="18">
        <f>EJ84*VLOOKUP('Données projet'!$B$15,Paramètres!$A$1:$I$89,3,0)*VLOOKUP('Données projet'!$B$15,Paramètres!$A$1:$I$89,5,0)</f>
        <v>1.1527845344971866E-13</v>
      </c>
      <c r="EL84" s="14">
        <f t="shared" si="99"/>
        <v>1.7033846239409443E-12</v>
      </c>
      <c r="EM84" s="22">
        <f t="shared" si="73"/>
        <v>3.1675048597887374E-12</v>
      </c>
      <c r="EN84" s="61">
        <f t="shared" si="74"/>
        <v>293.3333333333365</v>
      </c>
      <c r="EO84" s="61">
        <f ca="1">AVERAGE(OFFSET($EN$3,0,0,'Données projet'!$E$15+1,1))-AVERAGE(OFFSET($H$3,0,0,'Données projet'!$E$15+1,1))</f>
        <v>222.15256609836689</v>
      </c>
      <c r="EP84" s="61">
        <f t="shared" si="100"/>
        <v>221.10360210521077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1.1368683772161603E-13</v>
      </c>
      <c r="FF84" s="18">
        <f>FE84*VLOOKUP('Données projet'!$B$16,Paramètres!$A$1:$I$89,3,0)*VLOOKUP('Données projet'!$B$16,Paramètres!$A$1:$I$89,5,0)</f>
        <v>8.8675733422860506E-14</v>
      </c>
      <c r="FG84" s="14">
        <f t="shared" si="101"/>
        <v>1.3509285393066301E-12</v>
      </c>
      <c r="FH84" s="22">
        <f t="shared" si="76"/>
        <v>2.5073107750038623E-12</v>
      </c>
      <c r="FI84" s="61">
        <f t="shared" si="77"/>
        <v>293.33333333333582</v>
      </c>
      <c r="FJ84" s="61">
        <f ca="1">AVERAGE(OFFSET($FI$3,0,0,'Données projet'!$E$16+1,1))-AVERAGE(OFFSET($H$3,0,0,'Données projet'!$E$16+1,1))</f>
        <v>292.57482726862594</v>
      </c>
      <c r="FK84" s="61">
        <f t="shared" si="102"/>
        <v>283.48738729114024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5.6</v>
      </c>
      <c r="FZ84" s="13">
        <f>IF('Données projet'!$A$244&gt;35,FZ83+FY84-GH83,IF(A84&lt;'Données projet'!$A$244,$FW$205^A84,IF(A84='Données projet'!$A$244,'Données projet'!$B$244,FZ83+FY84-GH83)))</f>
        <v>245.59999999999991</v>
      </c>
      <c r="GA84" s="18">
        <f>FZ84*VLOOKUP('Données projet'!$B$17,Paramètres!$A$1:$I$89,3,0)*VLOOKUP('Données projet'!$B$17,Paramètres!$A$1:$I$89,5,0)</f>
        <v>237.54431999999991</v>
      </c>
      <c r="GB84" s="14">
        <f t="shared" si="103"/>
        <v>57.910863128487989</v>
      </c>
      <c r="GC84" s="22">
        <f t="shared" si="79"/>
        <v>514.58444394878302</v>
      </c>
      <c r="GD84" s="61">
        <f t="shared" si="80"/>
        <v>807.91777728211628</v>
      </c>
      <c r="GE84" s="61">
        <f ca="1">AVERAGE(OFFSET($GD$3,0,0,'Données projet'!$E$17+1,1))-AVERAGE(OFFSET($H$3,0,0,'Données projet'!$E$17+1,1))</f>
        <v>455.50822833641354</v>
      </c>
      <c r="GF84" s="61">
        <f t="shared" si="104"/>
        <v>261.14722581688039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0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0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5.6</v>
      </c>
      <c r="GU84" s="13">
        <f>IF('Données projet'!$A$270&gt;35,GU83+GT84-HC83,IF(A84&lt;'Données projet'!$A$270,$GR$205^A84,IF(A84='Données projet'!$A$270,'Données projet'!$B$270,GU83+GT84-HC83)))</f>
        <v>245.59999999999991</v>
      </c>
      <c r="GV84" s="18">
        <f>GU84*VLOOKUP('Données projet'!$B$18,Paramètres!$A$1:$I$89,3,0)*VLOOKUP('Données projet'!$B$18,Paramètres!$A$1:$I$89,5,0)</f>
        <v>264.36383999999987</v>
      </c>
      <c r="GW84" s="14">
        <f t="shared" si="105"/>
        <v>63.651669282160768</v>
      </c>
      <c r="GX84" s="22">
        <f t="shared" si="82"/>
        <v>571.29367866642974</v>
      </c>
      <c r="GY84" s="61">
        <f t="shared" si="83"/>
        <v>864.627011999763</v>
      </c>
      <c r="GZ84" s="61">
        <f ca="1">AVERAGE(OFFSET($GY$3,0,0,'Données projet'!$E$18+1,1))-AVERAGE(OFFSET($H$3,0,0,'Données projet'!$E$18+1,1))</f>
        <v>502.07782026233912</v>
      </c>
      <c r="HA84" s="61">
        <f t="shared" si="106"/>
        <v>285.83623046025156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0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0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227.28575999999993</v>
      </c>
      <c r="P85" s="14">
        <f t="shared" si="87"/>
        <v>55.695394520076327</v>
      </c>
      <c r="Q85" s="22">
        <f t="shared" si="54"/>
        <v>492.85884412246605</v>
      </c>
      <c r="R85" s="61">
        <f t="shared" si="55"/>
        <v>786.19217745579931</v>
      </c>
      <c r="S85" s="61">
        <f ca="1">AVERAGE(OFFSET($R$3,0,0,'Données projet'!$E$9+1,1))-AVERAGE(OFFSET($H$3,0,0,'Données projet'!$E$9+1,1))</f>
        <v>428.8489304403459</v>
      </c>
      <c r="T85" s="61">
        <f t="shared" si="88"/>
        <v>247.01165577562966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1">
        <f t="shared" si="59"/>
        <v>844.24282734876306</v>
      </c>
      <c r="AN85" s="61">
        <f ca="1">AVERAGE(OFFSET($AM$3,0,0,'Données projet'!$E$10+1,1))-AVERAGE(OFFSET($H$3,0,0,'Données projet'!$E$10+1,1))</f>
        <v>475.47920969424894</v>
      </c>
      <c r="AO85" s="61">
        <f t="shared" si="90"/>
        <v>271.73544012419364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-3.4106051316484809E-13</v>
      </c>
      <c r="BE85" s="14">
        <f>BD85*VLOOKUP('Données projet'!$B$11,Paramètres!$A$1:$I$89,3,0)*VLOOKUP('Données projet'!$B$11,Paramètres!$A$1:$I$89,5,0)</f>
        <v>-1.9065282685915009E-13</v>
      </c>
      <c r="BF85" s="14" t="e">
        <f t="shared" si="91"/>
        <v>#NUM!</v>
      </c>
      <c r="BG85" s="22" t="e">
        <f t="shared" si="61"/>
        <v>#NUM!</v>
      </c>
      <c r="BH85" s="61" t="e">
        <f t="shared" si="62"/>
        <v>#NUM!</v>
      </c>
      <c r="BI85" s="61">
        <f ca="1">AVERAGE(OFFSET($BH$3,0,0,'Données projet'!$E$11+1,1))-AVERAGE(OFFSET($H$3,0,0,'Données projet'!$E$11+1,1))</f>
        <v>374.79806286316051</v>
      </c>
      <c r="BJ85" s="61">
        <f t="shared" si="92"/>
        <v>350.01856672839466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5.2670393061357705</v>
      </c>
      <c r="BR85" s="23">
        <f>EXP(-LN(2)/2)*BR84+(1-EXP(-LN(2)/2))/(LN(2)/2)*BL85*BO85*VLOOKUP('Données projet'!$B$11,Paramètres!$A$1:$I$89,3,0)*0.475*44/12</f>
        <v>1.6402871968873292E-7</v>
      </c>
      <c r="BS85" s="24">
        <f t="shared" si="63"/>
        <v>5.26703947016449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9.52371794871795</v>
      </c>
      <c r="BY85" s="13">
        <f>IF('Données projet'!$A$114&gt;35,BY84+BX85-CG84,IF(A85&lt;'Données projet'!$A$114,$BV$205^A85,IF(A85='Données projet'!$A$114,'Données projet'!$B$114,BY84+BX85-CG84)))</f>
        <v>350.25961538461524</v>
      </c>
      <c r="BZ85" s="14">
        <f>BY85*VLOOKUP('Données projet'!$B$12,Paramètres!$A$1:$I$89,3,0)*VLOOKUP('Données projet'!$B$12,Paramètres!$A$1:$I$89,5,0)</f>
        <v>163.92149999999992</v>
      </c>
      <c r="CA85" s="14">
        <f t="shared" si="93"/>
        <v>41.72577033989257</v>
      </c>
      <c r="CB85" s="22">
        <f t="shared" si="64"/>
        <v>358.16899584197944</v>
      </c>
      <c r="CC85" s="61">
        <f t="shared" si="65"/>
        <v>651.50232917531275</v>
      </c>
      <c r="CD85" s="61">
        <f ca="1">AVERAGE(OFFSET($CC$3,0,0,'Données projet'!$E$12+1,1))-AVERAGE(OFFSET($H$3,0,0,'Données projet'!$E$12+1,1))</f>
        <v>285.59863510278109</v>
      </c>
      <c r="CE85" s="61">
        <f t="shared" si="94"/>
        <v>190.4880882944471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11.8</v>
      </c>
      <c r="CT85" s="13">
        <f>IF('Données projet'!$A$140&gt;35,CT84+CS85-DB84,IF(A85&lt;'Données projet'!$A$140,$CQ$205^A85,IF(A85='Données projet'!$A$140,'Données projet'!$B$140,CT84+CS85-DB84)))</f>
        <v>326.60000000000014</v>
      </c>
      <c r="CU85" s="18">
        <f>CT85*VLOOKUP('Données projet'!$B$13,Paramètres!$A$1:$I$89,3,0)*VLOOKUP('Données projet'!$B$13,Paramètres!$A$1:$I$89,5,0)</f>
        <v>157.09460000000007</v>
      </c>
      <c r="CV85" s="14">
        <f t="shared" si="95"/>
        <v>40.186497032218156</v>
      </c>
      <c r="CW85" s="22">
        <f t="shared" si="67"/>
        <v>343.59791066444672</v>
      </c>
      <c r="CX85" s="61">
        <f t="shared" si="68"/>
        <v>636.93124399778003</v>
      </c>
      <c r="CY85" s="61">
        <f ca="1">AVERAGE(OFFSET($CX$3,0,0,'Données projet'!$E$13+1,1))-AVERAGE(OFFSET($H$3,0,0,'Données projet'!$E$13+1,1))</f>
        <v>273.72618036666552</v>
      </c>
      <c r="CZ85" s="61">
        <f t="shared" si="96"/>
        <v>157.67999791700714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4.1025641025640995</v>
      </c>
      <c r="DO85" s="13">
        <f>IF('Données projet'!$A$166&gt;35,DO84+DN85-DW84,IF(A85&lt;'Données projet'!$A$166,$DL$205^A85,IF(A85='Données projet'!$A$166,'Données projet'!$B$166,DO84+DN85-DW84)))</f>
        <v>263.97435897435901</v>
      </c>
      <c r="DP85" s="18">
        <f>DO85*VLOOKUP('Données projet'!$B$14,Paramètres!$A$1:$I$89,3,0)*VLOOKUP('Données projet'!$B$14,Paramètres!$A$1:$I$89,5,0)</f>
        <v>177.07400000000001</v>
      </c>
      <c r="DQ85" s="14">
        <f t="shared" si="97"/>
        <v>44.670585441115527</v>
      </c>
      <c r="DR85" s="22">
        <f t="shared" si="70"/>
        <v>386.2051529766095</v>
      </c>
      <c r="DS85" s="61">
        <f t="shared" si="71"/>
        <v>679.53848630994275</v>
      </c>
      <c r="DT85" s="61">
        <f ca="1">AVERAGE(OFFSET($DS$3,0,0,'Données projet'!$E$14+1,1))-AVERAGE(OFFSET($H$3,0,0,'Données projet'!$E$14+1,1))</f>
        <v>312.06797204903796</v>
      </c>
      <c r="DU85" s="61">
        <f t="shared" si="98"/>
        <v>258.20189001775151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1.4210854715202004E-13</v>
      </c>
      <c r="EK85" s="18">
        <f>EJ85*VLOOKUP('Données projet'!$B$15,Paramètres!$A$1:$I$89,3,0)*VLOOKUP('Données projet'!$B$15,Paramètres!$A$1:$I$89,5,0)</f>
        <v>1.1527845344971866E-13</v>
      </c>
      <c r="EL85" s="14">
        <f t="shared" si="99"/>
        <v>1.7033846239409443E-12</v>
      </c>
      <c r="EM85" s="22">
        <f t="shared" si="73"/>
        <v>3.1675048597887374E-12</v>
      </c>
      <c r="EN85" s="61">
        <f t="shared" si="74"/>
        <v>293.3333333333365</v>
      </c>
      <c r="EO85" s="61">
        <f ca="1">AVERAGE(OFFSET($EN$3,0,0,'Données projet'!$E$15+1,1))-AVERAGE(OFFSET($H$3,0,0,'Données projet'!$E$15+1,1))</f>
        <v>222.15256609836689</v>
      </c>
      <c r="EP85" s="61">
        <f t="shared" si="100"/>
        <v>221.10360210521077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1.1368683772161603E-13</v>
      </c>
      <c r="FF85" s="18">
        <f>FE85*VLOOKUP('Données projet'!$B$16,Paramètres!$A$1:$I$89,3,0)*VLOOKUP('Données projet'!$B$16,Paramètres!$A$1:$I$89,5,0)</f>
        <v>8.8675733422860506E-14</v>
      </c>
      <c r="FG85" s="14">
        <f t="shared" si="101"/>
        <v>1.3509285393066301E-12</v>
      </c>
      <c r="FH85" s="22">
        <f t="shared" si="76"/>
        <v>2.5073107750038623E-12</v>
      </c>
      <c r="FI85" s="61">
        <f t="shared" si="77"/>
        <v>293.33333333333582</v>
      </c>
      <c r="FJ85" s="61">
        <f ca="1">AVERAGE(OFFSET($FI$3,0,0,'Données projet'!$E$16+1,1))-AVERAGE(OFFSET($H$3,0,0,'Données projet'!$E$16+1,1))</f>
        <v>292.57482726862594</v>
      </c>
      <c r="FK85" s="61">
        <f t="shared" si="102"/>
        <v>283.48738729114024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5.6</v>
      </c>
      <c r="FZ85" s="13">
        <f>IF('Données projet'!$A$244&gt;35,FZ84+FY85-GH84,IF(A85&lt;'Données projet'!$A$244,$FW$205^A85,IF(A85='Données projet'!$A$244,'Données projet'!$B$244,FZ84+FY85-GH84)))</f>
        <v>251.1999999999999</v>
      </c>
      <c r="GA85" s="18">
        <f>FZ85*VLOOKUP('Données projet'!$B$17,Paramètres!$A$1:$I$89,3,0)*VLOOKUP('Données projet'!$B$17,Paramètres!$A$1:$I$89,5,0)</f>
        <v>242.96063999999993</v>
      </c>
      <c r="GB85" s="14">
        <f t="shared" si="103"/>
        <v>59.076071351835715</v>
      </c>
      <c r="GC85" s="22">
        <f t="shared" si="79"/>
        <v>526.04727227111368</v>
      </c>
      <c r="GD85" s="61">
        <f t="shared" si="80"/>
        <v>819.38060560444706</v>
      </c>
      <c r="GE85" s="61">
        <f ca="1">AVERAGE(OFFSET($GD$3,0,0,'Données projet'!$E$17+1,1))-AVERAGE(OFFSET($H$3,0,0,'Données projet'!$E$17+1,1))</f>
        <v>455.50822833641354</v>
      </c>
      <c r="GF85" s="61">
        <f t="shared" si="104"/>
        <v>261.14722581688039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0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0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5.6</v>
      </c>
      <c r="GU85" s="13">
        <f>IF('Données projet'!$A$270&gt;35,GU84+GT85-HC84,IF(A85&lt;'Données projet'!$A$270,$GR$205^A85,IF(A85='Données projet'!$A$270,'Données projet'!$B$270,GU84+GT85-HC84)))</f>
        <v>251.1999999999999</v>
      </c>
      <c r="GV85" s="18">
        <f>GU85*VLOOKUP('Données projet'!$B$18,Paramètres!$A$1:$I$89,3,0)*VLOOKUP('Données projet'!$B$18,Paramètres!$A$1:$I$89,5,0)</f>
        <v>270.39167999999989</v>
      </c>
      <c r="GW85" s="14">
        <f t="shared" si="105"/>
        <v>64.932386654872516</v>
      </c>
      <c r="GX85" s="22">
        <f t="shared" si="82"/>
        <v>584.02274942390272</v>
      </c>
      <c r="GY85" s="61">
        <f t="shared" si="83"/>
        <v>877.35608275723598</v>
      </c>
      <c r="GZ85" s="61">
        <f ca="1">AVERAGE(OFFSET($GY$3,0,0,'Données projet'!$E$18+1,1))-AVERAGE(OFFSET($H$3,0,0,'Données projet'!$E$18+1,1))</f>
        <v>502.07782026233912</v>
      </c>
      <c r="HA85" s="61">
        <f t="shared" si="106"/>
        <v>285.83623046025156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0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0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232.35263999999989</v>
      </c>
      <c r="P86" s="14">
        <f t="shared" si="87"/>
        <v>56.791075613550255</v>
      </c>
      <c r="Q86" s="22">
        <f t="shared" si="54"/>
        <v>503.59197136026643</v>
      </c>
      <c r="R86" s="61">
        <f t="shared" si="55"/>
        <v>796.92530469359974</v>
      </c>
      <c r="S86" s="61">
        <f ca="1">AVERAGE(OFFSET($R$3,0,0,'Données projet'!$E$9+1,1))-AVERAGE(OFFSET($H$3,0,0,'Données projet'!$E$9+1,1))</f>
        <v>428.8489304403459</v>
      </c>
      <c r="T86" s="61">
        <f t="shared" si="88"/>
        <v>247.01165577562966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1">
        <f t="shared" si="59"/>
        <v>856.24315446785226</v>
      </c>
      <c r="AN86" s="61">
        <f ca="1">AVERAGE(OFFSET($AM$3,0,0,'Données projet'!$E$10+1,1))-AVERAGE(OFFSET($H$3,0,0,'Données projet'!$E$10+1,1))</f>
        <v>475.47920969424894</v>
      </c>
      <c r="AO86" s="61">
        <f t="shared" si="90"/>
        <v>271.73544012419364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-3.4106051316484809E-13</v>
      </c>
      <c r="BE86" s="14">
        <f>BD86*VLOOKUP('Données projet'!$B$11,Paramètres!$A$1:$I$89,3,0)*VLOOKUP('Données projet'!$B$11,Paramètres!$A$1:$I$89,5,0)</f>
        <v>-1.9065282685915009E-13</v>
      </c>
      <c r="BF86" s="14" t="e">
        <f t="shared" si="91"/>
        <v>#NUM!</v>
      </c>
      <c r="BG86" s="22" t="e">
        <f t="shared" si="61"/>
        <v>#NUM!</v>
      </c>
      <c r="BH86" s="61" t="e">
        <f t="shared" si="62"/>
        <v>#NUM!</v>
      </c>
      <c r="BI86" s="61">
        <f ca="1">AVERAGE(OFFSET($BH$3,0,0,'Données projet'!$E$11+1,1))-AVERAGE(OFFSET($H$3,0,0,'Données projet'!$E$11+1,1))</f>
        <v>374.79806286316051</v>
      </c>
      <c r="BJ86" s="61">
        <f t="shared" si="92"/>
        <v>350.01856672839466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5.1230118393279289</v>
      </c>
      <c r="BR86" s="23">
        <f>EXP(-LN(2)/2)*BR85+(1-EXP(-LN(2)/2))/(LN(2)/2)*BL86*BO86*VLOOKUP('Données projet'!$B$11,Paramètres!$A$1:$I$89,3,0)*0.475*44/12</f>
        <v>1.1598582000125042E-7</v>
      </c>
      <c r="BS86" s="24">
        <f t="shared" si="63"/>
        <v>5.123011955313749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9.52371794871795</v>
      </c>
      <c r="BY86" s="13">
        <f>IF('Données projet'!$A$114&gt;35,BY85+BX86-CG85,IF(A86&lt;'Données projet'!$A$114,$BV$205^A86,IF(A86='Données projet'!$A$114,'Données projet'!$B$114,BY85+BX86-CG85)))</f>
        <v>359.78333333333319</v>
      </c>
      <c r="BZ86" s="14">
        <f>BY86*VLOOKUP('Données projet'!$B$12,Paramètres!$A$1:$I$89,3,0)*VLOOKUP('Données projet'!$B$12,Paramètres!$A$1:$I$89,5,0)</f>
        <v>168.37859999999992</v>
      </c>
      <c r="CA86" s="14">
        <f t="shared" si="93"/>
        <v>42.726681627572866</v>
      </c>
      <c r="CB86" s="22">
        <f t="shared" si="64"/>
        <v>367.6750321680226</v>
      </c>
      <c r="CC86" s="61">
        <f t="shared" si="65"/>
        <v>661.00836550135591</v>
      </c>
      <c r="CD86" s="61">
        <f ca="1">AVERAGE(OFFSET($CC$3,0,0,'Données projet'!$E$12+1,1))-AVERAGE(OFFSET($H$3,0,0,'Données projet'!$E$12+1,1))</f>
        <v>285.59863510278109</v>
      </c>
      <c r="CE86" s="61">
        <f t="shared" si="94"/>
        <v>190.4880882944471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11.8</v>
      </c>
      <c r="CT86" s="13">
        <f>IF('Données projet'!$A$140&gt;35,CT85+CS86-DB85,IF(A86&lt;'Données projet'!$A$140,$CQ$205^A86,IF(A86='Données projet'!$A$140,'Données projet'!$B$140,CT85+CS86-DB85)))</f>
        <v>338.40000000000015</v>
      </c>
      <c r="CU86" s="18">
        <f>CT86*VLOOKUP('Données projet'!$B$13,Paramètres!$A$1:$I$89,3,0)*VLOOKUP('Données projet'!$B$13,Paramètres!$A$1:$I$89,5,0)</f>
        <v>162.77040000000008</v>
      </c>
      <c r="CV86" s="14">
        <f t="shared" si="95"/>
        <v>41.466761176934298</v>
      </c>
      <c r="CW86" s="22">
        <f t="shared" si="67"/>
        <v>355.71305571649401</v>
      </c>
      <c r="CX86" s="61">
        <f t="shared" si="68"/>
        <v>649.04638904982733</v>
      </c>
      <c r="CY86" s="61">
        <f ca="1">AVERAGE(OFFSET($CX$3,0,0,'Données projet'!$E$13+1,1))-AVERAGE(OFFSET($H$3,0,0,'Données projet'!$E$13+1,1))</f>
        <v>273.72618036666552</v>
      </c>
      <c r="CZ86" s="61">
        <f t="shared" si="96"/>
        <v>157.67999791700714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4.1025641025640995</v>
      </c>
      <c r="DO86" s="13">
        <f>IF('Données projet'!$A$166&gt;35,DO85+DN86-DW85,IF(A86&lt;'Données projet'!$A$166,$DL$205^A86,IF(A86='Données projet'!$A$166,'Données projet'!$B$166,DO85+DN86-DW85)))</f>
        <v>268.07692307692309</v>
      </c>
      <c r="DP86" s="18">
        <f>DO86*VLOOKUP('Données projet'!$B$14,Paramètres!$A$1:$I$89,3,0)*VLOOKUP('Données projet'!$B$14,Paramètres!$A$1:$I$89,5,0)</f>
        <v>179.82600000000002</v>
      </c>
      <c r="DQ86" s="14">
        <f t="shared" si="97"/>
        <v>45.283472193614408</v>
      </c>
      <c r="DR86" s="22">
        <f t="shared" si="70"/>
        <v>392.06566407054515</v>
      </c>
      <c r="DS86" s="61">
        <f t="shared" si="71"/>
        <v>685.39899740387841</v>
      </c>
      <c r="DT86" s="61">
        <f ca="1">AVERAGE(OFFSET($DS$3,0,0,'Données projet'!$E$14+1,1))-AVERAGE(OFFSET($H$3,0,0,'Données projet'!$E$14+1,1))</f>
        <v>312.06797204903796</v>
      </c>
      <c r="DU86" s="61">
        <f t="shared" si="98"/>
        <v>258.20189001775151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1.4210854715202004E-13</v>
      </c>
      <c r="EK86" s="18">
        <f>EJ86*VLOOKUP('Données projet'!$B$15,Paramètres!$A$1:$I$89,3,0)*VLOOKUP('Données projet'!$B$15,Paramètres!$A$1:$I$89,5,0)</f>
        <v>1.1527845344971866E-13</v>
      </c>
      <c r="EL86" s="14">
        <f t="shared" si="99"/>
        <v>1.7033846239409443E-12</v>
      </c>
      <c r="EM86" s="22">
        <f t="shared" si="73"/>
        <v>3.1675048597887374E-12</v>
      </c>
      <c r="EN86" s="61">
        <f t="shared" si="74"/>
        <v>293.3333333333365</v>
      </c>
      <c r="EO86" s="61">
        <f ca="1">AVERAGE(OFFSET($EN$3,0,0,'Données projet'!$E$15+1,1))-AVERAGE(OFFSET($H$3,0,0,'Données projet'!$E$15+1,1))</f>
        <v>222.15256609836689</v>
      </c>
      <c r="EP86" s="61">
        <f t="shared" si="100"/>
        <v>221.10360210521077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1.1368683772161603E-13</v>
      </c>
      <c r="FF86" s="18">
        <f>FE86*VLOOKUP('Données projet'!$B$16,Paramètres!$A$1:$I$89,3,0)*VLOOKUP('Données projet'!$B$16,Paramètres!$A$1:$I$89,5,0)</f>
        <v>8.8675733422860506E-14</v>
      </c>
      <c r="FG86" s="14">
        <f t="shared" si="101"/>
        <v>1.3509285393066301E-12</v>
      </c>
      <c r="FH86" s="22">
        <f t="shared" si="76"/>
        <v>2.5073107750038623E-12</v>
      </c>
      <c r="FI86" s="61">
        <f t="shared" si="77"/>
        <v>293.33333333333582</v>
      </c>
      <c r="FJ86" s="61">
        <f ca="1">AVERAGE(OFFSET($FI$3,0,0,'Données projet'!$E$16+1,1))-AVERAGE(OFFSET($H$3,0,0,'Données projet'!$E$16+1,1))</f>
        <v>292.57482726862594</v>
      </c>
      <c r="FK86" s="61">
        <f t="shared" si="102"/>
        <v>283.48738729114024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5.6</v>
      </c>
      <c r="FZ86" s="13">
        <f>IF('Données projet'!$A$244&gt;35,FZ85+FY86-GH85,IF(A86&lt;'Données projet'!$A$244,$FW$205^A86,IF(A86='Données projet'!$A$244,'Données projet'!$B$244,FZ85+FY86-GH85)))</f>
        <v>256.7999999999999</v>
      </c>
      <c r="GA86" s="18">
        <f>FZ86*VLOOKUP('Données projet'!$B$17,Paramètres!$A$1:$I$89,3,0)*VLOOKUP('Données projet'!$B$17,Paramètres!$A$1:$I$89,5,0)</f>
        <v>248.37695999999988</v>
      </c>
      <c r="GB86" s="14">
        <f t="shared" si="103"/>
        <v>60.238259626372319</v>
      </c>
      <c r="GC86" s="22">
        <f t="shared" si="79"/>
        <v>537.50484084926495</v>
      </c>
      <c r="GD86" s="61">
        <f t="shared" si="80"/>
        <v>830.83817418259832</v>
      </c>
      <c r="GE86" s="61">
        <f ca="1">AVERAGE(OFFSET($GD$3,0,0,'Données projet'!$E$17+1,1))-AVERAGE(OFFSET($H$3,0,0,'Données projet'!$E$17+1,1))</f>
        <v>455.50822833641354</v>
      </c>
      <c r="GF86" s="61">
        <f t="shared" si="104"/>
        <v>261.14722581688039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0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0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5.6</v>
      </c>
      <c r="GU86" s="13">
        <f>IF('Données projet'!$A$270&gt;35,GU85+GT86-HC85,IF(A86&lt;'Données projet'!$A$270,$GR$205^A86,IF(A86='Données projet'!$A$270,'Données projet'!$B$270,GU85+GT86-HC85)))</f>
        <v>256.7999999999999</v>
      </c>
      <c r="GV86" s="18">
        <f>GU86*VLOOKUP('Données projet'!$B$18,Paramètres!$A$1:$I$89,3,0)*VLOOKUP('Données projet'!$B$18,Paramètres!$A$1:$I$89,5,0)</f>
        <v>276.41951999999986</v>
      </c>
      <c r="GW86" s="14">
        <f t="shared" si="105"/>
        <v>66.209784705913108</v>
      </c>
      <c r="GX86" s="22">
        <f t="shared" si="82"/>
        <v>596.74603902946512</v>
      </c>
      <c r="GY86" s="61">
        <f t="shared" si="83"/>
        <v>890.07937236279849</v>
      </c>
      <c r="GZ86" s="61">
        <f ca="1">AVERAGE(OFFSET($GY$3,0,0,'Données projet'!$E$18+1,1))-AVERAGE(OFFSET($H$3,0,0,'Données projet'!$E$18+1,1))</f>
        <v>502.07782026233912</v>
      </c>
      <c r="HA86" s="61">
        <f t="shared" si="106"/>
        <v>285.83623046025156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0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0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237.41951999999992</v>
      </c>
      <c r="P87" s="14">
        <f t="shared" si="87"/>
        <v>57.883978814320919</v>
      </c>
      <c r="Q87" s="22">
        <f t="shared" si="54"/>
        <v>514.32026043494204</v>
      </c>
      <c r="R87" s="61">
        <f t="shared" si="55"/>
        <v>807.65359376827541</v>
      </c>
      <c r="S87" s="61">
        <f ca="1">AVERAGE(OFFSET($R$3,0,0,'Données projet'!$E$9+1,1))-AVERAGE(OFFSET($H$3,0,0,'Données projet'!$E$9+1,1))</f>
        <v>428.8489304403459</v>
      </c>
      <c r="T87" s="61">
        <f t="shared" si="88"/>
        <v>247.01165577562966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1">
        <f t="shared" si="59"/>
        <v>868.23813094642423</v>
      </c>
      <c r="AN87" s="61">
        <f ca="1">AVERAGE(OFFSET($AM$3,0,0,'Données projet'!$E$10+1,1))-AVERAGE(OFFSET($H$3,0,0,'Données projet'!$E$10+1,1))</f>
        <v>475.47920969424894</v>
      </c>
      <c r="AO87" s="61">
        <f t="shared" si="90"/>
        <v>271.73544012419364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-3.4106051316484809E-13</v>
      </c>
      <c r="BE87" s="14">
        <f>BD87*VLOOKUP('Données projet'!$B$11,Paramètres!$A$1:$I$89,3,0)*VLOOKUP('Données projet'!$B$11,Paramètres!$A$1:$I$89,5,0)</f>
        <v>-1.9065282685915009E-13</v>
      </c>
      <c r="BF87" s="14" t="e">
        <f t="shared" si="91"/>
        <v>#NUM!</v>
      </c>
      <c r="BG87" s="22" t="e">
        <f t="shared" si="61"/>
        <v>#NUM!</v>
      </c>
      <c r="BH87" s="61" t="e">
        <f t="shared" si="62"/>
        <v>#NUM!</v>
      </c>
      <c r="BI87" s="61">
        <f ca="1">AVERAGE(OFFSET($BH$3,0,0,'Données projet'!$E$11+1,1))-AVERAGE(OFFSET($H$3,0,0,'Données projet'!$E$11+1,1))</f>
        <v>374.79806286316051</v>
      </c>
      <c r="BJ87" s="61">
        <f t="shared" si="92"/>
        <v>350.01856672839466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4.9829228111740225</v>
      </c>
      <c r="BR87" s="23">
        <f>EXP(-LN(2)/2)*BR86+(1-EXP(-LN(2)/2))/(LN(2)/2)*BL87*BO87*VLOOKUP('Données projet'!$B$11,Paramètres!$A$1:$I$89,3,0)*0.475*44/12</f>
        <v>8.2014359844366475E-8</v>
      </c>
      <c r="BS87" s="24">
        <f t="shared" si="63"/>
        <v>4.9829228931883822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9.52371794871795</v>
      </c>
      <c r="BY87" s="13">
        <f>IF('Données projet'!$A$114&gt;35,BY86+BX87-CG86,IF(A87&lt;'Données projet'!$A$114,$BV$205^A87,IF(A87='Données projet'!$A$114,'Données projet'!$B$114,BY86+BX87-CG86)))</f>
        <v>369.30705128205113</v>
      </c>
      <c r="BZ87" s="14">
        <f>BY87*VLOOKUP('Données projet'!$B$12,Paramètres!$A$1:$I$89,3,0)*VLOOKUP('Données projet'!$B$12,Paramètres!$A$1:$I$89,5,0)</f>
        <v>172.83569999999992</v>
      </c>
      <c r="CA87" s="14">
        <f t="shared" si="93"/>
        <v>43.72451328376944</v>
      </c>
      <c r="CB87" s="22">
        <f t="shared" si="64"/>
        <v>377.17570480256501</v>
      </c>
      <c r="CC87" s="61">
        <f t="shared" si="65"/>
        <v>670.50903813589832</v>
      </c>
      <c r="CD87" s="61">
        <f ca="1">AVERAGE(OFFSET($CC$3,0,0,'Données projet'!$E$12+1,1))-AVERAGE(OFFSET($H$3,0,0,'Données projet'!$E$12+1,1))</f>
        <v>285.59863510278109</v>
      </c>
      <c r="CE87" s="61">
        <f t="shared" si="94"/>
        <v>190.4880882944471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11.8</v>
      </c>
      <c r="CT87" s="13">
        <f>IF('Données projet'!$A$140&gt;35,CT86+CS87-DB86,IF(A87&lt;'Données projet'!$A$140,$CQ$205^A87,IF(A87='Données projet'!$A$140,'Données projet'!$B$140,CT86+CS87-DB86)))</f>
        <v>350.20000000000016</v>
      </c>
      <c r="CU87" s="18">
        <f>CT87*VLOOKUP('Données projet'!$B$13,Paramètres!$A$1:$I$89,3,0)*VLOOKUP('Données projet'!$B$13,Paramètres!$A$1:$I$89,5,0)</f>
        <v>168.44620000000009</v>
      </c>
      <c r="CV87" s="14">
        <f t="shared" si="95"/>
        <v>42.741838323127588</v>
      </c>
      <c r="CW87" s="22">
        <f t="shared" si="67"/>
        <v>367.81916674611404</v>
      </c>
      <c r="CX87" s="61">
        <f t="shared" si="68"/>
        <v>661.15250007944735</v>
      </c>
      <c r="CY87" s="61">
        <f ca="1">AVERAGE(OFFSET($CX$3,0,0,'Données projet'!$E$13+1,1))-AVERAGE(OFFSET($H$3,0,0,'Données projet'!$E$13+1,1))</f>
        <v>273.72618036666552</v>
      </c>
      <c r="CZ87" s="61">
        <f t="shared" si="96"/>
        <v>157.67999791700714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4.1025641025640995</v>
      </c>
      <c r="DO87" s="13">
        <f>IF('Données projet'!$A$166&gt;35,DO86+DN87-DW86,IF(A87&lt;'Données projet'!$A$166,$DL$205^A87,IF(A87='Données projet'!$A$166,'Données projet'!$B$166,DO86+DN87-DW86)))</f>
        <v>272.17948717948718</v>
      </c>
      <c r="DP87" s="18">
        <f>DO87*VLOOKUP('Données projet'!$B$14,Paramètres!$A$1:$I$89,3,0)*VLOOKUP('Données projet'!$B$14,Paramètres!$A$1:$I$89,5,0)</f>
        <v>182.578</v>
      </c>
      <c r="DQ87" s="14">
        <f t="shared" si="97"/>
        <v>45.895268107941853</v>
      </c>
      <c r="DR87" s="22">
        <f t="shared" si="70"/>
        <v>397.9242752879988</v>
      </c>
      <c r="DS87" s="61">
        <f t="shared" si="71"/>
        <v>691.25760862133211</v>
      </c>
      <c r="DT87" s="61">
        <f ca="1">AVERAGE(OFFSET($DS$3,0,0,'Données projet'!$E$14+1,1))-AVERAGE(OFFSET($H$3,0,0,'Données projet'!$E$14+1,1))</f>
        <v>312.06797204903796</v>
      </c>
      <c r="DU87" s="61">
        <f t="shared" si="98"/>
        <v>258.20189001775151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1.4210854715202004E-13</v>
      </c>
      <c r="EK87" s="18">
        <f>EJ87*VLOOKUP('Données projet'!$B$15,Paramètres!$A$1:$I$89,3,0)*VLOOKUP('Données projet'!$B$15,Paramètres!$A$1:$I$89,5,0)</f>
        <v>1.1527845344971866E-13</v>
      </c>
      <c r="EL87" s="14">
        <f t="shared" si="99"/>
        <v>1.7033846239409443E-12</v>
      </c>
      <c r="EM87" s="22">
        <f t="shared" si="73"/>
        <v>3.1675048597887374E-12</v>
      </c>
      <c r="EN87" s="61">
        <f t="shared" si="74"/>
        <v>293.3333333333365</v>
      </c>
      <c r="EO87" s="61">
        <f ca="1">AVERAGE(OFFSET($EN$3,0,0,'Données projet'!$E$15+1,1))-AVERAGE(OFFSET($H$3,0,0,'Données projet'!$E$15+1,1))</f>
        <v>222.15256609836689</v>
      </c>
      <c r="EP87" s="61">
        <f t="shared" si="100"/>
        <v>221.10360210521077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1.1368683772161603E-13</v>
      </c>
      <c r="FF87" s="18">
        <f>FE87*VLOOKUP('Données projet'!$B$16,Paramètres!$A$1:$I$89,3,0)*VLOOKUP('Données projet'!$B$16,Paramètres!$A$1:$I$89,5,0)</f>
        <v>8.8675733422860506E-14</v>
      </c>
      <c r="FG87" s="14">
        <f t="shared" si="101"/>
        <v>1.3509285393066301E-12</v>
      </c>
      <c r="FH87" s="22">
        <f t="shared" si="76"/>
        <v>2.5073107750038623E-12</v>
      </c>
      <c r="FI87" s="61">
        <f t="shared" si="77"/>
        <v>293.33333333333582</v>
      </c>
      <c r="FJ87" s="61">
        <f ca="1">AVERAGE(OFFSET($FI$3,0,0,'Données projet'!$E$16+1,1))-AVERAGE(OFFSET($H$3,0,0,'Données projet'!$E$16+1,1))</f>
        <v>292.57482726862594</v>
      </c>
      <c r="FK87" s="61">
        <f t="shared" si="102"/>
        <v>283.48738729114024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5.6</v>
      </c>
      <c r="FZ87" s="13">
        <f>IF('Données projet'!$A$244&gt;35,FZ86+FY87-GH86,IF(A87&lt;'Données projet'!$A$244,$FW$205^A87,IF(A87='Données projet'!$A$244,'Données projet'!$B$244,FZ86+FY87-GH86)))</f>
        <v>262.39999999999992</v>
      </c>
      <c r="GA87" s="18">
        <f>FZ87*VLOOKUP('Données projet'!$B$17,Paramètres!$A$1:$I$89,3,0)*VLOOKUP('Données projet'!$B$17,Paramètres!$A$1:$I$89,5,0)</f>
        <v>253.79327999999995</v>
      </c>
      <c r="GB87" s="14">
        <f t="shared" si="103"/>
        <v>61.39750139179521</v>
      </c>
      <c r="GC87" s="22">
        <f t="shared" si="79"/>
        <v>548.95727759070985</v>
      </c>
      <c r="GD87" s="61">
        <f t="shared" si="80"/>
        <v>842.29061092404322</v>
      </c>
      <c r="GE87" s="61">
        <f ca="1">AVERAGE(OFFSET($GD$3,0,0,'Données projet'!$E$17+1,1))-AVERAGE(OFFSET($H$3,0,0,'Données projet'!$E$17+1,1))</f>
        <v>455.50822833641354</v>
      </c>
      <c r="GF87" s="61">
        <f t="shared" si="104"/>
        <v>261.14722581688039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0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0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5.6</v>
      </c>
      <c r="GU87" s="13">
        <f>IF('Données projet'!$A$270&gt;35,GU86+GT87-HC86,IF(A87&lt;'Données projet'!$A$270,$GR$205^A87,IF(A87='Données projet'!$A$270,'Données projet'!$B$270,GU86+GT87-HC86)))</f>
        <v>262.39999999999992</v>
      </c>
      <c r="GV87" s="18">
        <f>GU87*VLOOKUP('Données projet'!$B$18,Paramètres!$A$1:$I$89,3,0)*VLOOKUP('Données projet'!$B$18,Paramètres!$A$1:$I$89,5,0)</f>
        <v>282.44735999999989</v>
      </c>
      <c r="GW87" s="14">
        <f t="shared" si="105"/>
        <v>67.48394415518699</v>
      </c>
      <c r="GX87" s="22">
        <f t="shared" si="82"/>
        <v>609.46368807028375</v>
      </c>
      <c r="GY87" s="61">
        <f t="shared" si="83"/>
        <v>902.79702140361701</v>
      </c>
      <c r="GZ87" s="61">
        <f ca="1">AVERAGE(OFFSET($GY$3,0,0,'Données projet'!$E$18+1,1))-AVERAGE(OFFSET($H$3,0,0,'Données projet'!$E$18+1,1))</f>
        <v>502.07782026233912</v>
      </c>
      <c r="HA87" s="61">
        <f t="shared" si="106"/>
        <v>285.83623046025156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0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0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242.48639999999995</v>
      </c>
      <c r="P88" s="14">
        <f t="shared" si="87"/>
        <v>58.974170235372419</v>
      </c>
      <c r="Q88" s="22">
        <f t="shared" si="54"/>
        <v>525.04382649327351</v>
      </c>
      <c r="R88" s="61">
        <f t="shared" si="55"/>
        <v>818.37715982660688</v>
      </c>
      <c r="S88" s="61">
        <f ca="1">AVERAGE(OFFSET($R$3,0,0,'Données projet'!$E$9+1,1))-AVERAGE(OFFSET($H$3,0,0,'Données projet'!$E$9+1,1))</f>
        <v>428.8489304403459</v>
      </c>
      <c r="T88" s="61">
        <f t="shared" si="88"/>
        <v>247.01165577562966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1">
        <f t="shared" si="59"/>
        <v>880.22788412806244</v>
      </c>
      <c r="AN88" s="61">
        <f ca="1">AVERAGE(OFFSET($AM$3,0,0,'Données projet'!$E$10+1,1))-AVERAGE(OFFSET($H$3,0,0,'Données projet'!$E$10+1,1))</f>
        <v>475.47920969424894</v>
      </c>
      <c r="AO88" s="61">
        <f t="shared" si="90"/>
        <v>271.73544012419364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-3.4106051316484809E-13</v>
      </c>
      <c r="BE88" s="14">
        <f>BD88*VLOOKUP('Données projet'!$B$11,Paramètres!$A$1:$I$89,3,0)*VLOOKUP('Données projet'!$B$11,Paramètres!$A$1:$I$89,5,0)</f>
        <v>-1.9065282685915009E-13</v>
      </c>
      <c r="BF88" s="14" t="e">
        <f t="shared" si="91"/>
        <v>#NUM!</v>
      </c>
      <c r="BG88" s="22" t="e">
        <f t="shared" si="61"/>
        <v>#NUM!</v>
      </c>
      <c r="BH88" s="61" t="e">
        <f t="shared" si="62"/>
        <v>#NUM!</v>
      </c>
      <c r="BI88" s="61">
        <f ca="1">AVERAGE(OFFSET($BH$3,0,0,'Données projet'!$E$11+1,1))-AVERAGE(OFFSET($H$3,0,0,'Données projet'!$E$11+1,1))</f>
        <v>374.79806286316051</v>
      </c>
      <c r="BJ88" s="61">
        <f t="shared" si="92"/>
        <v>350.01856672839466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4.8466645248619464</v>
      </c>
      <c r="BR88" s="23">
        <f>EXP(-LN(2)/2)*BR87+(1-EXP(-LN(2)/2))/(LN(2)/2)*BL88*BO88*VLOOKUP('Données projet'!$B$11,Paramètres!$A$1:$I$89,3,0)*0.475*44/12</f>
        <v>5.7992910000625216E-8</v>
      </c>
      <c r="BS88" s="24">
        <f t="shared" si="63"/>
        <v>4.8466645828548565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378.83076923076925</v>
      </c>
      <c r="BW88" s="13">
        <f>VLOOKUP(A88,'Données projet'!$A$113:$I$133,9,0)</f>
        <v>9.52371794871795</v>
      </c>
      <c r="BX88" s="13">
        <f t="array" ref="BX88">INDEX(BW:BW,MIN(IF(ISNUMBER(BW88:BW284),ROW(BW88:BW284),"")))</f>
        <v>9.52371794871795</v>
      </c>
      <c r="BY88" s="13">
        <f>IF('Données projet'!$A$114&gt;35,BY87+BX88-CG87,IF(A88&lt;'Données projet'!$A$114,$BV$205^A88,IF(A88='Données projet'!$A$114,'Données projet'!$B$114,BY87+BX88-CG87)))</f>
        <v>378.83076923076908</v>
      </c>
      <c r="BZ88" s="14">
        <f>BY88*VLOOKUP('Données projet'!$B$12,Paramètres!$A$1:$I$89,3,0)*VLOOKUP('Données projet'!$B$12,Paramètres!$A$1:$I$89,5,0)</f>
        <v>177.29279999999994</v>
      </c>
      <c r="CA88" s="14">
        <f t="shared" si="93"/>
        <v>44.719353857403867</v>
      </c>
      <c r="CB88" s="22">
        <f t="shared" si="64"/>
        <v>386.67116796831164</v>
      </c>
      <c r="CC88" s="61">
        <f t="shared" si="65"/>
        <v>680.00450130164495</v>
      </c>
      <c r="CD88" s="61">
        <f ca="1">AVERAGE(OFFSET($CC$3,0,0,'Données projet'!$E$12+1,1))-AVERAGE(OFFSET($H$3,0,0,'Données projet'!$E$12+1,1))</f>
        <v>285.59863510278109</v>
      </c>
      <c r="CE88" s="61">
        <f t="shared" si="94"/>
        <v>190.4880882944471</v>
      </c>
      <c r="CF88" s="16">
        <f>IF(ISNA(VLOOKUP(A88,'Données projet'!$A$113:$I$133,3,0)),0,VLOOKUP(A88,'Données projet'!$A$113:$I$133,3,0))</f>
        <v>4</v>
      </c>
      <c r="CG88" s="16">
        <f>IF(ISNA(VLOOKUP(A88,'Données projet'!$A$113:$I$133,4,0)),0,VLOOKUP(A88,'Données projet'!$A$113:$I$133,4,0))</f>
        <v>85.207692307692298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11.8</v>
      </c>
      <c r="CT88" s="13">
        <f>IF('Données projet'!$A$140&gt;35,CT87+CS88-DB87,IF(A88&lt;'Données projet'!$A$140,$CQ$205^A88,IF(A88='Données projet'!$A$140,'Données projet'!$B$140,CT87+CS88-DB87)))</f>
        <v>362.00000000000017</v>
      </c>
      <c r="CU88" s="18">
        <f>CT88*VLOOKUP('Données projet'!$B$13,Paramètres!$A$1:$I$89,3,0)*VLOOKUP('Données projet'!$B$13,Paramètres!$A$1:$I$89,5,0)</f>
        <v>174.12200000000007</v>
      </c>
      <c r="CV88" s="14">
        <f t="shared" si="95"/>
        <v>44.011923283560357</v>
      </c>
      <c r="CW88" s="22">
        <f t="shared" si="67"/>
        <v>379.91658305220102</v>
      </c>
      <c r="CX88" s="61">
        <f t="shared" si="68"/>
        <v>673.24991638553433</v>
      </c>
      <c r="CY88" s="61">
        <f ca="1">AVERAGE(OFFSET($CX$3,0,0,'Données projet'!$E$13+1,1))-AVERAGE(OFFSET($H$3,0,0,'Données projet'!$E$13+1,1))</f>
        <v>273.72618036666552</v>
      </c>
      <c r="CZ88" s="61">
        <f t="shared" si="96"/>
        <v>157.67999791700714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276.28205128205127</v>
      </c>
      <c r="DM88" s="13">
        <f>VLOOKUP(A88,'Données projet'!$A$165:$I$185,9,0)</f>
        <v>4.1025641025640995</v>
      </c>
      <c r="DN88" s="13">
        <f t="array" ref="DN88">INDEX(DM:DM,MIN(IF(ISNUMBER(DM88:DM284),ROW(DM88:DM284),"")))</f>
        <v>4.1025641025640995</v>
      </c>
      <c r="DO88" s="13">
        <f>IF('Données projet'!$A$166&gt;35,DO87+DN88-DW87,IF(A88&lt;'Données projet'!$A$166,$DL$205^A88,IF(A88='Données projet'!$A$166,'Données projet'!$B$166,DO87+DN88-DW87)))</f>
        <v>276.28205128205127</v>
      </c>
      <c r="DP88" s="18">
        <f>DO88*VLOOKUP('Données projet'!$B$14,Paramètres!$A$1:$I$89,3,0)*VLOOKUP('Données projet'!$B$14,Paramètres!$A$1:$I$89,5,0)</f>
        <v>185.32999999999998</v>
      </c>
      <c r="DQ88" s="14">
        <f t="shared" si="97"/>
        <v>46.505991525491268</v>
      </c>
      <c r="DR88" s="22">
        <f t="shared" si="70"/>
        <v>403.78101857356387</v>
      </c>
      <c r="DS88" s="61">
        <f t="shared" si="71"/>
        <v>697.11435190689713</v>
      </c>
      <c r="DT88" s="61">
        <f ca="1">AVERAGE(OFFSET($DS$3,0,0,'Données projet'!$E$14+1,1))-AVERAGE(OFFSET($H$3,0,0,'Données projet'!$E$14+1,1))</f>
        <v>312.06797204903796</v>
      </c>
      <c r="DU88" s="61">
        <f t="shared" si="98"/>
        <v>258.20189001775151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1.4210854715202004E-13</v>
      </c>
      <c r="EK88" s="18">
        <f>EJ88*VLOOKUP('Données projet'!$B$15,Paramètres!$A$1:$I$89,3,0)*VLOOKUP('Données projet'!$B$15,Paramètres!$A$1:$I$89,5,0)</f>
        <v>1.1527845344971866E-13</v>
      </c>
      <c r="EL88" s="14">
        <f t="shared" si="99"/>
        <v>1.7033846239409443E-12</v>
      </c>
      <c r="EM88" s="22">
        <f t="shared" si="73"/>
        <v>3.1675048597887374E-12</v>
      </c>
      <c r="EN88" s="61">
        <f t="shared" si="74"/>
        <v>293.3333333333365</v>
      </c>
      <c r="EO88" s="61">
        <f ca="1">AVERAGE(OFFSET($EN$3,0,0,'Données projet'!$E$15+1,1))-AVERAGE(OFFSET($H$3,0,0,'Données projet'!$E$15+1,1))</f>
        <v>222.15256609836689</v>
      </c>
      <c r="EP88" s="61">
        <f t="shared" si="100"/>
        <v>221.10360210521077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1.1368683772161603E-13</v>
      </c>
      <c r="FF88" s="18">
        <f>FE88*VLOOKUP('Données projet'!$B$16,Paramètres!$A$1:$I$89,3,0)*VLOOKUP('Données projet'!$B$16,Paramètres!$A$1:$I$89,5,0)</f>
        <v>8.8675733422860506E-14</v>
      </c>
      <c r="FG88" s="14">
        <f t="shared" si="101"/>
        <v>1.3509285393066301E-12</v>
      </c>
      <c r="FH88" s="22">
        <f t="shared" si="76"/>
        <v>2.5073107750038623E-12</v>
      </c>
      <c r="FI88" s="61">
        <f t="shared" si="77"/>
        <v>293.33333333333582</v>
      </c>
      <c r="FJ88" s="61">
        <f ca="1">AVERAGE(OFFSET($FI$3,0,0,'Données projet'!$E$16+1,1))-AVERAGE(OFFSET($H$3,0,0,'Données projet'!$E$16+1,1))</f>
        <v>292.57482726862594</v>
      </c>
      <c r="FK88" s="61">
        <f t="shared" si="102"/>
        <v>283.48738729114024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5.6</v>
      </c>
      <c r="FZ88" s="13">
        <f>IF('Données projet'!$A$244&gt;35,FZ87+FY88-GH87,IF(A88&lt;'Données projet'!$A$244,$FW$205^A88,IF(A88='Données projet'!$A$244,'Données projet'!$B$244,FZ87+FY88-GH87)))</f>
        <v>267.99999999999994</v>
      </c>
      <c r="GA88" s="18">
        <f>FZ88*VLOOKUP('Données projet'!$B$17,Paramètres!$A$1:$I$89,3,0)*VLOOKUP('Données projet'!$B$17,Paramètres!$A$1:$I$89,5,0)</f>
        <v>259.20959999999997</v>
      </c>
      <c r="GB88" s="14">
        <f t="shared" si="103"/>
        <v>62.553866774106702</v>
      </c>
      <c r="GC88" s="22">
        <f t="shared" si="79"/>
        <v>560.40470463156907</v>
      </c>
      <c r="GD88" s="61">
        <f t="shared" si="80"/>
        <v>853.73803796490233</v>
      </c>
      <c r="GE88" s="61">
        <f ca="1">AVERAGE(OFFSET($GD$3,0,0,'Données projet'!$E$17+1,1))-AVERAGE(OFFSET($H$3,0,0,'Données projet'!$E$17+1,1))</f>
        <v>455.50822833641354</v>
      </c>
      <c r="GF88" s="61">
        <f t="shared" si="104"/>
        <v>261.14722581688039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0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0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5.6</v>
      </c>
      <c r="GU88" s="13">
        <f>IF('Données projet'!$A$270&gt;35,GU87+GT88-HC87,IF(A88&lt;'Données projet'!$A$270,$GR$205^A88,IF(A88='Données projet'!$A$270,'Données projet'!$B$270,GU87+GT88-HC87)))</f>
        <v>267.99999999999994</v>
      </c>
      <c r="GV88" s="18">
        <f>GU88*VLOOKUP('Données projet'!$B$18,Paramètres!$A$1:$I$89,3,0)*VLOOKUP('Données projet'!$B$18,Paramètres!$A$1:$I$89,5,0)</f>
        <v>288.47519999999997</v>
      </c>
      <c r="GW88" s="14">
        <f t="shared" si="105"/>
        <v>68.754942080410842</v>
      </c>
      <c r="GX88" s="22">
        <f t="shared" si="82"/>
        <v>622.17583079004874</v>
      </c>
      <c r="GY88" s="61">
        <f t="shared" si="83"/>
        <v>915.50916412338211</v>
      </c>
      <c r="GZ88" s="61">
        <f ca="1">AVERAGE(OFFSET($GY$3,0,0,'Données projet'!$E$18+1,1))-AVERAGE(OFFSET($H$3,0,0,'Données projet'!$E$18+1,1))</f>
        <v>502.07782026233912</v>
      </c>
      <c r="HA88" s="61">
        <f t="shared" si="106"/>
        <v>285.83623046025156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0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0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247.55327999999994</v>
      </c>
      <c r="P89" s="14">
        <f t="shared" si="87"/>
        <v>60.061713068870255</v>
      </c>
      <c r="Q89" s="22">
        <f t="shared" si="54"/>
        <v>535.76277959494894</v>
      </c>
      <c r="R89" s="61">
        <f t="shared" si="55"/>
        <v>829.09611292828231</v>
      </c>
      <c r="S89" s="61">
        <f ca="1">AVERAGE(OFFSET($R$3,0,0,'Données projet'!$E$9+1,1))-AVERAGE(OFFSET($H$3,0,0,'Données projet'!$E$9+1,1))</f>
        <v>428.8489304403459</v>
      </c>
      <c r="T89" s="61">
        <f t="shared" si="88"/>
        <v>247.01165577562966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1">
        <f t="shared" si="59"/>
        <v>892.21253573041304</v>
      </c>
      <c r="AN89" s="61">
        <f ca="1">AVERAGE(OFFSET($AM$3,0,0,'Données projet'!$E$10+1,1))-AVERAGE(OFFSET($H$3,0,0,'Données projet'!$E$10+1,1))</f>
        <v>475.47920969424894</v>
      </c>
      <c r="AO89" s="61">
        <f t="shared" si="90"/>
        <v>271.73544012419364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-3.4106051316484809E-13</v>
      </c>
      <c r="BE89" s="14">
        <f>BD89*VLOOKUP('Données projet'!$B$11,Paramètres!$A$1:$I$89,3,0)*VLOOKUP('Données projet'!$B$11,Paramètres!$A$1:$I$89,5,0)</f>
        <v>-1.9065282685915009E-13</v>
      </c>
      <c r="BF89" s="14" t="e">
        <f t="shared" si="91"/>
        <v>#NUM!</v>
      </c>
      <c r="BG89" s="22" t="e">
        <f t="shared" si="61"/>
        <v>#NUM!</v>
      </c>
      <c r="BH89" s="61" t="e">
        <f t="shared" si="62"/>
        <v>#NUM!</v>
      </c>
      <c r="BI89" s="61">
        <f ca="1">AVERAGE(OFFSET($BH$3,0,0,'Données projet'!$E$11+1,1))-AVERAGE(OFFSET($H$3,0,0,'Données projet'!$E$11+1,1))</f>
        <v>374.79806286316051</v>
      </c>
      <c r="BJ89" s="61">
        <f t="shared" si="92"/>
        <v>350.01856672839466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4.7141322285545861</v>
      </c>
      <c r="BR89" s="23">
        <f>EXP(-LN(2)/2)*BR88+(1-EXP(-LN(2)/2))/(LN(2)/2)*BL89*BO89*VLOOKUP('Données projet'!$B$11,Paramètres!$A$1:$I$89,3,0)*0.475*44/12</f>
        <v>4.1007179922183244E-8</v>
      </c>
      <c r="BS89" s="24">
        <f t="shared" si="63"/>
        <v>4.714132269561766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8.7211538461538449</v>
      </c>
      <c r="BY89" s="13">
        <f>IF('Données projet'!$A$114&gt;35,BY88+BX89-CG88,IF(A89&lt;'Données projet'!$A$114,$BV$205^A89,IF(A89='Données projet'!$A$114,'Données projet'!$B$114,BY88+BX89-CG88)))</f>
        <v>302.34423076923065</v>
      </c>
      <c r="BZ89" s="14">
        <f>BY89*VLOOKUP('Données projet'!$B$12,Paramètres!$A$1:$I$89,3,0)*VLOOKUP('Données projet'!$B$12,Paramètres!$A$1:$I$89,5,0)</f>
        <v>141.49709999999996</v>
      </c>
      <c r="CA89" s="14">
        <f t="shared" si="93"/>
        <v>36.639757477223647</v>
      </c>
      <c r="CB89" s="22">
        <f t="shared" si="64"/>
        <v>310.25502677283106</v>
      </c>
      <c r="CC89" s="61">
        <f t="shared" si="65"/>
        <v>603.58836010616437</v>
      </c>
      <c r="CD89" s="61">
        <f ca="1">AVERAGE(OFFSET($CC$3,0,0,'Données projet'!$E$12+1,1))-AVERAGE(OFFSET($H$3,0,0,'Données projet'!$E$12+1,1))</f>
        <v>285.59863510278109</v>
      </c>
      <c r="CE89" s="61">
        <f t="shared" si="94"/>
        <v>190.4880882944471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11.8</v>
      </c>
      <c r="CT89" s="13">
        <f>IF('Données projet'!$A$140&gt;35,CT88+CS89-DB88,IF(A89&lt;'Données projet'!$A$140,$CQ$205^A89,IF(A89='Données projet'!$A$140,'Données projet'!$B$140,CT88+CS89-DB88)))</f>
        <v>373.80000000000018</v>
      </c>
      <c r="CU89" s="18">
        <f>CT89*VLOOKUP('Données projet'!$B$13,Paramètres!$A$1:$I$89,3,0)*VLOOKUP('Données projet'!$B$13,Paramètres!$A$1:$I$89,5,0)</f>
        <v>179.79780000000011</v>
      </c>
      <c r="CV89" s="14">
        <f t="shared" si="95"/>
        <v>45.277197449567822</v>
      </c>
      <c r="CW89" s="22">
        <f t="shared" si="67"/>
        <v>392.00562055799747</v>
      </c>
      <c r="CX89" s="61">
        <f t="shared" si="68"/>
        <v>685.33895389133079</v>
      </c>
      <c r="CY89" s="61">
        <f ca="1">AVERAGE(OFFSET($CX$3,0,0,'Données projet'!$E$13+1,1))-AVERAGE(OFFSET($H$3,0,0,'Données projet'!$E$13+1,1))</f>
        <v>273.72618036666552</v>
      </c>
      <c r="CZ89" s="61">
        <f t="shared" si="96"/>
        <v>157.67999791700714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3.8461538461538454</v>
      </c>
      <c r="DO89" s="13">
        <f>IF('Données projet'!$A$166&gt;35,DO88+DN89-DW88,IF(A89&lt;'Données projet'!$A$166,$DL$205^A89,IF(A89='Données projet'!$A$166,'Données projet'!$B$166,DO88+DN89-DW88)))</f>
        <v>280.12820512820514</v>
      </c>
      <c r="DP89" s="18">
        <f>DO89*VLOOKUP('Données projet'!$B$14,Paramètres!$A$1:$I$89,3,0)*VLOOKUP('Données projet'!$B$14,Paramètres!$A$1:$I$89,5,0)</f>
        <v>187.91</v>
      </c>
      <c r="DQ89" s="14">
        <f t="shared" si="97"/>
        <v>47.077586490700433</v>
      </c>
      <c r="DR89" s="22">
        <f t="shared" si="70"/>
        <v>409.27004647130326</v>
      </c>
      <c r="DS89" s="61">
        <f t="shared" si="71"/>
        <v>702.60337980463657</v>
      </c>
      <c r="DT89" s="61">
        <f ca="1">AVERAGE(OFFSET($DS$3,0,0,'Données projet'!$E$14+1,1))-AVERAGE(OFFSET($H$3,0,0,'Données projet'!$E$14+1,1))</f>
        <v>312.06797204903796</v>
      </c>
      <c r="DU89" s="61">
        <f t="shared" si="98"/>
        <v>258.20189001775151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1.4210854715202004E-13</v>
      </c>
      <c r="EK89" s="18">
        <f>EJ89*VLOOKUP('Données projet'!$B$15,Paramètres!$A$1:$I$89,3,0)*VLOOKUP('Données projet'!$B$15,Paramètres!$A$1:$I$89,5,0)</f>
        <v>1.1527845344971866E-13</v>
      </c>
      <c r="EL89" s="14">
        <f t="shared" si="99"/>
        <v>1.7033846239409443E-12</v>
      </c>
      <c r="EM89" s="22">
        <f t="shared" si="73"/>
        <v>3.1675048597887374E-12</v>
      </c>
      <c r="EN89" s="61">
        <f t="shared" si="74"/>
        <v>293.3333333333365</v>
      </c>
      <c r="EO89" s="61">
        <f ca="1">AVERAGE(OFFSET($EN$3,0,0,'Données projet'!$E$15+1,1))-AVERAGE(OFFSET($H$3,0,0,'Données projet'!$E$15+1,1))</f>
        <v>222.15256609836689</v>
      </c>
      <c r="EP89" s="61">
        <f t="shared" si="100"/>
        <v>221.10360210521077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1.1368683772161603E-13</v>
      </c>
      <c r="FF89" s="18">
        <f>FE89*VLOOKUP('Données projet'!$B$16,Paramètres!$A$1:$I$89,3,0)*VLOOKUP('Données projet'!$B$16,Paramètres!$A$1:$I$89,5,0)</f>
        <v>8.8675733422860506E-14</v>
      </c>
      <c r="FG89" s="14">
        <f t="shared" si="101"/>
        <v>1.3509285393066301E-12</v>
      </c>
      <c r="FH89" s="22">
        <f t="shared" si="76"/>
        <v>2.5073107750038623E-12</v>
      </c>
      <c r="FI89" s="61">
        <f t="shared" si="77"/>
        <v>293.33333333333582</v>
      </c>
      <c r="FJ89" s="61">
        <f ca="1">AVERAGE(OFFSET($FI$3,0,0,'Données projet'!$E$16+1,1))-AVERAGE(OFFSET($H$3,0,0,'Données projet'!$E$16+1,1))</f>
        <v>292.57482726862594</v>
      </c>
      <c r="FK89" s="61">
        <f t="shared" si="102"/>
        <v>283.48738729114024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5.6</v>
      </c>
      <c r="FZ89" s="13">
        <f>IF('Données projet'!$A$244&gt;35,FZ88+FY89-GH88,IF(A89&lt;'Données projet'!$A$244,$FW$205^A89,IF(A89='Données projet'!$A$244,'Données projet'!$B$244,FZ88+FY89-GH88)))</f>
        <v>273.59999999999997</v>
      </c>
      <c r="GA89" s="18">
        <f>FZ89*VLOOKUP('Données projet'!$B$17,Paramètres!$A$1:$I$89,3,0)*VLOOKUP('Données projet'!$B$17,Paramètres!$A$1:$I$89,5,0)</f>
        <v>264.62591999999995</v>
      </c>
      <c r="GB89" s="14">
        <f t="shared" si="103"/>
        <v>63.707422801198604</v>
      </c>
      <c r="GC89" s="22">
        <f t="shared" si="79"/>
        <v>571.84723871208746</v>
      </c>
      <c r="GD89" s="61">
        <f t="shared" si="80"/>
        <v>865.18057204542083</v>
      </c>
      <c r="GE89" s="61">
        <f ca="1">AVERAGE(OFFSET($GD$3,0,0,'Données projet'!$E$17+1,1))-AVERAGE(OFFSET($H$3,0,0,'Données projet'!$E$17+1,1))</f>
        <v>455.50822833641354</v>
      </c>
      <c r="GF89" s="61">
        <f t="shared" si="104"/>
        <v>261.14722581688039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0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0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5.6</v>
      </c>
      <c r="GU89" s="13">
        <f>IF('Données projet'!$A$270&gt;35,GU88+GT89-HC88,IF(A89&lt;'Données projet'!$A$270,$GR$205^A89,IF(A89='Données projet'!$A$270,'Données projet'!$B$270,GU88+GT89-HC88)))</f>
        <v>273.59999999999997</v>
      </c>
      <c r="GV89" s="18">
        <f>GU89*VLOOKUP('Données projet'!$B$18,Paramètres!$A$1:$I$89,3,0)*VLOOKUP('Données projet'!$B$18,Paramètres!$A$1:$I$89,5,0)</f>
        <v>294.50303999999994</v>
      </c>
      <c r="GW89" s="14">
        <f t="shared" si="105"/>
        <v>70.022852154069838</v>
      </c>
      <c r="GX89" s="22">
        <f t="shared" si="82"/>
        <v>634.88259550167152</v>
      </c>
      <c r="GY89" s="61">
        <f t="shared" si="83"/>
        <v>928.21592883500489</v>
      </c>
      <c r="GZ89" s="61">
        <f ca="1">AVERAGE(OFFSET($GY$3,0,0,'Données projet'!$E$18+1,1))-AVERAGE(OFFSET($H$3,0,0,'Données projet'!$E$18+1,1))</f>
        <v>502.07782026233912</v>
      </c>
      <c r="HA89" s="61">
        <f t="shared" si="106"/>
        <v>285.83623046025156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0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0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252.62015999999997</v>
      </c>
      <c r="P90" s="14">
        <f t="shared" si="87"/>
        <v>61.14666777229877</v>
      </c>
      <c r="Q90" s="22">
        <f t="shared" si="54"/>
        <v>546.47722503675357</v>
      </c>
      <c r="R90" s="61">
        <f t="shared" si="55"/>
        <v>839.81055837008694</v>
      </c>
      <c r="S90" s="61">
        <f ca="1">AVERAGE(OFFSET($R$3,0,0,'Données projet'!$E$9+1,1))-AVERAGE(OFFSET($H$3,0,0,'Données projet'!$E$9+1,1))</f>
        <v>428.8489304403459</v>
      </c>
      <c r="T90" s="61">
        <f t="shared" si="88"/>
        <v>247.01165577562966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1">
        <f t="shared" si="59"/>
        <v>904.19220220371358</v>
      </c>
      <c r="AN90" s="61">
        <f ca="1">AVERAGE(OFFSET($AM$3,0,0,'Données projet'!$E$10+1,1))-AVERAGE(OFFSET($H$3,0,0,'Données projet'!$E$10+1,1))</f>
        <v>475.47920969424894</v>
      </c>
      <c r="AO90" s="61">
        <f t="shared" si="90"/>
        <v>271.73544012419364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-3.4106051316484809E-13</v>
      </c>
      <c r="BE90" s="14">
        <f>BD90*VLOOKUP('Données projet'!$B$11,Paramètres!$A$1:$I$89,3,0)*VLOOKUP('Données projet'!$B$11,Paramètres!$A$1:$I$89,5,0)</f>
        <v>-1.9065282685915009E-13</v>
      </c>
      <c r="BF90" s="14" t="e">
        <f t="shared" si="91"/>
        <v>#NUM!</v>
      </c>
      <c r="BG90" s="22" t="e">
        <f t="shared" si="61"/>
        <v>#NUM!</v>
      </c>
      <c r="BH90" s="61" t="e">
        <f t="shared" si="62"/>
        <v>#NUM!</v>
      </c>
      <c r="BI90" s="61">
        <f ca="1">AVERAGE(OFFSET($BH$3,0,0,'Données projet'!$E$11+1,1))-AVERAGE(OFFSET($H$3,0,0,'Données projet'!$E$11+1,1))</f>
        <v>374.79806286316051</v>
      </c>
      <c r="BJ90" s="61">
        <f t="shared" si="92"/>
        <v>350.01856672839466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4.585224034859321</v>
      </c>
      <c r="BR90" s="23">
        <f>EXP(-LN(2)/2)*BR89+(1-EXP(-LN(2)/2))/(LN(2)/2)*BL90*BO90*VLOOKUP('Données projet'!$B$11,Paramètres!$A$1:$I$89,3,0)*0.475*44/12</f>
        <v>2.8996455000312615E-8</v>
      </c>
      <c r="BS90" s="24">
        <f t="shared" si="63"/>
        <v>4.585224063855776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8.7211538461538449</v>
      </c>
      <c r="BY90" s="13">
        <f>IF('Données projet'!$A$114&gt;35,BY89+BX90-CG89,IF(A90&lt;'Données projet'!$A$114,$BV$205^A90,IF(A90='Données projet'!$A$114,'Données projet'!$B$114,BY89+BX90-CG89)))</f>
        <v>311.06538461538452</v>
      </c>
      <c r="BZ90" s="14">
        <f>BY90*VLOOKUP('Données projet'!$B$12,Paramètres!$A$1:$I$89,3,0)*VLOOKUP('Données projet'!$B$12,Paramètres!$A$1:$I$89,5,0)</f>
        <v>145.57859999999994</v>
      </c>
      <c r="CA90" s="14">
        <f t="shared" si="93"/>
        <v>37.572063695955563</v>
      </c>
      <c r="CB90" s="22">
        <f t="shared" si="64"/>
        <v>318.98740593712245</v>
      </c>
      <c r="CC90" s="61">
        <f t="shared" si="65"/>
        <v>612.32073927045576</v>
      </c>
      <c r="CD90" s="61">
        <f ca="1">AVERAGE(OFFSET($CC$3,0,0,'Données projet'!$E$12+1,1))-AVERAGE(OFFSET($H$3,0,0,'Données projet'!$E$12+1,1))</f>
        <v>285.59863510278109</v>
      </c>
      <c r="CE90" s="61">
        <f t="shared" si="94"/>
        <v>190.4880882944471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11.8</v>
      </c>
      <c r="CT90" s="13">
        <f>IF('Données projet'!$A$140&gt;35,CT89+CS90-DB89,IF(A90&lt;'Données projet'!$A$140,$CQ$205^A90,IF(A90='Données projet'!$A$140,'Données projet'!$B$140,CT89+CS90-DB89)))</f>
        <v>385.60000000000019</v>
      </c>
      <c r="CU90" s="18">
        <f>CT90*VLOOKUP('Données projet'!$B$13,Paramètres!$A$1:$I$89,3,0)*VLOOKUP('Données projet'!$B$13,Paramètres!$A$1:$I$89,5,0)</f>
        <v>185.47360000000012</v>
      </c>
      <c r="CV90" s="14">
        <f t="shared" si="95"/>
        <v>46.537830109895161</v>
      </c>
      <c r="CW90" s="22">
        <f t="shared" si="67"/>
        <v>404.08657410806762</v>
      </c>
      <c r="CX90" s="61">
        <f t="shared" si="68"/>
        <v>697.41990744140094</v>
      </c>
      <c r="CY90" s="61">
        <f ca="1">AVERAGE(OFFSET($CX$3,0,0,'Données projet'!$E$13+1,1))-AVERAGE(OFFSET($H$3,0,0,'Données projet'!$E$13+1,1))</f>
        <v>273.72618036666552</v>
      </c>
      <c r="CZ90" s="61">
        <f t="shared" si="96"/>
        <v>157.67999791700714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3.8461538461538454</v>
      </c>
      <c r="DO90" s="13">
        <f>IF('Données projet'!$A$166&gt;35,DO89+DN90-DW89,IF(A90&lt;'Données projet'!$A$166,$DL$205^A90,IF(A90='Données projet'!$A$166,'Données projet'!$B$166,DO89+DN90-DW89)))</f>
        <v>283.97435897435901</v>
      </c>
      <c r="DP90" s="18">
        <f>DO90*VLOOKUP('Données projet'!$B$14,Paramètres!$A$1:$I$89,3,0)*VLOOKUP('Données projet'!$B$14,Paramètres!$A$1:$I$89,5,0)</f>
        <v>190.49</v>
      </c>
      <c r="DQ90" s="14">
        <f t="shared" si="97"/>
        <v>47.648268649617435</v>
      </c>
      <c r="DR90" s="22">
        <f t="shared" si="70"/>
        <v>414.75748456475031</v>
      </c>
      <c r="DS90" s="61">
        <f t="shared" si="71"/>
        <v>708.09081789808363</v>
      </c>
      <c r="DT90" s="61">
        <f ca="1">AVERAGE(OFFSET($DS$3,0,0,'Données projet'!$E$14+1,1))-AVERAGE(OFFSET($H$3,0,0,'Données projet'!$E$14+1,1))</f>
        <v>312.06797204903796</v>
      </c>
      <c r="DU90" s="61">
        <f t="shared" si="98"/>
        <v>258.20189001775151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1.4210854715202004E-13</v>
      </c>
      <c r="EK90" s="18">
        <f>EJ90*VLOOKUP('Données projet'!$B$15,Paramètres!$A$1:$I$89,3,0)*VLOOKUP('Données projet'!$B$15,Paramètres!$A$1:$I$89,5,0)</f>
        <v>1.1527845344971866E-13</v>
      </c>
      <c r="EL90" s="14">
        <f t="shared" si="99"/>
        <v>1.7033846239409443E-12</v>
      </c>
      <c r="EM90" s="22">
        <f t="shared" si="73"/>
        <v>3.1675048597887374E-12</v>
      </c>
      <c r="EN90" s="61">
        <f t="shared" si="74"/>
        <v>293.3333333333365</v>
      </c>
      <c r="EO90" s="61">
        <f ca="1">AVERAGE(OFFSET($EN$3,0,0,'Données projet'!$E$15+1,1))-AVERAGE(OFFSET($H$3,0,0,'Données projet'!$E$15+1,1))</f>
        <v>222.15256609836689</v>
      </c>
      <c r="EP90" s="61">
        <f t="shared" si="100"/>
        <v>221.10360210521077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1.1368683772161603E-13</v>
      </c>
      <c r="FF90" s="18">
        <f>FE90*VLOOKUP('Données projet'!$B$16,Paramètres!$A$1:$I$89,3,0)*VLOOKUP('Données projet'!$B$16,Paramètres!$A$1:$I$89,5,0)</f>
        <v>8.8675733422860506E-14</v>
      </c>
      <c r="FG90" s="14">
        <f t="shared" si="101"/>
        <v>1.3509285393066301E-12</v>
      </c>
      <c r="FH90" s="22">
        <f t="shared" si="76"/>
        <v>2.5073107750038623E-12</v>
      </c>
      <c r="FI90" s="61">
        <f t="shared" si="77"/>
        <v>293.33333333333582</v>
      </c>
      <c r="FJ90" s="61">
        <f ca="1">AVERAGE(OFFSET($FI$3,0,0,'Données projet'!$E$16+1,1))-AVERAGE(OFFSET($H$3,0,0,'Données projet'!$E$16+1,1))</f>
        <v>292.57482726862594</v>
      </c>
      <c r="FK90" s="61">
        <f t="shared" si="102"/>
        <v>283.48738729114024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5.6</v>
      </c>
      <c r="FZ90" s="13">
        <f>IF('Données projet'!$A$244&gt;35,FZ89+FY90-GH89,IF(A90&lt;'Données projet'!$A$244,$FW$205^A90,IF(A90='Données projet'!$A$244,'Données projet'!$B$244,FZ89+FY90-GH89)))</f>
        <v>279.2</v>
      </c>
      <c r="GA90" s="18">
        <f>FZ90*VLOOKUP('Données projet'!$B$17,Paramètres!$A$1:$I$89,3,0)*VLOOKUP('Données projet'!$B$17,Paramètres!$A$1:$I$89,5,0)</f>
        <v>270.04223999999999</v>
      </c>
      <c r="GB90" s="14">
        <f t="shared" si="103"/>
        <v>64.858233600288145</v>
      </c>
      <c r="GC90" s="22">
        <f t="shared" si="79"/>
        <v>583.28499152050188</v>
      </c>
      <c r="GD90" s="61">
        <f t="shared" si="80"/>
        <v>876.61832485383525</v>
      </c>
      <c r="GE90" s="61">
        <f ca="1">AVERAGE(OFFSET($GD$3,0,0,'Données projet'!$E$17+1,1))-AVERAGE(OFFSET($H$3,0,0,'Données projet'!$E$17+1,1))</f>
        <v>455.50822833641354</v>
      </c>
      <c r="GF90" s="61">
        <f t="shared" si="104"/>
        <v>261.14722581688039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0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0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5.6</v>
      </c>
      <c r="GU90" s="13">
        <f>IF('Données projet'!$A$270&gt;35,GU89+GT90-HC89,IF(A90&lt;'Données projet'!$A$270,$GR$205^A90,IF(A90='Données projet'!$A$270,'Données projet'!$B$270,GU89+GT90-HC89)))</f>
        <v>279.2</v>
      </c>
      <c r="GV90" s="18">
        <f>GU90*VLOOKUP('Données projet'!$B$18,Paramètres!$A$1:$I$89,3,0)*VLOOKUP('Données projet'!$B$18,Paramètres!$A$1:$I$89,5,0)</f>
        <v>300.53087999999997</v>
      </c>
      <c r="GW90" s="14">
        <f t="shared" si="105"/>
        <v>71.287744860425462</v>
      </c>
      <c r="GX90" s="22">
        <f t="shared" si="82"/>
        <v>647.58410496524095</v>
      </c>
      <c r="GY90" s="61">
        <f t="shared" si="83"/>
        <v>940.91743829857433</v>
      </c>
      <c r="GZ90" s="61">
        <f ca="1">AVERAGE(OFFSET($GY$3,0,0,'Données projet'!$E$18+1,1))-AVERAGE(OFFSET($H$3,0,0,'Données projet'!$E$18+1,1))</f>
        <v>502.07782026233912</v>
      </c>
      <c r="HA90" s="61">
        <f t="shared" si="106"/>
        <v>285.83623046025156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0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0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257.68704000000002</v>
      </c>
      <c r="P91" s="14">
        <f t="shared" si="87"/>
        <v>62.229092239243343</v>
      </c>
      <c r="Q91" s="22">
        <f t="shared" si="54"/>
        <v>557.18726365001555</v>
      </c>
      <c r="R91" s="61">
        <f t="shared" si="55"/>
        <v>850.52059698334892</v>
      </c>
      <c r="S91" s="61">
        <f ca="1">AVERAGE(OFFSET($R$3,0,0,'Données projet'!$E$9+1,1))-AVERAGE(OFFSET($H$3,0,0,'Données projet'!$E$9+1,1))</f>
        <v>428.8489304403459</v>
      </c>
      <c r="T91" s="61">
        <f t="shared" si="88"/>
        <v>247.01165577562966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1">
        <f t="shared" si="59"/>
        <v>916.16699505974566</v>
      </c>
      <c r="AN91" s="61">
        <f ca="1">AVERAGE(OFFSET($AM$3,0,0,'Données projet'!$E$10+1,1))-AVERAGE(OFFSET($H$3,0,0,'Données projet'!$E$10+1,1))</f>
        <v>475.47920969424894</v>
      </c>
      <c r="AO91" s="61">
        <f t="shared" si="90"/>
        <v>271.73544012419364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-3.4106051316484809E-13</v>
      </c>
      <c r="BE91" s="14">
        <f>BD91*VLOOKUP('Données projet'!$B$11,Paramètres!$A$1:$I$89,3,0)*VLOOKUP('Données projet'!$B$11,Paramètres!$A$1:$I$89,5,0)</f>
        <v>-1.9065282685915009E-13</v>
      </c>
      <c r="BF91" s="14" t="e">
        <f t="shared" si="91"/>
        <v>#NUM!</v>
      </c>
      <c r="BG91" s="22" t="e">
        <f t="shared" si="61"/>
        <v>#NUM!</v>
      </c>
      <c r="BH91" s="61" t="e">
        <f t="shared" si="62"/>
        <v>#NUM!</v>
      </c>
      <c r="BI91" s="61">
        <f ca="1">AVERAGE(OFFSET($BH$3,0,0,'Données projet'!$E$11+1,1))-AVERAGE(OFFSET($H$3,0,0,'Données projet'!$E$11+1,1))</f>
        <v>374.79806286316051</v>
      </c>
      <c r="BJ91" s="61">
        <f t="shared" si="92"/>
        <v>350.01856672839466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4.4598408424996405</v>
      </c>
      <c r="BR91" s="23">
        <f>EXP(-LN(2)/2)*BR90+(1-EXP(-LN(2)/2))/(LN(2)/2)*BL91*BO91*VLOOKUP('Données projet'!$B$11,Paramètres!$A$1:$I$89,3,0)*0.475*44/12</f>
        <v>2.0503589961091625E-8</v>
      </c>
      <c r="BS91" s="24">
        <f t="shared" si="63"/>
        <v>4.4598408630032305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8.7211538461538449</v>
      </c>
      <c r="BY91" s="13">
        <f>IF('Données projet'!$A$114&gt;35,BY90+BX91-CG90,IF(A91&lt;'Données projet'!$A$114,$BV$205^A91,IF(A91='Données projet'!$A$114,'Données projet'!$B$114,BY90+BX91-CG90)))</f>
        <v>319.78653846153838</v>
      </c>
      <c r="BZ91" s="14">
        <f>BY91*VLOOKUP('Données projet'!$B$12,Paramètres!$A$1:$I$89,3,0)*VLOOKUP('Données projet'!$B$12,Paramètres!$A$1:$I$89,5,0)</f>
        <v>149.66009999999997</v>
      </c>
      <c r="CA91" s="14">
        <f t="shared" si="93"/>
        <v>38.501331930603499</v>
      </c>
      <c r="CB91" s="22">
        <f t="shared" si="64"/>
        <v>327.714493945801</v>
      </c>
      <c r="CC91" s="61">
        <f t="shared" si="65"/>
        <v>621.04782727913425</v>
      </c>
      <c r="CD91" s="61">
        <f ca="1">AVERAGE(OFFSET($CC$3,0,0,'Données projet'!$E$12+1,1))-AVERAGE(OFFSET($H$3,0,0,'Données projet'!$E$12+1,1))</f>
        <v>285.59863510278109</v>
      </c>
      <c r="CE91" s="61">
        <f t="shared" si="94"/>
        <v>190.4880882944471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11.8</v>
      </c>
      <c r="CT91" s="13">
        <f>IF('Données projet'!$A$140&gt;35,CT90+CS91-DB90,IF(A91&lt;'Données projet'!$A$140,$CQ$205^A91,IF(A91='Données projet'!$A$140,'Données projet'!$B$140,CT90+CS91-DB90)))</f>
        <v>397.4000000000002</v>
      </c>
      <c r="CU91" s="18">
        <f>CT91*VLOOKUP('Données projet'!$B$13,Paramètres!$A$1:$I$89,3,0)*VLOOKUP('Données projet'!$B$13,Paramètres!$A$1:$I$89,5,0)</f>
        <v>191.1494000000001</v>
      </c>
      <c r="CV91" s="14">
        <f t="shared" si="95"/>
        <v>47.793979603564196</v>
      </c>
      <c r="CW91" s="22">
        <f t="shared" si="67"/>
        <v>416.15971947620778</v>
      </c>
      <c r="CX91" s="61">
        <f t="shared" si="68"/>
        <v>709.49305280954104</v>
      </c>
      <c r="CY91" s="61">
        <f ca="1">AVERAGE(OFFSET($CX$3,0,0,'Données projet'!$E$13+1,1))-AVERAGE(OFFSET($H$3,0,0,'Données projet'!$E$13+1,1))</f>
        <v>273.72618036666552</v>
      </c>
      <c r="CZ91" s="61">
        <f t="shared" si="96"/>
        <v>157.67999791700714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3.8461538461538454</v>
      </c>
      <c r="DO91" s="13">
        <f>IF('Données projet'!$A$166&gt;35,DO90+DN91-DW90,IF(A91&lt;'Données projet'!$A$166,$DL$205^A91,IF(A91='Données projet'!$A$166,'Données projet'!$B$166,DO90+DN91-DW90)))</f>
        <v>287.82051282051287</v>
      </c>
      <c r="DP91" s="18">
        <f>DO91*VLOOKUP('Données projet'!$B$14,Paramètres!$A$1:$I$89,3,0)*VLOOKUP('Données projet'!$B$14,Paramètres!$A$1:$I$89,5,0)</f>
        <v>193.07000000000005</v>
      </c>
      <c r="DQ91" s="14">
        <f t="shared" si="97"/>
        <v>48.218051794342536</v>
      </c>
      <c r="DR91" s="22">
        <f t="shared" si="70"/>
        <v>420.24335687514667</v>
      </c>
      <c r="DS91" s="61">
        <f t="shared" si="71"/>
        <v>713.57669020847993</v>
      </c>
      <c r="DT91" s="61">
        <f ca="1">AVERAGE(OFFSET($DS$3,0,0,'Données projet'!$E$14+1,1))-AVERAGE(OFFSET($H$3,0,0,'Données projet'!$E$14+1,1))</f>
        <v>312.06797204903796</v>
      </c>
      <c r="DU91" s="61">
        <f t="shared" si="98"/>
        <v>258.20189001775151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1.4210854715202004E-13</v>
      </c>
      <c r="EK91" s="18">
        <f>EJ91*VLOOKUP('Données projet'!$B$15,Paramètres!$A$1:$I$89,3,0)*VLOOKUP('Données projet'!$B$15,Paramètres!$A$1:$I$89,5,0)</f>
        <v>1.1527845344971866E-13</v>
      </c>
      <c r="EL91" s="14">
        <f t="shared" si="99"/>
        <v>1.7033846239409443E-12</v>
      </c>
      <c r="EM91" s="22">
        <f t="shared" si="73"/>
        <v>3.1675048597887374E-12</v>
      </c>
      <c r="EN91" s="61">
        <f t="shared" si="74"/>
        <v>293.3333333333365</v>
      </c>
      <c r="EO91" s="61">
        <f ca="1">AVERAGE(OFFSET($EN$3,0,0,'Données projet'!$E$15+1,1))-AVERAGE(OFFSET($H$3,0,0,'Données projet'!$E$15+1,1))</f>
        <v>222.15256609836689</v>
      </c>
      <c r="EP91" s="61">
        <f t="shared" si="100"/>
        <v>221.10360210521077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1.1368683772161603E-13</v>
      </c>
      <c r="FF91" s="18">
        <f>FE91*VLOOKUP('Données projet'!$B$16,Paramètres!$A$1:$I$89,3,0)*VLOOKUP('Données projet'!$B$16,Paramètres!$A$1:$I$89,5,0)</f>
        <v>8.8675733422860506E-14</v>
      </c>
      <c r="FG91" s="14">
        <f t="shared" si="101"/>
        <v>1.3509285393066301E-12</v>
      </c>
      <c r="FH91" s="22">
        <f t="shared" si="76"/>
        <v>2.5073107750038623E-12</v>
      </c>
      <c r="FI91" s="61">
        <f t="shared" si="77"/>
        <v>293.33333333333582</v>
      </c>
      <c r="FJ91" s="61">
        <f ca="1">AVERAGE(OFFSET($FI$3,0,0,'Données projet'!$E$16+1,1))-AVERAGE(OFFSET($H$3,0,0,'Données projet'!$E$16+1,1))</f>
        <v>292.57482726862594</v>
      </c>
      <c r="FK91" s="61">
        <f t="shared" si="102"/>
        <v>283.48738729114024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5.6</v>
      </c>
      <c r="FZ91" s="13">
        <f>IF('Données projet'!$A$244&gt;35,FZ90+FY91-GH90,IF(A91&lt;'Données projet'!$A$244,$FW$205^A91,IF(A91='Données projet'!$A$244,'Données projet'!$B$244,FZ90+FY91-GH90)))</f>
        <v>284.8</v>
      </c>
      <c r="GA91" s="18">
        <f>FZ91*VLOOKUP('Données projet'!$B$17,Paramètres!$A$1:$I$89,3,0)*VLOOKUP('Données projet'!$B$17,Paramètres!$A$1:$I$89,5,0)</f>
        <v>275.45855999999998</v>
      </c>
      <c r="GB91" s="14">
        <f t="shared" si="103"/>
        <v>66.006360579066197</v>
      </c>
      <c r="GC91" s="22">
        <f t="shared" si="79"/>
        <v>594.71807000854017</v>
      </c>
      <c r="GD91" s="61">
        <f t="shared" si="80"/>
        <v>888.05140334187354</v>
      </c>
      <c r="GE91" s="61">
        <f ca="1">AVERAGE(OFFSET($GD$3,0,0,'Données projet'!$E$17+1,1))-AVERAGE(OFFSET($H$3,0,0,'Données projet'!$E$17+1,1))</f>
        <v>455.50822833641354</v>
      </c>
      <c r="GF91" s="61">
        <f t="shared" si="104"/>
        <v>261.14722581688039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0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0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5.6</v>
      </c>
      <c r="GU91" s="13">
        <f>IF('Données projet'!$A$270&gt;35,GU90+GT91-HC90,IF(A91&lt;'Données projet'!$A$270,$GR$205^A91,IF(A91='Données projet'!$A$270,'Données projet'!$B$270,GU90+GT91-HC90)))</f>
        <v>284.8</v>
      </c>
      <c r="GV91" s="18">
        <f>GU91*VLOOKUP('Données projet'!$B$18,Paramètres!$A$1:$I$89,3,0)*VLOOKUP('Données projet'!$B$18,Paramètres!$A$1:$I$89,5,0)</f>
        <v>306.55871999999999</v>
      </c>
      <c r="GW91" s="14">
        <f t="shared" si="105"/>
        <v>72.549687694621639</v>
      </c>
      <c r="GX91" s="22">
        <f t="shared" si="82"/>
        <v>660.28047673479932</v>
      </c>
      <c r="GY91" s="61">
        <f t="shared" si="83"/>
        <v>953.61381006813258</v>
      </c>
      <c r="GZ91" s="61">
        <f ca="1">AVERAGE(OFFSET($GY$3,0,0,'Données projet'!$E$18+1,1))-AVERAGE(OFFSET($H$3,0,0,'Données projet'!$E$18+1,1))</f>
        <v>502.07782026233912</v>
      </c>
      <c r="HA91" s="61">
        <f t="shared" si="106"/>
        <v>285.83623046025156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0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0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262.75392000000005</v>
      </c>
      <c r="P92" s="14">
        <f t="shared" si="87"/>
        <v>63.309041956360382</v>
      </c>
      <c r="Q92" s="22">
        <f t="shared" si="54"/>
        <v>567.89299207399438</v>
      </c>
      <c r="R92" s="61">
        <f t="shared" si="55"/>
        <v>861.22632540732775</v>
      </c>
      <c r="S92" s="61">
        <f ca="1">AVERAGE(OFFSET($R$3,0,0,'Données projet'!$E$9+1,1))-AVERAGE(OFFSET($H$3,0,0,'Données projet'!$E$9+1,1))</f>
        <v>428.8489304403459</v>
      </c>
      <c r="T92" s="61">
        <f t="shared" si="88"/>
        <v>247.01165577562966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1">
        <f t="shared" si="59"/>
        <v>928.13702117418165</v>
      </c>
      <c r="AN92" s="61">
        <f ca="1">AVERAGE(OFFSET($AM$3,0,0,'Données projet'!$E$10+1,1))-AVERAGE(OFFSET($H$3,0,0,'Données projet'!$E$10+1,1))</f>
        <v>475.47920969424894</v>
      </c>
      <c r="AO92" s="61">
        <f t="shared" si="90"/>
        <v>271.73544012419364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-3.4106051316484809E-13</v>
      </c>
      <c r="BE92" s="14">
        <f>BD92*VLOOKUP('Données projet'!$B$11,Paramètres!$A$1:$I$89,3,0)*VLOOKUP('Données projet'!$B$11,Paramètres!$A$1:$I$89,5,0)</f>
        <v>-1.9065282685915009E-13</v>
      </c>
      <c r="BF92" s="14" t="e">
        <f t="shared" si="91"/>
        <v>#NUM!</v>
      </c>
      <c r="BG92" s="22" t="e">
        <f t="shared" si="61"/>
        <v>#NUM!</v>
      </c>
      <c r="BH92" s="61" t="e">
        <f t="shared" si="62"/>
        <v>#NUM!</v>
      </c>
      <c r="BI92" s="61">
        <f ca="1">AVERAGE(OFFSET($BH$3,0,0,'Données projet'!$E$11+1,1))-AVERAGE(OFFSET($H$3,0,0,'Données projet'!$E$11+1,1))</f>
        <v>374.79806286316051</v>
      </c>
      <c r="BJ92" s="61">
        <f t="shared" si="92"/>
        <v>350.01856672839466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4.3378862601286512</v>
      </c>
      <c r="BR92" s="23">
        <f>EXP(-LN(2)/2)*BR91+(1-EXP(-LN(2)/2))/(LN(2)/2)*BL92*BO92*VLOOKUP('Données projet'!$B$11,Paramètres!$A$1:$I$89,3,0)*0.475*44/12</f>
        <v>1.4498227500156309E-8</v>
      </c>
      <c r="BS92" s="24">
        <f t="shared" si="63"/>
        <v>4.3378862746268787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8.7211538461538449</v>
      </c>
      <c r="BY92" s="13">
        <f>IF('Données projet'!$A$114&gt;35,BY91+BX92-CG91,IF(A92&lt;'Données projet'!$A$114,$BV$205^A92,IF(A92='Données projet'!$A$114,'Données projet'!$B$114,BY91+BX92-CG91)))</f>
        <v>328.50769230769225</v>
      </c>
      <c r="BZ92" s="14">
        <f>BY92*VLOOKUP('Données projet'!$B$12,Paramètres!$A$1:$I$89,3,0)*VLOOKUP('Données projet'!$B$12,Paramètres!$A$1:$I$89,5,0)</f>
        <v>153.74159999999998</v>
      </c>
      <c r="CA92" s="14">
        <f t="shared" si="93"/>
        <v>39.427654552879645</v>
      </c>
      <c r="CB92" s="22">
        <f t="shared" si="64"/>
        <v>336.43645167959869</v>
      </c>
      <c r="CC92" s="61">
        <f t="shared" si="65"/>
        <v>629.76978501293206</v>
      </c>
      <c r="CD92" s="61">
        <f ca="1">AVERAGE(OFFSET($CC$3,0,0,'Données projet'!$E$12+1,1))-AVERAGE(OFFSET($H$3,0,0,'Données projet'!$E$12+1,1))</f>
        <v>285.59863510278109</v>
      </c>
      <c r="CE92" s="61">
        <f t="shared" si="94"/>
        <v>190.4880882944471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11.8</v>
      </c>
      <c r="CT92" s="13">
        <f>IF('Données projet'!$A$140&gt;35,CT91+CS92-DB91,IF(A92&lt;'Données projet'!$A$140,$CQ$205^A92,IF(A92='Données projet'!$A$140,'Données projet'!$B$140,CT91+CS92-DB91)))</f>
        <v>409.20000000000022</v>
      </c>
      <c r="CU92" s="18">
        <f>CT92*VLOOKUP('Données projet'!$B$13,Paramètres!$A$1:$I$89,3,0)*VLOOKUP('Données projet'!$B$13,Paramètres!$A$1:$I$89,5,0)</f>
        <v>196.82520000000011</v>
      </c>
      <c r="CV92" s="14">
        <f t="shared" si="95"/>
        <v>49.045794331964828</v>
      </c>
      <c r="CW92" s="22">
        <f t="shared" si="67"/>
        <v>428.22531512817227</v>
      </c>
      <c r="CX92" s="61">
        <f t="shared" si="68"/>
        <v>721.55864846150553</v>
      </c>
      <c r="CY92" s="61">
        <f ca="1">AVERAGE(OFFSET($CX$3,0,0,'Données projet'!$E$13+1,1))-AVERAGE(OFFSET($H$3,0,0,'Données projet'!$E$13+1,1))</f>
        <v>273.72618036666552</v>
      </c>
      <c r="CZ92" s="61">
        <f t="shared" si="96"/>
        <v>157.67999791700714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3.8461538461538454</v>
      </c>
      <c r="DO92" s="13">
        <f>IF('Données projet'!$A$166&gt;35,DO91+DN92-DW91,IF(A92&lt;'Données projet'!$A$166,$DL$205^A92,IF(A92='Données projet'!$A$166,'Données projet'!$B$166,DO91+DN92-DW91)))</f>
        <v>291.66666666666674</v>
      </c>
      <c r="DP92" s="18">
        <f>DO92*VLOOKUP('Données projet'!$B$14,Paramètres!$A$1:$I$89,3,0)*VLOOKUP('Données projet'!$B$14,Paramètres!$A$1:$I$89,5,0)</f>
        <v>195.65000000000006</v>
      </c>
      <c r="DQ92" s="14">
        <f t="shared" si="97"/>
        <v>48.786949327182981</v>
      </c>
      <c r="DR92" s="22">
        <f t="shared" si="70"/>
        <v>425.72768674484382</v>
      </c>
      <c r="DS92" s="61">
        <f t="shared" si="71"/>
        <v>719.06102007817708</v>
      </c>
      <c r="DT92" s="61">
        <f ca="1">AVERAGE(OFFSET($DS$3,0,0,'Données projet'!$E$14+1,1))-AVERAGE(OFFSET($H$3,0,0,'Données projet'!$E$14+1,1))</f>
        <v>312.06797204903796</v>
      </c>
      <c r="DU92" s="61">
        <f t="shared" si="98"/>
        <v>258.20189001775151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1.4210854715202004E-13</v>
      </c>
      <c r="EK92" s="18">
        <f>EJ92*VLOOKUP('Données projet'!$B$15,Paramètres!$A$1:$I$89,3,0)*VLOOKUP('Données projet'!$B$15,Paramètres!$A$1:$I$89,5,0)</f>
        <v>1.1527845344971866E-13</v>
      </c>
      <c r="EL92" s="14">
        <f t="shared" si="99"/>
        <v>1.7033846239409443E-12</v>
      </c>
      <c r="EM92" s="22">
        <f t="shared" si="73"/>
        <v>3.1675048597887374E-12</v>
      </c>
      <c r="EN92" s="61">
        <f t="shared" si="74"/>
        <v>293.3333333333365</v>
      </c>
      <c r="EO92" s="61">
        <f ca="1">AVERAGE(OFFSET($EN$3,0,0,'Données projet'!$E$15+1,1))-AVERAGE(OFFSET($H$3,0,0,'Données projet'!$E$15+1,1))</f>
        <v>222.15256609836689</v>
      </c>
      <c r="EP92" s="61">
        <f t="shared" si="100"/>
        <v>221.10360210521077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1.1368683772161603E-13</v>
      </c>
      <c r="FF92" s="18">
        <f>FE92*VLOOKUP('Données projet'!$B$16,Paramètres!$A$1:$I$89,3,0)*VLOOKUP('Données projet'!$B$16,Paramètres!$A$1:$I$89,5,0)</f>
        <v>8.8675733422860506E-14</v>
      </c>
      <c r="FG92" s="14">
        <f t="shared" si="101"/>
        <v>1.3509285393066301E-12</v>
      </c>
      <c r="FH92" s="22">
        <f t="shared" si="76"/>
        <v>2.5073107750038623E-12</v>
      </c>
      <c r="FI92" s="61">
        <f t="shared" si="77"/>
        <v>293.33333333333582</v>
      </c>
      <c r="FJ92" s="61">
        <f ca="1">AVERAGE(OFFSET($FI$3,0,0,'Données projet'!$E$16+1,1))-AVERAGE(OFFSET($H$3,0,0,'Données projet'!$E$16+1,1))</f>
        <v>292.57482726862594</v>
      </c>
      <c r="FK92" s="61">
        <f t="shared" si="102"/>
        <v>283.48738729114024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5.6</v>
      </c>
      <c r="FZ92" s="13">
        <f>IF('Données projet'!$A$244&gt;35,FZ91+FY92-GH91,IF(A92&lt;'Données projet'!$A$244,$FW$205^A92,IF(A92='Données projet'!$A$244,'Données projet'!$B$244,FZ91+FY92-GH91)))</f>
        <v>290.40000000000003</v>
      </c>
      <c r="GA92" s="18">
        <f>FZ92*VLOOKUP('Données projet'!$B$17,Paramètres!$A$1:$I$89,3,0)*VLOOKUP('Données projet'!$B$17,Paramètres!$A$1:$I$89,5,0)</f>
        <v>280.87488000000008</v>
      </c>
      <c r="GB92" s="14">
        <f t="shared" si="103"/>
        <v>67.151862592195855</v>
      </c>
      <c r="GC92" s="22">
        <f t="shared" si="79"/>
        <v>606.14657668140785</v>
      </c>
      <c r="GD92" s="61">
        <f t="shared" si="80"/>
        <v>899.47991001474111</v>
      </c>
      <c r="GE92" s="61">
        <f ca="1">AVERAGE(OFFSET($GD$3,0,0,'Données projet'!$E$17+1,1))-AVERAGE(OFFSET($H$3,0,0,'Données projet'!$E$17+1,1))</f>
        <v>455.50822833641354</v>
      </c>
      <c r="GF92" s="61">
        <f t="shared" si="104"/>
        <v>261.14722581688039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0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0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5.6</v>
      </c>
      <c r="GU92" s="13">
        <f>IF('Données projet'!$A$270&gt;35,GU91+GT92-HC91,IF(A92&lt;'Données projet'!$A$270,$GR$205^A92,IF(A92='Données projet'!$A$270,'Données projet'!$B$270,GU91+GT92-HC91)))</f>
        <v>290.40000000000003</v>
      </c>
      <c r="GV92" s="18">
        <f>GU92*VLOOKUP('Données projet'!$B$18,Paramètres!$A$1:$I$89,3,0)*VLOOKUP('Données projet'!$B$18,Paramètres!$A$1:$I$89,5,0)</f>
        <v>312.58656000000002</v>
      </c>
      <c r="GW92" s="14">
        <f t="shared" si="105"/>
        <v>73.808745345687967</v>
      </c>
      <c r="GX92" s="22">
        <f t="shared" si="82"/>
        <v>672.97182347707314</v>
      </c>
      <c r="GY92" s="61">
        <f t="shared" si="83"/>
        <v>966.30515681040652</v>
      </c>
      <c r="GZ92" s="61">
        <f ca="1">AVERAGE(OFFSET($GY$3,0,0,'Données projet'!$E$18+1,1))-AVERAGE(OFFSET($H$3,0,0,'Données projet'!$E$18+1,1))</f>
        <v>502.07782026233912</v>
      </c>
      <c r="HA92" s="61">
        <f t="shared" si="106"/>
        <v>285.83623046025156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0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0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267.82080000000008</v>
      </c>
      <c r="P93" s="14">
        <f t="shared" si="87"/>
        <v>64.386570147897373</v>
      </c>
      <c r="Q93" s="22">
        <f t="shared" si="54"/>
        <v>578.59450300758806</v>
      </c>
      <c r="R93" s="61">
        <f t="shared" si="55"/>
        <v>871.92783634092143</v>
      </c>
      <c r="S93" s="61">
        <f ca="1">AVERAGE(OFFSET($R$3,0,0,'Données projet'!$E$9+1,1))-AVERAGE(OFFSET($H$3,0,0,'Données projet'!$E$9+1,1))</f>
        <v>428.8489304403459</v>
      </c>
      <c r="T93" s="61">
        <f t="shared" si="88"/>
        <v>247.01165577562966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1">
        <f t="shared" si="59"/>
        <v>940.10238306495398</v>
      </c>
      <c r="AN93" s="61">
        <f ca="1">AVERAGE(OFFSET($AM$3,0,0,'Données projet'!$E$10+1,1))-AVERAGE(OFFSET($H$3,0,0,'Données projet'!$E$10+1,1))</f>
        <v>475.47920969424894</v>
      </c>
      <c r="AO93" s="61">
        <f t="shared" si="90"/>
        <v>271.73544012419364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-3.4106051316484809E-13</v>
      </c>
      <c r="BE93" s="14">
        <f>BD93*VLOOKUP('Données projet'!$B$11,Paramètres!$A$1:$I$89,3,0)*VLOOKUP('Données projet'!$B$11,Paramètres!$A$1:$I$89,5,0)</f>
        <v>-1.9065282685915009E-13</v>
      </c>
      <c r="BF93" s="14" t="e">
        <f t="shared" si="91"/>
        <v>#NUM!</v>
      </c>
      <c r="BG93" s="22" t="e">
        <f t="shared" si="61"/>
        <v>#NUM!</v>
      </c>
      <c r="BH93" s="61" t="e">
        <f t="shared" si="62"/>
        <v>#NUM!</v>
      </c>
      <c r="BI93" s="61">
        <f ca="1">AVERAGE(OFFSET($BH$3,0,0,'Données projet'!$E$11+1,1))-AVERAGE(OFFSET($H$3,0,0,'Données projet'!$E$11+1,1))</f>
        <v>374.79806286316051</v>
      </c>
      <c r="BJ93" s="61">
        <f t="shared" si="92"/>
        <v>350.01856672839466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4.2192665322259089</v>
      </c>
      <c r="BR93" s="23">
        <f>EXP(-LN(2)/2)*BR92+(1-EXP(-LN(2)/2))/(LN(2)/2)*BL93*BO93*VLOOKUP('Données projet'!$B$11,Paramètres!$A$1:$I$89,3,0)*0.475*44/12</f>
        <v>1.0251794980545814E-8</v>
      </c>
      <c r="BS93" s="24">
        <f t="shared" si="63"/>
        <v>4.2192665424777038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8.7211538461538449</v>
      </c>
      <c r="BY93" s="13">
        <f>IF('Données projet'!$A$114&gt;35,BY92+BX93-CG92,IF(A93&lt;'Données projet'!$A$114,$BV$205^A93,IF(A93='Données projet'!$A$114,'Données projet'!$B$114,BY92+BX93-CG92)))</f>
        <v>337.22884615384612</v>
      </c>
      <c r="BZ93" s="14">
        <f>BY93*VLOOKUP('Données projet'!$B$12,Paramètres!$A$1:$I$89,3,0)*VLOOKUP('Données projet'!$B$12,Paramètres!$A$1:$I$89,5,0)</f>
        <v>157.82309999999998</v>
      </c>
      <c r="CA93" s="14">
        <f t="shared" si="93"/>
        <v>40.351118750694731</v>
      </c>
      <c r="CB93" s="22">
        <f t="shared" si="64"/>
        <v>345.1534309907932</v>
      </c>
      <c r="CC93" s="61">
        <f t="shared" si="65"/>
        <v>638.48676432412651</v>
      </c>
      <c r="CD93" s="61">
        <f ca="1">AVERAGE(OFFSET($CC$3,0,0,'Données projet'!$E$12+1,1))-AVERAGE(OFFSET($H$3,0,0,'Données projet'!$E$12+1,1))</f>
        <v>285.59863510278109</v>
      </c>
      <c r="CE93" s="61">
        <f t="shared" si="94"/>
        <v>190.4880882944471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421</v>
      </c>
      <c r="CR93" s="13">
        <f>VLOOKUP(A93,'Données projet'!$A$139:$I$159,9,0)</f>
        <v>11.8</v>
      </c>
      <c r="CS93" s="13">
        <f t="array" ref="CS93">INDEX(CR:CR,MIN(IF(ISNUMBER(CR93:CR289),ROW(CR93:CR289),"")))</f>
        <v>11.8</v>
      </c>
      <c r="CT93" s="13">
        <f>IF('Données projet'!$A$140&gt;35,CT92+CS93-DB92,IF(A93&lt;'Données projet'!$A$140,$CQ$205^A93,IF(A93='Données projet'!$A$140,'Données projet'!$B$140,CT92+CS93-DB92)))</f>
        <v>421.00000000000023</v>
      </c>
      <c r="CU93" s="18">
        <f>CT93*VLOOKUP('Données projet'!$B$13,Paramètres!$A$1:$I$89,3,0)*VLOOKUP('Données projet'!$B$13,Paramètres!$A$1:$I$89,5,0)</f>
        <v>202.50100000000012</v>
      </c>
      <c r="CV93" s="14">
        <f t="shared" si="95"/>
        <v>50.293413650922858</v>
      </c>
      <c r="CW93" s="22">
        <f t="shared" si="67"/>
        <v>440.28360377535751</v>
      </c>
      <c r="CX93" s="61">
        <f t="shared" si="68"/>
        <v>733.61693710869076</v>
      </c>
      <c r="CY93" s="61">
        <f ca="1">AVERAGE(OFFSET($CX$3,0,0,'Données projet'!$E$13+1,1))-AVERAGE(OFFSET($H$3,0,0,'Données projet'!$E$13+1,1))</f>
        <v>273.72618036666552</v>
      </c>
      <c r="CZ93" s="61">
        <f t="shared" si="96"/>
        <v>157.67999791700714</v>
      </c>
      <c r="DA93" s="16">
        <f>IF(ISNA(VLOOKUP(A93,'Données projet'!$A$139:$I$159,3,0)),0,VLOOKUP(A93,'Données projet'!$A$139:$I$159,3,0))</f>
        <v>6</v>
      </c>
      <c r="DB93" s="16">
        <f>IF(ISNA(VLOOKUP(A93,'Données projet'!$A$139:$I$159,4,0)),0,VLOOKUP(A93,'Données projet'!$A$139:$I$159,4,0))</f>
        <v>50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295.5128205128205</v>
      </c>
      <c r="DM93" s="13">
        <f>VLOOKUP(A93,'Données projet'!$A$165:$I$185,9,0)</f>
        <v>3.8461538461538454</v>
      </c>
      <c r="DN93" s="13">
        <f t="array" ref="DN93">INDEX(DM:DM,MIN(IF(ISNUMBER(DM93:DM289),ROW(DM93:DM289),"")))</f>
        <v>3.8461538461538454</v>
      </c>
      <c r="DO93" s="13">
        <f>IF('Données projet'!$A$166&gt;35,DO92+DN93-DW92,IF(A93&lt;'Données projet'!$A$166,$DL$205^A93,IF(A93='Données projet'!$A$166,'Données projet'!$B$166,DO92+DN93-DW92)))</f>
        <v>295.51282051282061</v>
      </c>
      <c r="DP93" s="18">
        <f>DO93*VLOOKUP('Données projet'!$B$14,Paramètres!$A$1:$I$89,3,0)*VLOOKUP('Données projet'!$B$14,Paramètres!$A$1:$I$89,5,0)</f>
        <v>198.23000000000008</v>
      </c>
      <c r="DQ93" s="14">
        <f t="shared" si="97"/>
        <v>49.354974276661508</v>
      </c>
      <c r="DR93" s="22">
        <f t="shared" si="70"/>
        <v>431.21049686518558</v>
      </c>
      <c r="DS93" s="61">
        <f t="shared" si="71"/>
        <v>724.54383019851889</v>
      </c>
      <c r="DT93" s="61">
        <f ca="1">AVERAGE(OFFSET($DS$3,0,0,'Données projet'!$E$14+1,1))-AVERAGE(OFFSET($H$3,0,0,'Données projet'!$E$14+1,1))</f>
        <v>312.06797204903796</v>
      </c>
      <c r="DU93" s="61">
        <f t="shared" si="98"/>
        <v>258.20189001775151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24.358974358974358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1.4210854715202004E-13</v>
      </c>
      <c r="EK93" s="18">
        <f>EJ93*VLOOKUP('Données projet'!$B$15,Paramètres!$A$1:$I$89,3,0)*VLOOKUP('Données projet'!$B$15,Paramètres!$A$1:$I$89,5,0)</f>
        <v>1.1527845344971866E-13</v>
      </c>
      <c r="EL93" s="14">
        <f t="shared" si="99"/>
        <v>1.7033846239409443E-12</v>
      </c>
      <c r="EM93" s="22">
        <f t="shared" si="73"/>
        <v>3.1675048597887374E-12</v>
      </c>
      <c r="EN93" s="61">
        <f t="shared" si="74"/>
        <v>293.3333333333365</v>
      </c>
      <c r="EO93" s="61">
        <f ca="1">AVERAGE(OFFSET($EN$3,0,0,'Données projet'!$E$15+1,1))-AVERAGE(OFFSET($H$3,0,0,'Données projet'!$E$15+1,1))</f>
        <v>222.15256609836689</v>
      </c>
      <c r="EP93" s="61">
        <f t="shared" si="100"/>
        <v>221.10360210521077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1.1368683772161603E-13</v>
      </c>
      <c r="FF93" s="18">
        <f>FE93*VLOOKUP('Données projet'!$B$16,Paramètres!$A$1:$I$89,3,0)*VLOOKUP('Données projet'!$B$16,Paramètres!$A$1:$I$89,5,0)</f>
        <v>8.8675733422860506E-14</v>
      </c>
      <c r="FG93" s="14">
        <f t="shared" si="101"/>
        <v>1.3509285393066301E-12</v>
      </c>
      <c r="FH93" s="22">
        <f t="shared" si="76"/>
        <v>2.5073107750038623E-12</v>
      </c>
      <c r="FI93" s="61">
        <f t="shared" si="77"/>
        <v>293.33333333333582</v>
      </c>
      <c r="FJ93" s="61">
        <f ca="1">AVERAGE(OFFSET($FI$3,0,0,'Données projet'!$E$16+1,1))-AVERAGE(OFFSET($H$3,0,0,'Données projet'!$E$16+1,1))</f>
        <v>292.57482726862594</v>
      </c>
      <c r="FK93" s="61">
        <f t="shared" si="102"/>
        <v>283.48738729114024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>
        <f>VLOOKUP(A93,'Données projet'!$A$243:$I$263,2,0)</f>
        <v>296</v>
      </c>
      <c r="FX93" s="13">
        <f>VLOOKUP(A93,'Données projet'!$A$243:$I$263,9,0)</f>
        <v>5.6</v>
      </c>
      <c r="FY93" s="13">
        <f t="array" ref="FY93">INDEX(FX:FX,MIN(IF(ISNUMBER(FX93:FX289),ROW(FX93:FX289),"")))</f>
        <v>5.6</v>
      </c>
      <c r="FZ93" s="13">
        <f>IF('Données projet'!$A$244&gt;35,FZ92+FY93-GH92,IF(A93&lt;'Données projet'!$A$244,$FW$205^A93,IF(A93='Données projet'!$A$244,'Données projet'!$B$244,FZ92+FY93-GH92)))</f>
        <v>296.00000000000006</v>
      </c>
      <c r="GA93" s="18">
        <f>FZ93*VLOOKUP('Données projet'!$B$17,Paramètres!$A$1:$I$89,3,0)*VLOOKUP('Données projet'!$B$17,Paramètres!$A$1:$I$89,5,0)</f>
        <v>286.29120000000006</v>
      </c>
      <c r="GB93" s="14">
        <f t="shared" si="103"/>
        <v>68.294796094604408</v>
      </c>
      <c r="GC93" s="22">
        <f t="shared" si="79"/>
        <v>617.57060986476938</v>
      </c>
      <c r="GD93" s="61">
        <f t="shared" si="80"/>
        <v>910.90394319810275</v>
      </c>
      <c r="GE93" s="61">
        <f ca="1">AVERAGE(OFFSET($GD$3,0,0,'Données projet'!$E$17+1,1))-AVERAGE(OFFSET($H$3,0,0,'Données projet'!$E$17+1,1))</f>
        <v>455.50822833641354</v>
      </c>
      <c r="GF93" s="61">
        <f t="shared" si="104"/>
        <v>261.14722581688039</v>
      </c>
      <c r="GG93" s="16">
        <f>IF(ISNA(VLOOKUP(A93,'Données projet'!$A$243:$I$263,3,0)),0,VLOOKUP(A93,'Données projet'!$A$243:$I$263,3,0))</f>
        <v>7</v>
      </c>
      <c r="GH93" s="16">
        <f>IF(ISNA(VLOOKUP(A93,'Données projet'!$A$243:$I$263,4,0)),0,VLOOKUP(A93,'Données projet'!$A$243:$I$263,4,0))</f>
        <v>42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0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0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>
        <f>VLOOKUP(A93,'Données projet'!$A$269:$I$289,2,0)</f>
        <v>296</v>
      </c>
      <c r="GS93" s="13">
        <f>VLOOKUP(A93,'Données projet'!$A$269:$I$289,9,0)</f>
        <v>5.6</v>
      </c>
      <c r="GT93" s="13">
        <f t="array" ref="GT93">INDEX(GS:GS,MIN(IF(ISNUMBER(GS93:GS289),ROW(GS93:GS289),"")))</f>
        <v>5.6</v>
      </c>
      <c r="GU93" s="13">
        <f>IF('Données projet'!$A$270&gt;35,GU92+GT93-HC92,IF(A93&lt;'Données projet'!$A$270,$GR$205^A93,IF(A93='Données projet'!$A$270,'Données projet'!$B$270,GU92+GT93-HC92)))</f>
        <v>296.00000000000006</v>
      </c>
      <c r="GV93" s="18">
        <f>GU93*VLOOKUP('Données projet'!$B$18,Paramètres!$A$1:$I$89,3,0)*VLOOKUP('Données projet'!$B$18,Paramètres!$A$1:$I$89,5,0)</f>
        <v>318.61440000000005</v>
      </c>
      <c r="GW93" s="14">
        <f t="shared" si="105"/>
        <v>75.06497986502842</v>
      </c>
      <c r="GX93" s="22">
        <f t="shared" si="82"/>
        <v>685.6582532649245</v>
      </c>
      <c r="GY93" s="61">
        <f t="shared" si="83"/>
        <v>978.99158659825775</v>
      </c>
      <c r="GZ93" s="61">
        <f ca="1">AVERAGE(OFFSET($GY$3,0,0,'Données projet'!$E$18+1,1))-AVERAGE(OFFSET($H$3,0,0,'Données projet'!$E$18+1,1))</f>
        <v>502.07782026233912</v>
      </c>
      <c r="HA93" s="61">
        <f t="shared" si="106"/>
        <v>285.83623046025156</v>
      </c>
      <c r="HB93" s="16">
        <f>IF(ISNA(VLOOKUP(A93,'Données projet'!$A$269:$I$289,3,0)),0,VLOOKUP(A93,'Données projet'!$A$269:$I$289,3,0))</f>
        <v>7</v>
      </c>
      <c r="HC93" s="16">
        <f>IF(ISNA(VLOOKUP(A93,'Données projet'!$A$269:$I$289,4,0)),0,VLOOKUP(A93,'Données projet'!$A$269:$I$289,4,0))</f>
        <v>42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0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0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234.25272000000001</v>
      </c>
      <c r="P94" s="14">
        <f t="shared" si="87"/>
        <v>57.201236231171301</v>
      </c>
      <c r="Q94" s="22">
        <f t="shared" si="54"/>
        <v>507.61564043595672</v>
      </c>
      <c r="R94" s="61">
        <f t="shared" si="55"/>
        <v>800.94897376928998</v>
      </c>
      <c r="S94" s="61">
        <f ca="1">AVERAGE(OFFSET($R$3,0,0,'Données projet'!$E$9+1,1))-AVERAGE(OFFSET($H$3,0,0,'Données projet'!$E$9+1,1))</f>
        <v>428.8489304403459</v>
      </c>
      <c r="T94" s="61">
        <f t="shared" si="88"/>
        <v>247.01165577562966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1">
        <f t="shared" si="59"/>
        <v>860.74189070867442</v>
      </c>
      <c r="AN94" s="61">
        <f ca="1">AVERAGE(OFFSET($AM$3,0,0,'Données projet'!$E$10+1,1))-AVERAGE(OFFSET($H$3,0,0,'Données projet'!$E$10+1,1))</f>
        <v>475.47920969424894</v>
      </c>
      <c r="AO94" s="61">
        <f t="shared" si="90"/>
        <v>271.73544012419364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-3.4106051316484809E-13</v>
      </c>
      <c r="BE94" s="14">
        <f>BD94*VLOOKUP('Données projet'!$B$11,Paramètres!$A$1:$I$89,3,0)*VLOOKUP('Données projet'!$B$11,Paramètres!$A$1:$I$89,5,0)</f>
        <v>-1.9065282685915009E-13</v>
      </c>
      <c r="BF94" s="14" t="e">
        <f t="shared" si="91"/>
        <v>#NUM!</v>
      </c>
      <c r="BG94" s="22" t="e">
        <f t="shared" si="61"/>
        <v>#NUM!</v>
      </c>
      <c r="BH94" s="61" t="e">
        <f t="shared" si="62"/>
        <v>#NUM!</v>
      </c>
      <c r="BI94" s="61">
        <f ca="1">AVERAGE(OFFSET($BH$3,0,0,'Données projet'!$E$11+1,1))-AVERAGE(OFFSET($H$3,0,0,'Données projet'!$E$11+1,1))</f>
        <v>374.79806286316051</v>
      </c>
      <c r="BJ94" s="61">
        <f t="shared" si="92"/>
        <v>350.01856672839466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4.1038904670206078</v>
      </c>
      <c r="BR94" s="23">
        <f>EXP(-LN(2)/2)*BR93+(1-EXP(-LN(2)/2))/(LN(2)/2)*BL94*BO94*VLOOKUP('Données projet'!$B$11,Paramètres!$A$1:$I$89,3,0)*0.475*44/12</f>
        <v>7.2491137500781561E-9</v>
      </c>
      <c r="BS94" s="24">
        <f t="shared" si="63"/>
        <v>4.1038904742697211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8.7211538461538449</v>
      </c>
      <c r="BY94" s="13">
        <f>IF('Données projet'!$A$114&gt;35,BY93+BX94-CG93,IF(A94&lt;'Données projet'!$A$114,$BV$205^A94,IF(A94='Données projet'!$A$114,'Données projet'!$B$114,BY93+BX94-CG93)))</f>
        <v>345.95</v>
      </c>
      <c r="BZ94" s="14">
        <f>BY94*VLOOKUP('Données projet'!$B$12,Paramètres!$A$1:$I$89,3,0)*VLOOKUP('Données projet'!$B$12,Paramètres!$A$1:$I$89,5,0)</f>
        <v>161.90459999999999</v>
      </c>
      <c r="CA94" s="14">
        <f t="shared" si="93"/>
        <v>41.271806945500579</v>
      </c>
      <c r="CB94" s="22">
        <f t="shared" si="64"/>
        <v>353.86557543008013</v>
      </c>
      <c r="CC94" s="61">
        <f t="shared" si="65"/>
        <v>647.19890876341344</v>
      </c>
      <c r="CD94" s="61">
        <f ca="1">AVERAGE(OFFSET($CC$3,0,0,'Données projet'!$E$12+1,1))-AVERAGE(OFFSET($H$3,0,0,'Données projet'!$E$12+1,1))</f>
        <v>285.59863510278109</v>
      </c>
      <c r="CE94" s="61">
        <f t="shared" si="94"/>
        <v>190.4880882944471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12.7</v>
      </c>
      <c r="CT94" s="13">
        <f>IF('Données projet'!$A$140&gt;35,CT93+CS94-DB93,IF(A94&lt;'Données projet'!$A$140,$CQ$205^A94,IF(A94='Données projet'!$A$140,'Données projet'!$B$140,CT93+CS94-DB93)))</f>
        <v>383.70000000000022</v>
      </c>
      <c r="CU94" s="18">
        <f>CT94*VLOOKUP('Données projet'!$B$13,Paramètres!$A$1:$I$89,3,0)*VLOOKUP('Données projet'!$B$13,Paramètres!$A$1:$I$89,5,0)</f>
        <v>184.55970000000011</v>
      </c>
      <c r="CV94" s="14">
        <f t="shared" si="95"/>
        <v>46.335153716193432</v>
      </c>
      <c r="CW94" s="22">
        <f t="shared" si="67"/>
        <v>402.14187022237041</v>
      </c>
      <c r="CX94" s="61">
        <f t="shared" si="68"/>
        <v>695.47520355570373</v>
      </c>
      <c r="CY94" s="61">
        <f ca="1">AVERAGE(OFFSET($CX$3,0,0,'Données projet'!$E$13+1,1))-AVERAGE(OFFSET($H$3,0,0,'Données projet'!$E$13+1,1))</f>
        <v>273.72618036666552</v>
      </c>
      <c r="CZ94" s="61">
        <f t="shared" si="96"/>
        <v>157.67999791700714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3.7179487179487181</v>
      </c>
      <c r="DO94" s="13">
        <f>IF('Données projet'!$A$166&gt;35,DO93+DN94-DW93,IF(A94&lt;'Données projet'!$A$166,$DL$205^A94,IF(A94='Données projet'!$A$166,'Données projet'!$B$166,DO93+DN94-DW93)))</f>
        <v>274.87179487179498</v>
      </c>
      <c r="DP94" s="18">
        <f>DO94*VLOOKUP('Données projet'!$B$14,Paramètres!$A$1:$I$89,3,0)*VLOOKUP('Données projet'!$B$14,Paramètres!$A$1:$I$89,5,0)</f>
        <v>184.38400000000007</v>
      </c>
      <c r="DQ94" s="14">
        <f t="shared" si="97"/>
        <v>46.296175202781576</v>
      </c>
      <c r="DR94" s="22">
        <f t="shared" si="70"/>
        <v>401.76797181151136</v>
      </c>
      <c r="DS94" s="61">
        <f t="shared" si="71"/>
        <v>695.10130514484467</v>
      </c>
      <c r="DT94" s="61">
        <f ca="1">AVERAGE(OFFSET($DS$3,0,0,'Données projet'!$E$14+1,1))-AVERAGE(OFFSET($H$3,0,0,'Données projet'!$E$14+1,1))</f>
        <v>312.06797204903796</v>
      </c>
      <c r="DU94" s="61">
        <f t="shared" si="98"/>
        <v>258.20189001775151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1.4210854715202004E-13</v>
      </c>
      <c r="EK94" s="18">
        <f>EJ94*VLOOKUP('Données projet'!$B$15,Paramètres!$A$1:$I$89,3,0)*VLOOKUP('Données projet'!$B$15,Paramètres!$A$1:$I$89,5,0)</f>
        <v>1.1527845344971866E-13</v>
      </c>
      <c r="EL94" s="14">
        <f t="shared" si="99"/>
        <v>1.7033846239409443E-12</v>
      </c>
      <c r="EM94" s="22">
        <f t="shared" si="73"/>
        <v>3.1675048597887374E-12</v>
      </c>
      <c r="EN94" s="61">
        <f t="shared" si="74"/>
        <v>293.3333333333365</v>
      </c>
      <c r="EO94" s="61">
        <f ca="1">AVERAGE(OFFSET($EN$3,0,0,'Données projet'!$E$15+1,1))-AVERAGE(OFFSET($H$3,0,0,'Données projet'!$E$15+1,1))</f>
        <v>222.15256609836689</v>
      </c>
      <c r="EP94" s="61">
        <f t="shared" si="100"/>
        <v>221.10360210521077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1.1368683772161603E-13</v>
      </c>
      <c r="FF94" s="18">
        <f>FE94*VLOOKUP('Données projet'!$B$16,Paramètres!$A$1:$I$89,3,0)*VLOOKUP('Données projet'!$B$16,Paramètres!$A$1:$I$89,5,0)</f>
        <v>8.8675733422860506E-14</v>
      </c>
      <c r="FG94" s="14">
        <f t="shared" si="101"/>
        <v>1.3509285393066301E-12</v>
      </c>
      <c r="FH94" s="22">
        <f t="shared" si="76"/>
        <v>2.5073107750038623E-12</v>
      </c>
      <c r="FI94" s="61">
        <f t="shared" si="77"/>
        <v>293.33333333333582</v>
      </c>
      <c r="FJ94" s="61">
        <f ca="1">AVERAGE(OFFSET($FI$3,0,0,'Données projet'!$E$16+1,1))-AVERAGE(OFFSET($H$3,0,0,'Données projet'!$E$16+1,1))</f>
        <v>292.57482726862594</v>
      </c>
      <c r="FK94" s="61">
        <f t="shared" si="102"/>
        <v>283.48738729114024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4.9000000000000004</v>
      </c>
      <c r="FZ94" s="13">
        <f>IF('Données projet'!$A$244&gt;35,FZ93+FY94-GH93,IF(A94&lt;'Données projet'!$A$244,$FW$205^A94,IF(A94='Données projet'!$A$244,'Données projet'!$B$244,FZ93+FY94-GH93)))</f>
        <v>258.90000000000003</v>
      </c>
      <c r="GA94" s="18">
        <f>FZ94*VLOOKUP('Données projet'!$B$17,Paramètres!$A$1:$I$89,3,0)*VLOOKUP('Données projet'!$B$17,Paramètres!$A$1:$I$89,5,0)</f>
        <v>250.40808000000004</v>
      </c>
      <c r="GB94" s="14">
        <f t="shared" si="103"/>
        <v>60.67331674592576</v>
      </c>
      <c r="GC94" s="22">
        <f t="shared" si="79"/>
        <v>541.80009933248743</v>
      </c>
      <c r="GD94" s="61">
        <f t="shared" si="80"/>
        <v>835.13343266582069</v>
      </c>
      <c r="GE94" s="61">
        <f ca="1">AVERAGE(OFFSET($GD$3,0,0,'Données projet'!$E$17+1,1))-AVERAGE(OFFSET($H$3,0,0,'Données projet'!$E$17+1,1))</f>
        <v>455.50822833641354</v>
      </c>
      <c r="GF94" s="61">
        <f t="shared" si="104"/>
        <v>261.14722581688039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0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0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4.9000000000000004</v>
      </c>
      <c r="GU94" s="13">
        <f>IF('Données projet'!$A$270&gt;35,GU93+GT94-HC93,IF(A94&lt;'Données projet'!$A$270,$GR$205^A94,IF(A94='Données projet'!$A$270,'Données projet'!$B$270,GU93+GT94-HC93)))</f>
        <v>258.90000000000003</v>
      </c>
      <c r="GV94" s="18">
        <f>GU94*VLOOKUP('Données projet'!$B$18,Paramètres!$A$1:$I$89,3,0)*VLOOKUP('Données projet'!$B$18,Paramètres!$A$1:$I$89,5,0)</f>
        <v>278.67996000000005</v>
      </c>
      <c r="GW94" s="14">
        <f t="shared" si="105"/>
        <v>66.687969806197728</v>
      </c>
      <c r="GX94" s="22">
        <f t="shared" si="82"/>
        <v>601.51581107912773</v>
      </c>
      <c r="GY94" s="61">
        <f t="shared" si="83"/>
        <v>894.8491444124611</v>
      </c>
      <c r="GZ94" s="61">
        <f ca="1">AVERAGE(OFFSET($GY$3,0,0,'Données projet'!$E$18+1,1))-AVERAGE(OFFSET($H$3,0,0,'Données projet'!$E$18+1,1))</f>
        <v>502.07782026233912</v>
      </c>
      <c r="HA94" s="61">
        <f t="shared" si="106"/>
        <v>285.83623046025156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0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0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238.68624</v>
      </c>
      <c r="P95" s="14">
        <f t="shared" si="87"/>
        <v>58.156778382060871</v>
      </c>
      <c r="Q95" s="22">
        <f t="shared" si="54"/>
        <v>517.00159034875594</v>
      </c>
      <c r="R95" s="61">
        <f t="shared" si="55"/>
        <v>810.33492368208931</v>
      </c>
      <c r="S95" s="61">
        <f ca="1">AVERAGE(OFFSET($R$3,0,0,'Données projet'!$E$9+1,1))-AVERAGE(OFFSET($H$3,0,0,'Données projet'!$E$9+1,1))</f>
        <v>428.8489304403459</v>
      </c>
      <c r="T95" s="61">
        <f t="shared" si="88"/>
        <v>247.01165577562966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1">
        <f t="shared" si="59"/>
        <v>871.23605407804735</v>
      </c>
      <c r="AN95" s="61">
        <f ca="1">AVERAGE(OFFSET($AM$3,0,0,'Données projet'!$E$10+1,1))-AVERAGE(OFFSET($H$3,0,0,'Données projet'!$E$10+1,1))</f>
        <v>475.47920969424894</v>
      </c>
      <c r="AO95" s="61">
        <f t="shared" si="90"/>
        <v>271.73544012419364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-3.4106051316484809E-13</v>
      </c>
      <c r="BE95" s="14">
        <f>BD95*VLOOKUP('Données projet'!$B$11,Paramètres!$A$1:$I$89,3,0)*VLOOKUP('Données projet'!$B$11,Paramètres!$A$1:$I$89,5,0)</f>
        <v>-1.9065282685915009E-13</v>
      </c>
      <c r="BF95" s="14" t="e">
        <f t="shared" si="91"/>
        <v>#NUM!</v>
      </c>
      <c r="BG95" s="22" t="e">
        <f t="shared" si="61"/>
        <v>#NUM!</v>
      </c>
      <c r="BH95" s="61" t="e">
        <f t="shared" si="62"/>
        <v>#NUM!</v>
      </c>
      <c r="BI95" s="61">
        <f ca="1">AVERAGE(OFFSET($BH$3,0,0,'Données projet'!$E$11+1,1))-AVERAGE(OFFSET($H$3,0,0,'Données projet'!$E$11+1,1))</f>
        <v>374.79806286316051</v>
      </c>
      <c r="BJ95" s="61">
        <f t="shared" si="92"/>
        <v>350.01856672839466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3.9916693663857092</v>
      </c>
      <c r="BR95" s="23">
        <f>EXP(-LN(2)/2)*BR94+(1-EXP(-LN(2)/2))/(LN(2)/2)*BL95*BO95*VLOOKUP('Données projet'!$B$11,Paramètres!$A$1:$I$89,3,0)*0.475*44/12</f>
        <v>5.125897490272908E-9</v>
      </c>
      <c r="BS95" s="24">
        <f t="shared" si="63"/>
        <v>3.9916693715116067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8.7211538461538449</v>
      </c>
      <c r="BY95" s="13">
        <f>IF('Données projet'!$A$114&gt;35,BY94+BX95-CG94,IF(A95&lt;'Données projet'!$A$114,$BV$205^A95,IF(A95='Données projet'!$A$114,'Données projet'!$B$114,BY94+BX95-CG94)))</f>
        <v>354.67115384615386</v>
      </c>
      <c r="BZ95" s="14">
        <f>BY95*VLOOKUP('Données projet'!$B$12,Paramètres!$A$1:$I$89,3,0)*VLOOKUP('Données projet'!$B$12,Paramètres!$A$1:$I$89,5,0)</f>
        <v>165.98609999999999</v>
      </c>
      <c r="CA95" s="14">
        <f t="shared" si="93"/>
        <v>42.18979716636489</v>
      </c>
      <c r="CB95" s="22">
        <f t="shared" si="64"/>
        <v>362.57302089808542</v>
      </c>
      <c r="CC95" s="61">
        <f t="shared" si="65"/>
        <v>655.90635423141873</v>
      </c>
      <c r="CD95" s="61">
        <f ca="1">AVERAGE(OFFSET($CC$3,0,0,'Données projet'!$E$12+1,1))-AVERAGE(OFFSET($H$3,0,0,'Données projet'!$E$12+1,1))</f>
        <v>285.59863510278109</v>
      </c>
      <c r="CE95" s="61">
        <f t="shared" si="94"/>
        <v>190.4880882944471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12.7</v>
      </c>
      <c r="CT95" s="13">
        <f>IF('Données projet'!$A$140&gt;35,CT94+CS95-DB94,IF(A95&lt;'Données projet'!$A$140,$CQ$205^A95,IF(A95='Données projet'!$A$140,'Données projet'!$B$140,CT94+CS95-DB94)))</f>
        <v>396.4000000000002</v>
      </c>
      <c r="CU95" s="18">
        <f>CT95*VLOOKUP('Données projet'!$B$13,Paramètres!$A$1:$I$89,3,0)*VLOOKUP('Données projet'!$B$13,Paramètres!$A$1:$I$89,5,0)</f>
        <v>190.66840000000008</v>
      </c>
      <c r="CV95" s="14">
        <f t="shared" si="95"/>
        <v>47.68769638526107</v>
      </c>
      <c r="CW95" s="22">
        <f t="shared" si="67"/>
        <v>415.13686787099647</v>
      </c>
      <c r="CX95" s="61">
        <f t="shared" si="68"/>
        <v>708.47020120432978</v>
      </c>
      <c r="CY95" s="61">
        <f ca="1">AVERAGE(OFFSET($CX$3,0,0,'Données projet'!$E$13+1,1))-AVERAGE(OFFSET($H$3,0,0,'Données projet'!$E$13+1,1))</f>
        <v>273.72618036666552</v>
      </c>
      <c r="CZ95" s="61">
        <f t="shared" si="96"/>
        <v>157.67999791700714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3.7179487179487181</v>
      </c>
      <c r="DO95" s="13">
        <f>IF('Données projet'!$A$166&gt;35,DO94+DN95-DW94,IF(A95&lt;'Données projet'!$A$166,$DL$205^A95,IF(A95='Données projet'!$A$166,'Données projet'!$B$166,DO94+DN95-DW94)))</f>
        <v>278.5897435897437</v>
      </c>
      <c r="DP95" s="18">
        <f>DO95*VLOOKUP('Données projet'!$B$14,Paramètres!$A$1:$I$89,3,0)*VLOOKUP('Données projet'!$B$14,Paramètres!$A$1:$I$89,5,0)</f>
        <v>186.87800000000007</v>
      </c>
      <c r="DQ95" s="14">
        <f t="shared" si="97"/>
        <v>46.849058827207365</v>
      </c>
      <c r="DR95" s="22">
        <f t="shared" si="70"/>
        <v>407.07462745738621</v>
      </c>
      <c r="DS95" s="61">
        <f t="shared" si="71"/>
        <v>700.40796079071947</v>
      </c>
      <c r="DT95" s="61">
        <f ca="1">AVERAGE(OFFSET($DS$3,0,0,'Données projet'!$E$14+1,1))-AVERAGE(OFFSET($H$3,0,0,'Données projet'!$E$14+1,1))</f>
        <v>312.06797204903796</v>
      </c>
      <c r="DU95" s="61">
        <f t="shared" si="98"/>
        <v>258.20189001775151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1.4210854715202004E-13</v>
      </c>
      <c r="EK95" s="18">
        <f>EJ95*VLOOKUP('Données projet'!$B$15,Paramètres!$A$1:$I$89,3,0)*VLOOKUP('Données projet'!$B$15,Paramètres!$A$1:$I$89,5,0)</f>
        <v>1.1527845344971866E-13</v>
      </c>
      <c r="EL95" s="14">
        <f t="shared" si="99"/>
        <v>1.7033846239409443E-12</v>
      </c>
      <c r="EM95" s="22">
        <f t="shared" si="73"/>
        <v>3.1675048597887374E-12</v>
      </c>
      <c r="EN95" s="61">
        <f t="shared" si="74"/>
        <v>293.3333333333365</v>
      </c>
      <c r="EO95" s="61">
        <f ca="1">AVERAGE(OFFSET($EN$3,0,0,'Données projet'!$E$15+1,1))-AVERAGE(OFFSET($H$3,0,0,'Données projet'!$E$15+1,1))</f>
        <v>222.15256609836689</v>
      </c>
      <c r="EP95" s="61">
        <f t="shared" si="100"/>
        <v>221.10360210521077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1.1368683772161603E-13</v>
      </c>
      <c r="FF95" s="18">
        <f>FE95*VLOOKUP('Données projet'!$B$16,Paramètres!$A$1:$I$89,3,0)*VLOOKUP('Données projet'!$B$16,Paramètres!$A$1:$I$89,5,0)</f>
        <v>8.8675733422860506E-14</v>
      </c>
      <c r="FG95" s="14">
        <f t="shared" si="101"/>
        <v>1.3509285393066301E-12</v>
      </c>
      <c r="FH95" s="22">
        <f t="shared" si="76"/>
        <v>2.5073107750038623E-12</v>
      </c>
      <c r="FI95" s="61">
        <f t="shared" si="77"/>
        <v>293.33333333333582</v>
      </c>
      <c r="FJ95" s="61">
        <f ca="1">AVERAGE(OFFSET($FI$3,0,0,'Données projet'!$E$16+1,1))-AVERAGE(OFFSET($H$3,0,0,'Données projet'!$E$16+1,1))</f>
        <v>292.57482726862594</v>
      </c>
      <c r="FK95" s="61">
        <f t="shared" si="102"/>
        <v>283.48738729114024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4.9000000000000004</v>
      </c>
      <c r="FZ95" s="13">
        <f>IF('Données projet'!$A$244&gt;35,FZ94+FY95-GH94,IF(A95&lt;'Données projet'!$A$244,$FW$205^A95,IF(A95='Données projet'!$A$244,'Données projet'!$B$244,FZ94+FY95-GH94)))</f>
        <v>263.8</v>
      </c>
      <c r="GA95" s="18">
        <f>FZ95*VLOOKUP('Données projet'!$B$17,Paramètres!$A$1:$I$89,3,0)*VLOOKUP('Données projet'!$B$17,Paramètres!$A$1:$I$89,5,0)</f>
        <v>255.14736000000002</v>
      </c>
      <c r="GB95" s="14">
        <f t="shared" si="103"/>
        <v>61.686859728645651</v>
      </c>
      <c r="GC95" s="22">
        <f t="shared" si="79"/>
        <v>551.81959936072451</v>
      </c>
      <c r="GD95" s="61">
        <f t="shared" si="80"/>
        <v>845.15293269405788</v>
      </c>
      <c r="GE95" s="61">
        <f ca="1">AVERAGE(OFFSET($GD$3,0,0,'Données projet'!$E$17+1,1))-AVERAGE(OFFSET($H$3,0,0,'Données projet'!$E$17+1,1))</f>
        <v>455.50822833641354</v>
      </c>
      <c r="GF95" s="61">
        <f t="shared" si="104"/>
        <v>261.14722581688039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0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0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4.9000000000000004</v>
      </c>
      <c r="GU95" s="13">
        <f>IF('Données projet'!$A$270&gt;35,GU94+GT95-HC94,IF(A95&lt;'Données projet'!$A$270,$GR$205^A95,IF(A95='Données projet'!$A$270,'Données projet'!$B$270,GU94+GT95-HC94)))</f>
        <v>263.8</v>
      </c>
      <c r="GV95" s="18">
        <f>GU95*VLOOKUP('Données projet'!$B$18,Paramètres!$A$1:$I$89,3,0)*VLOOKUP('Données projet'!$B$18,Paramètres!$A$1:$I$89,5,0)</f>
        <v>283.95432</v>
      </c>
      <c r="GW95" s="14">
        <f t="shared" si="105"/>
        <v>67.801987095081913</v>
      </c>
      <c r="GX95" s="22">
        <f t="shared" si="82"/>
        <v>612.64223485726768</v>
      </c>
      <c r="GY95" s="61">
        <f t="shared" si="83"/>
        <v>905.97556819060105</v>
      </c>
      <c r="GZ95" s="61">
        <f ca="1">AVERAGE(OFFSET($GY$3,0,0,'Données projet'!$E$18+1,1))-AVERAGE(OFFSET($H$3,0,0,'Données projet'!$E$18+1,1))</f>
        <v>502.07782026233912</v>
      </c>
      <c r="HA95" s="61">
        <f t="shared" si="106"/>
        <v>285.83623046025156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0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0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243.11975999999996</v>
      </c>
      <c r="P96" s="14">
        <f t="shared" si="87"/>
        <v>59.110256668778533</v>
      </c>
      <c r="Q96" s="22">
        <f t="shared" si="54"/>
        <v>526.3839456981226</v>
      </c>
      <c r="R96" s="61">
        <f t="shared" si="55"/>
        <v>819.71727903145597</v>
      </c>
      <c r="S96" s="61">
        <f ca="1">AVERAGE(OFFSET($R$3,0,0,'Données projet'!$E$9+1,1))-AVERAGE(OFFSET($H$3,0,0,'Données projet'!$E$9+1,1))</f>
        <v>428.8489304403459</v>
      </c>
      <c r="T96" s="61">
        <f t="shared" si="88"/>
        <v>247.01165577562966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1">
        <f t="shared" si="59"/>
        <v>881.72624213359745</v>
      </c>
      <c r="AN96" s="61">
        <f ca="1">AVERAGE(OFFSET($AM$3,0,0,'Données projet'!$E$10+1,1))-AVERAGE(OFFSET($H$3,0,0,'Données projet'!$E$10+1,1))</f>
        <v>475.47920969424894</v>
      </c>
      <c r="AO96" s="61">
        <f t="shared" si="90"/>
        <v>271.73544012419364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-3.4106051316484809E-13</v>
      </c>
      <c r="BE96" s="14">
        <f>BD96*VLOOKUP('Données projet'!$B$11,Paramètres!$A$1:$I$89,3,0)*VLOOKUP('Données projet'!$B$11,Paramètres!$A$1:$I$89,5,0)</f>
        <v>-1.9065282685915009E-13</v>
      </c>
      <c r="BF96" s="14" t="e">
        <f t="shared" si="91"/>
        <v>#NUM!</v>
      </c>
      <c r="BG96" s="22" t="e">
        <f t="shared" si="61"/>
        <v>#NUM!</v>
      </c>
      <c r="BH96" s="61" t="e">
        <f t="shared" si="62"/>
        <v>#NUM!</v>
      </c>
      <c r="BI96" s="61">
        <f ca="1">AVERAGE(OFFSET($BH$3,0,0,'Données projet'!$E$11+1,1))-AVERAGE(OFFSET($H$3,0,0,'Données projet'!$E$11+1,1))</f>
        <v>374.79806286316051</v>
      </c>
      <c r="BJ96" s="61">
        <f t="shared" si="92"/>
        <v>350.01856672839466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3.882516957649123</v>
      </c>
      <c r="BR96" s="23">
        <f>EXP(-LN(2)/2)*BR95+(1-EXP(-LN(2)/2))/(LN(2)/2)*BL96*BO96*VLOOKUP('Données projet'!$B$11,Paramètres!$A$1:$I$89,3,0)*0.475*44/12</f>
        <v>3.6245568750390785E-9</v>
      </c>
      <c r="BS96" s="24">
        <f t="shared" si="63"/>
        <v>3.8825169612736796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8.7211538461538449</v>
      </c>
      <c r="BY96" s="13">
        <f>IF('Données projet'!$A$114&gt;35,BY95+BX96-CG95,IF(A96&lt;'Données projet'!$A$114,$BV$205^A96,IF(A96='Données projet'!$A$114,'Données projet'!$B$114,BY95+BX96-CG95)))</f>
        <v>363.39230769230772</v>
      </c>
      <c r="BZ96" s="14">
        <f>BY96*VLOOKUP('Données projet'!$B$12,Paramètres!$A$1:$I$89,3,0)*VLOOKUP('Données projet'!$B$12,Paramètres!$A$1:$I$89,5,0)</f>
        <v>170.0676</v>
      </c>
      <c r="CA96" s="14">
        <f t="shared" si="93"/>
        <v>43.105163386216795</v>
      </c>
      <c r="CB96" s="22">
        <f t="shared" si="64"/>
        <v>371.27589623099425</v>
      </c>
      <c r="CC96" s="61">
        <f t="shared" si="65"/>
        <v>664.60922956432751</v>
      </c>
      <c r="CD96" s="61">
        <f ca="1">AVERAGE(OFFSET($CC$3,0,0,'Données projet'!$E$12+1,1))-AVERAGE(OFFSET($H$3,0,0,'Données projet'!$E$12+1,1))</f>
        <v>285.59863510278109</v>
      </c>
      <c r="CE96" s="61">
        <f t="shared" si="94"/>
        <v>190.4880882944471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12.7</v>
      </c>
      <c r="CT96" s="13">
        <f>IF('Données projet'!$A$140&gt;35,CT95+CS96-DB95,IF(A96&lt;'Données projet'!$A$140,$CQ$205^A96,IF(A96='Données projet'!$A$140,'Données projet'!$B$140,CT95+CS96-DB95)))</f>
        <v>409.10000000000019</v>
      </c>
      <c r="CU96" s="18">
        <f>CT96*VLOOKUP('Données projet'!$B$13,Paramètres!$A$1:$I$89,3,0)*VLOOKUP('Données projet'!$B$13,Paramètres!$A$1:$I$89,5,0)</f>
        <v>196.7771000000001</v>
      </c>
      <c r="CV96" s="14">
        <f t="shared" si="95"/>
        <v>49.035203549877203</v>
      </c>
      <c r="CW96" s="22">
        <f t="shared" si="67"/>
        <v>428.12309534936963</v>
      </c>
      <c r="CX96" s="61">
        <f t="shared" si="68"/>
        <v>721.45642868270295</v>
      </c>
      <c r="CY96" s="61">
        <f ca="1">AVERAGE(OFFSET($CX$3,0,0,'Données projet'!$E$13+1,1))-AVERAGE(OFFSET($H$3,0,0,'Données projet'!$E$13+1,1))</f>
        <v>273.72618036666552</v>
      </c>
      <c r="CZ96" s="61">
        <f t="shared" si="96"/>
        <v>157.67999791700714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3.7179487179487181</v>
      </c>
      <c r="DO96" s="13">
        <f>IF('Données projet'!$A$166&gt;35,DO95+DN96-DW95,IF(A96&lt;'Données projet'!$A$166,$DL$205^A96,IF(A96='Données projet'!$A$166,'Données projet'!$B$166,DO95+DN96-DW95)))</f>
        <v>282.30769230769243</v>
      </c>
      <c r="DP96" s="18">
        <f>DO96*VLOOKUP('Données projet'!$B$14,Paramètres!$A$1:$I$89,3,0)*VLOOKUP('Données projet'!$B$14,Paramètres!$A$1:$I$89,5,0)</f>
        <v>189.37200000000007</v>
      </c>
      <c r="DQ96" s="14">
        <f t="shared" si="97"/>
        <v>47.401084226295815</v>
      </c>
      <c r="DR96" s="22">
        <f t="shared" si="70"/>
        <v>412.37978836079861</v>
      </c>
      <c r="DS96" s="61">
        <f t="shared" si="71"/>
        <v>705.71312169413193</v>
      </c>
      <c r="DT96" s="61">
        <f ca="1">AVERAGE(OFFSET($DS$3,0,0,'Données projet'!$E$14+1,1))-AVERAGE(OFFSET($H$3,0,0,'Données projet'!$E$14+1,1))</f>
        <v>312.06797204903796</v>
      </c>
      <c r="DU96" s="61">
        <f t="shared" si="98"/>
        <v>258.20189001775151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1.4210854715202004E-13</v>
      </c>
      <c r="EK96" s="18">
        <f>EJ96*VLOOKUP('Données projet'!$B$15,Paramètres!$A$1:$I$89,3,0)*VLOOKUP('Données projet'!$B$15,Paramètres!$A$1:$I$89,5,0)</f>
        <v>1.1527845344971866E-13</v>
      </c>
      <c r="EL96" s="14">
        <f t="shared" si="99"/>
        <v>1.7033846239409443E-12</v>
      </c>
      <c r="EM96" s="22">
        <f t="shared" si="73"/>
        <v>3.1675048597887374E-12</v>
      </c>
      <c r="EN96" s="61">
        <f t="shared" si="74"/>
        <v>293.3333333333365</v>
      </c>
      <c r="EO96" s="61">
        <f ca="1">AVERAGE(OFFSET($EN$3,0,0,'Données projet'!$E$15+1,1))-AVERAGE(OFFSET($H$3,0,0,'Données projet'!$E$15+1,1))</f>
        <v>222.15256609836689</v>
      </c>
      <c r="EP96" s="61">
        <f t="shared" si="100"/>
        <v>221.10360210521077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1.1368683772161603E-13</v>
      </c>
      <c r="FF96" s="18">
        <f>FE96*VLOOKUP('Données projet'!$B$16,Paramètres!$A$1:$I$89,3,0)*VLOOKUP('Données projet'!$B$16,Paramètres!$A$1:$I$89,5,0)</f>
        <v>8.8675733422860506E-14</v>
      </c>
      <c r="FG96" s="14">
        <f t="shared" si="101"/>
        <v>1.3509285393066301E-12</v>
      </c>
      <c r="FH96" s="22">
        <f t="shared" si="76"/>
        <v>2.5073107750038623E-12</v>
      </c>
      <c r="FI96" s="61">
        <f t="shared" si="77"/>
        <v>293.33333333333582</v>
      </c>
      <c r="FJ96" s="61">
        <f ca="1">AVERAGE(OFFSET($FI$3,0,0,'Données projet'!$E$16+1,1))-AVERAGE(OFFSET($H$3,0,0,'Données projet'!$E$16+1,1))</f>
        <v>292.57482726862594</v>
      </c>
      <c r="FK96" s="61">
        <f t="shared" si="102"/>
        <v>283.48738729114024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4.9000000000000004</v>
      </c>
      <c r="FZ96" s="13">
        <f>IF('Données projet'!$A$244&gt;35,FZ95+FY96-GH95,IF(A96&lt;'Données projet'!$A$244,$FW$205^A96,IF(A96='Données projet'!$A$244,'Données projet'!$B$244,FZ95+FY96-GH95)))</f>
        <v>268.7</v>
      </c>
      <c r="GA96" s="18">
        <f>FZ96*VLOOKUP('Données projet'!$B$17,Paramètres!$A$1:$I$89,3,0)*VLOOKUP('Données projet'!$B$17,Paramètres!$A$1:$I$89,5,0)</f>
        <v>259.88664</v>
      </c>
      <c r="GB96" s="14">
        <f t="shared" si="103"/>
        <v>62.698213571884004</v>
      </c>
      <c r="GC96" s="22">
        <f t="shared" si="79"/>
        <v>561.835286637698</v>
      </c>
      <c r="GD96" s="61">
        <f t="shared" si="80"/>
        <v>855.16861997103138</v>
      </c>
      <c r="GE96" s="61">
        <f ca="1">AVERAGE(OFFSET($GD$3,0,0,'Données projet'!$E$17+1,1))-AVERAGE(OFFSET($H$3,0,0,'Données projet'!$E$17+1,1))</f>
        <v>455.50822833641354</v>
      </c>
      <c r="GF96" s="61">
        <f t="shared" si="104"/>
        <v>261.14722581688039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0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0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4.9000000000000004</v>
      </c>
      <c r="GU96" s="13">
        <f>IF('Données projet'!$A$270&gt;35,GU95+GT96-HC95,IF(A96&lt;'Données projet'!$A$270,$GR$205^A96,IF(A96='Données projet'!$A$270,'Données projet'!$B$270,GU95+GT96-HC95)))</f>
        <v>268.7</v>
      </c>
      <c r="GV96" s="18">
        <f>GU96*VLOOKUP('Données projet'!$B$18,Paramètres!$A$1:$I$89,3,0)*VLOOKUP('Données projet'!$B$18,Paramètres!$A$1:$I$89,5,0)</f>
        <v>289.22868</v>
      </c>
      <c r="GW96" s="14">
        <f t="shared" si="105"/>
        <v>68.913598231220931</v>
      </c>
      <c r="GX96" s="22">
        <f t="shared" si="82"/>
        <v>623.76446791937644</v>
      </c>
      <c r="GY96" s="61">
        <f t="shared" si="83"/>
        <v>917.09780125270981</v>
      </c>
      <c r="GZ96" s="61">
        <f ca="1">AVERAGE(OFFSET($GY$3,0,0,'Données projet'!$E$18+1,1))-AVERAGE(OFFSET($H$3,0,0,'Données projet'!$E$18+1,1))</f>
        <v>502.07782026233912</v>
      </c>
      <c r="HA96" s="61">
        <f t="shared" si="106"/>
        <v>285.83623046025156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0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0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247.55327999999994</v>
      </c>
      <c r="P97" s="14">
        <f t="shared" si="87"/>
        <v>60.061713068870255</v>
      </c>
      <c r="Q97" s="22">
        <f t="shared" si="54"/>
        <v>535.76277959494894</v>
      </c>
      <c r="R97" s="61">
        <f t="shared" si="55"/>
        <v>829.09611292828231</v>
      </c>
      <c r="S97" s="61">
        <f ca="1">AVERAGE(OFFSET($R$3,0,0,'Données projet'!$E$9+1,1))-AVERAGE(OFFSET($H$3,0,0,'Données projet'!$E$9+1,1))</f>
        <v>428.8489304403459</v>
      </c>
      <c r="T97" s="61">
        <f t="shared" si="88"/>
        <v>247.01165577562966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1">
        <f t="shared" si="59"/>
        <v>892.21253573041304</v>
      </c>
      <c r="AN97" s="61">
        <f ca="1">AVERAGE(OFFSET($AM$3,0,0,'Données projet'!$E$10+1,1))-AVERAGE(OFFSET($H$3,0,0,'Données projet'!$E$10+1,1))</f>
        <v>475.47920969424894</v>
      </c>
      <c r="AO97" s="61">
        <f t="shared" si="90"/>
        <v>271.73544012419364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-3.4106051316484809E-13</v>
      </c>
      <c r="BE97" s="14">
        <f>BD97*VLOOKUP('Données projet'!$B$11,Paramètres!$A$1:$I$89,3,0)*VLOOKUP('Données projet'!$B$11,Paramètres!$A$1:$I$89,5,0)</f>
        <v>-1.9065282685915009E-13</v>
      </c>
      <c r="BF97" s="14" t="e">
        <f t="shared" si="91"/>
        <v>#NUM!</v>
      </c>
      <c r="BG97" s="22" t="e">
        <f t="shared" si="61"/>
        <v>#NUM!</v>
      </c>
      <c r="BH97" s="61" t="e">
        <f t="shared" si="62"/>
        <v>#NUM!</v>
      </c>
      <c r="BI97" s="61">
        <f ca="1">AVERAGE(OFFSET($BH$3,0,0,'Données projet'!$E$11+1,1))-AVERAGE(OFFSET($H$3,0,0,'Données projet'!$E$11+1,1))</f>
        <v>374.79806286316051</v>
      </c>
      <c r="BJ97" s="61">
        <f t="shared" si="92"/>
        <v>350.01856672839466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3.7763493272695143</v>
      </c>
      <c r="BR97" s="23">
        <f>EXP(-LN(2)/2)*BR96+(1-EXP(-LN(2)/2))/(LN(2)/2)*BL97*BO97*VLOOKUP('Données projet'!$B$11,Paramètres!$A$1:$I$89,3,0)*0.475*44/12</f>
        <v>2.5629487451364544E-9</v>
      </c>
      <c r="BS97" s="24">
        <f t="shared" si="63"/>
        <v>3.7763493298324633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8.7211538461538449</v>
      </c>
      <c r="BY97" s="13">
        <f>IF('Données projet'!$A$114&gt;35,BY96+BX97-CG96,IF(A97&lt;'Données projet'!$A$114,$BV$205^A97,IF(A97='Données projet'!$A$114,'Données projet'!$B$114,BY96+BX97-CG96)))</f>
        <v>372.11346153846159</v>
      </c>
      <c r="BZ97" s="14">
        <f>BY97*VLOOKUP('Données projet'!$B$12,Paramètres!$A$1:$I$89,3,0)*VLOOKUP('Données projet'!$B$12,Paramètres!$A$1:$I$89,5,0)</f>
        <v>174.14910000000003</v>
      </c>
      <c r="CA97" s="14">
        <f t="shared" si="93"/>
        <v>44.017975824904816</v>
      </c>
      <c r="CB97" s="22">
        <f t="shared" si="64"/>
        <v>379.97432372837596</v>
      </c>
      <c r="CC97" s="61">
        <f t="shared" si="65"/>
        <v>673.30765706170928</v>
      </c>
      <c r="CD97" s="61">
        <f ca="1">AVERAGE(OFFSET($CC$3,0,0,'Données projet'!$E$12+1,1))-AVERAGE(OFFSET($H$3,0,0,'Données projet'!$E$12+1,1))</f>
        <v>285.59863510278109</v>
      </c>
      <c r="CE97" s="61">
        <f t="shared" si="94"/>
        <v>190.4880882944471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12.7</v>
      </c>
      <c r="CT97" s="13">
        <f>IF('Données projet'!$A$140&gt;35,CT96+CS97-DB96,IF(A97&lt;'Données projet'!$A$140,$CQ$205^A97,IF(A97='Données projet'!$A$140,'Données projet'!$B$140,CT96+CS97-DB96)))</f>
        <v>421.80000000000018</v>
      </c>
      <c r="CU97" s="18">
        <f>CT97*VLOOKUP('Données projet'!$B$13,Paramètres!$A$1:$I$89,3,0)*VLOOKUP('Données projet'!$B$13,Paramètres!$A$1:$I$89,5,0)</f>
        <v>202.88580000000007</v>
      </c>
      <c r="CV97" s="14">
        <f t="shared" si="95"/>
        <v>50.377849468625698</v>
      </c>
      <c r="CW97" s="22">
        <f t="shared" si="67"/>
        <v>441.10085615785653</v>
      </c>
      <c r="CX97" s="61">
        <f t="shared" si="68"/>
        <v>734.43418949118984</v>
      </c>
      <c r="CY97" s="61">
        <f ca="1">AVERAGE(OFFSET($CX$3,0,0,'Données projet'!$E$13+1,1))-AVERAGE(OFFSET($H$3,0,0,'Données projet'!$E$13+1,1))</f>
        <v>273.72618036666552</v>
      </c>
      <c r="CZ97" s="61">
        <f t="shared" si="96"/>
        <v>157.67999791700714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3.7179487179487181</v>
      </c>
      <c r="DO97" s="13">
        <f>IF('Données projet'!$A$166&gt;35,DO96+DN97-DW96,IF(A97&lt;'Données projet'!$A$166,$DL$205^A97,IF(A97='Données projet'!$A$166,'Données projet'!$B$166,DO96+DN97-DW96)))</f>
        <v>286.02564102564116</v>
      </c>
      <c r="DP97" s="18">
        <f>DO97*VLOOKUP('Données projet'!$B$14,Paramètres!$A$1:$I$89,3,0)*VLOOKUP('Données projet'!$B$14,Paramètres!$A$1:$I$89,5,0)</f>
        <v>191.8660000000001</v>
      </c>
      <c r="DQ97" s="14">
        <f t="shared" si="97"/>
        <v>47.952264009442366</v>
      </c>
      <c r="DR97" s="22">
        <f t="shared" si="70"/>
        <v>417.6834764831122</v>
      </c>
      <c r="DS97" s="61">
        <f t="shared" si="71"/>
        <v>711.01680981644552</v>
      </c>
      <c r="DT97" s="61">
        <f ca="1">AVERAGE(OFFSET($DS$3,0,0,'Données projet'!$E$14+1,1))-AVERAGE(OFFSET($H$3,0,0,'Données projet'!$E$14+1,1))</f>
        <v>312.06797204903796</v>
      </c>
      <c r="DU97" s="61">
        <f t="shared" si="98"/>
        <v>258.20189001775151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1.4210854715202004E-13</v>
      </c>
      <c r="EK97" s="18">
        <f>EJ97*VLOOKUP('Données projet'!$B$15,Paramètres!$A$1:$I$89,3,0)*VLOOKUP('Données projet'!$B$15,Paramètres!$A$1:$I$89,5,0)</f>
        <v>1.1527845344971866E-13</v>
      </c>
      <c r="EL97" s="14">
        <f t="shared" si="99"/>
        <v>1.7033846239409443E-12</v>
      </c>
      <c r="EM97" s="22">
        <f t="shared" si="73"/>
        <v>3.1675048597887374E-12</v>
      </c>
      <c r="EN97" s="61">
        <f t="shared" si="74"/>
        <v>293.3333333333365</v>
      </c>
      <c r="EO97" s="61">
        <f ca="1">AVERAGE(OFFSET($EN$3,0,0,'Données projet'!$E$15+1,1))-AVERAGE(OFFSET($H$3,0,0,'Données projet'!$E$15+1,1))</f>
        <v>222.15256609836689</v>
      </c>
      <c r="EP97" s="61">
        <f t="shared" si="100"/>
        <v>221.10360210521077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1.1368683772161603E-13</v>
      </c>
      <c r="FF97" s="18">
        <f>FE97*VLOOKUP('Données projet'!$B$16,Paramètres!$A$1:$I$89,3,0)*VLOOKUP('Données projet'!$B$16,Paramètres!$A$1:$I$89,5,0)</f>
        <v>8.8675733422860506E-14</v>
      </c>
      <c r="FG97" s="14">
        <f t="shared" si="101"/>
        <v>1.3509285393066301E-12</v>
      </c>
      <c r="FH97" s="22">
        <f t="shared" si="76"/>
        <v>2.5073107750038623E-12</v>
      </c>
      <c r="FI97" s="61">
        <f t="shared" si="77"/>
        <v>293.33333333333582</v>
      </c>
      <c r="FJ97" s="61">
        <f ca="1">AVERAGE(OFFSET($FI$3,0,0,'Données projet'!$E$16+1,1))-AVERAGE(OFFSET($H$3,0,0,'Données projet'!$E$16+1,1))</f>
        <v>292.57482726862594</v>
      </c>
      <c r="FK97" s="61">
        <f t="shared" si="102"/>
        <v>283.48738729114024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4.9000000000000004</v>
      </c>
      <c r="FZ97" s="13">
        <f>IF('Données projet'!$A$244&gt;35,FZ96+FY97-GH96,IF(A97&lt;'Données projet'!$A$244,$FW$205^A97,IF(A97='Données projet'!$A$244,'Données projet'!$B$244,FZ96+FY97-GH96)))</f>
        <v>273.59999999999997</v>
      </c>
      <c r="GA97" s="18">
        <f>FZ97*VLOOKUP('Données projet'!$B$17,Paramètres!$A$1:$I$89,3,0)*VLOOKUP('Données projet'!$B$17,Paramètres!$A$1:$I$89,5,0)</f>
        <v>264.62591999999995</v>
      </c>
      <c r="GB97" s="14">
        <f t="shared" si="103"/>
        <v>63.707422801198604</v>
      </c>
      <c r="GC97" s="22">
        <f t="shared" si="79"/>
        <v>571.84723871208746</v>
      </c>
      <c r="GD97" s="61">
        <f t="shared" si="80"/>
        <v>865.18057204542083</v>
      </c>
      <c r="GE97" s="61">
        <f ca="1">AVERAGE(OFFSET($GD$3,0,0,'Données projet'!$E$17+1,1))-AVERAGE(OFFSET($H$3,0,0,'Données projet'!$E$17+1,1))</f>
        <v>455.50822833641354</v>
      </c>
      <c r="GF97" s="61">
        <f t="shared" si="104"/>
        <v>261.14722581688039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0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0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4.9000000000000004</v>
      </c>
      <c r="GU97" s="13">
        <f>IF('Données projet'!$A$270&gt;35,GU96+GT97-HC96,IF(A97&lt;'Données projet'!$A$270,$GR$205^A97,IF(A97='Données projet'!$A$270,'Données projet'!$B$270,GU96+GT97-HC96)))</f>
        <v>273.59999999999997</v>
      </c>
      <c r="GV97" s="18">
        <f>GU97*VLOOKUP('Données projet'!$B$18,Paramètres!$A$1:$I$89,3,0)*VLOOKUP('Données projet'!$B$18,Paramètres!$A$1:$I$89,5,0)</f>
        <v>294.50303999999994</v>
      </c>
      <c r="GW97" s="14">
        <f t="shared" si="105"/>
        <v>70.022852154069838</v>
      </c>
      <c r="GX97" s="22">
        <f t="shared" si="82"/>
        <v>634.88259550167152</v>
      </c>
      <c r="GY97" s="61">
        <f t="shared" si="83"/>
        <v>928.21592883500489</v>
      </c>
      <c r="GZ97" s="61">
        <f ca="1">AVERAGE(OFFSET($GY$3,0,0,'Données projet'!$E$18+1,1))-AVERAGE(OFFSET($H$3,0,0,'Données projet'!$E$18+1,1))</f>
        <v>502.07782026233912</v>
      </c>
      <c r="HA97" s="61">
        <f t="shared" si="106"/>
        <v>285.83623046025156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0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0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251.98679999999993</v>
      </c>
      <c r="P98" s="14">
        <f t="shared" si="87"/>
        <v>61.011187970195053</v>
      </c>
      <c r="Q98" s="22">
        <f t="shared" si="54"/>
        <v>545.13816238142283</v>
      </c>
      <c r="R98" s="61">
        <f t="shared" si="55"/>
        <v>838.4714957147562</v>
      </c>
      <c r="S98" s="61">
        <f ca="1">AVERAGE(OFFSET($R$3,0,0,'Données projet'!$E$9+1,1))-AVERAGE(OFFSET($H$3,0,0,'Données projet'!$E$9+1,1))</f>
        <v>428.8489304403459</v>
      </c>
      <c r="T98" s="61">
        <f t="shared" si="88"/>
        <v>247.01165577562966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1">
        <f t="shared" si="59"/>
        <v>902.69501266160501</v>
      </c>
      <c r="AN98" s="61">
        <f ca="1">AVERAGE(OFFSET($AM$3,0,0,'Données projet'!$E$10+1,1))-AVERAGE(OFFSET($H$3,0,0,'Données projet'!$E$10+1,1))</f>
        <v>475.47920969424894</v>
      </c>
      <c r="AO98" s="61">
        <f t="shared" si="90"/>
        <v>271.73544012419364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-3.4106051316484809E-13</v>
      </c>
      <c r="BE98" s="14">
        <f>BD98*VLOOKUP('Données projet'!$B$11,Paramètres!$A$1:$I$89,3,0)*VLOOKUP('Données projet'!$B$11,Paramètres!$A$1:$I$89,5,0)</f>
        <v>-1.9065282685915009E-13</v>
      </c>
      <c r="BF98" s="14" t="e">
        <f t="shared" si="91"/>
        <v>#NUM!</v>
      </c>
      <c r="BG98" s="22" t="e">
        <f t="shared" si="61"/>
        <v>#NUM!</v>
      </c>
      <c r="BH98" s="61" t="e">
        <f t="shared" si="62"/>
        <v>#NUM!</v>
      </c>
      <c r="BI98" s="61">
        <f ca="1">AVERAGE(OFFSET($BH$3,0,0,'Données projet'!$E$11+1,1))-AVERAGE(OFFSET($H$3,0,0,'Données projet'!$E$11+1,1))</f>
        <v>374.79806286316051</v>
      </c>
      <c r="BJ98" s="61">
        <f t="shared" si="92"/>
        <v>350.01856672839466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3.6730848563257492</v>
      </c>
      <c r="BR98" s="23">
        <f>EXP(-LN(2)/2)*BR97+(1-EXP(-LN(2)/2))/(LN(2)/2)*BL98*BO98*VLOOKUP('Données projet'!$B$11,Paramètres!$A$1:$I$89,3,0)*0.475*44/12</f>
        <v>1.8122784375195396E-9</v>
      </c>
      <c r="BS98" s="24">
        <f t="shared" si="63"/>
        <v>3.6730848581380275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8.7211538461538449</v>
      </c>
      <c r="BY98" s="13">
        <f>IF('Données projet'!$A$114&gt;35,BY97+BX98-CG97,IF(A98&lt;'Données projet'!$A$114,$BV$205^A98,IF(A98='Données projet'!$A$114,'Données projet'!$B$114,BY97+BX98-CG97)))</f>
        <v>380.83461538461546</v>
      </c>
      <c r="BZ98" s="14">
        <f>BY98*VLOOKUP('Données projet'!$B$12,Paramètres!$A$1:$I$89,3,0)*VLOOKUP('Données projet'!$B$12,Paramètres!$A$1:$I$89,5,0)</f>
        <v>178.23060000000004</v>
      </c>
      <c r="CA98" s="14">
        <f t="shared" si="93"/>
        <v>44.92830122304332</v>
      </c>
      <c r="CB98" s="22">
        <f t="shared" si="64"/>
        <v>388.66841963013377</v>
      </c>
      <c r="CC98" s="61">
        <f t="shared" si="65"/>
        <v>682.00175296346708</v>
      </c>
      <c r="CD98" s="61">
        <f ca="1">AVERAGE(OFFSET($CC$3,0,0,'Données projet'!$E$12+1,1))-AVERAGE(OFFSET($H$3,0,0,'Données projet'!$E$12+1,1))</f>
        <v>285.59863510278109</v>
      </c>
      <c r="CE98" s="61">
        <f t="shared" si="94"/>
        <v>190.4880882944471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12.7</v>
      </c>
      <c r="CT98" s="13">
        <f>IF('Données projet'!$A$140&gt;35,CT97+CS98-DB97,IF(A98&lt;'Données projet'!$A$140,$CQ$205^A98,IF(A98='Données projet'!$A$140,'Données projet'!$B$140,CT97+CS98-DB97)))</f>
        <v>434.50000000000017</v>
      </c>
      <c r="CU98" s="18">
        <f>CT98*VLOOKUP('Données projet'!$B$13,Paramètres!$A$1:$I$89,3,0)*VLOOKUP('Données projet'!$B$13,Paramètres!$A$1:$I$89,5,0)</f>
        <v>208.9945000000001</v>
      </c>
      <c r="CV98" s="14">
        <f t="shared" si="95"/>
        <v>51.715797310202156</v>
      </c>
      <c r="CW98" s="22">
        <f t="shared" si="67"/>
        <v>454.07043448193554</v>
      </c>
      <c r="CX98" s="61">
        <f t="shared" si="68"/>
        <v>747.40376781526879</v>
      </c>
      <c r="CY98" s="61">
        <f ca="1">AVERAGE(OFFSET($CX$3,0,0,'Données projet'!$E$13+1,1))-AVERAGE(OFFSET($H$3,0,0,'Données projet'!$E$13+1,1))</f>
        <v>273.72618036666552</v>
      </c>
      <c r="CZ98" s="61">
        <f t="shared" si="96"/>
        <v>157.67999791700714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289.74358974358972</v>
      </c>
      <c r="DM98" s="13">
        <f>VLOOKUP(A98,'Données projet'!$A$165:$I$185,9,0)</f>
        <v>3.7179487179487181</v>
      </c>
      <c r="DN98" s="13">
        <f t="array" ref="DN98">INDEX(DM:DM,MIN(IF(ISNUMBER(DM98:DM294),ROW(DM98:DM294),"")))</f>
        <v>3.7179487179487181</v>
      </c>
      <c r="DO98" s="13">
        <f>IF('Données projet'!$A$166&gt;35,DO97+DN98-DW97,IF(A98&lt;'Données projet'!$A$166,$DL$205^A98,IF(A98='Données projet'!$A$166,'Données projet'!$B$166,DO97+DN98-DW97)))</f>
        <v>289.74358974358989</v>
      </c>
      <c r="DP98" s="18">
        <f>DO98*VLOOKUP('Données projet'!$B$14,Paramètres!$A$1:$I$89,3,0)*VLOOKUP('Données projet'!$B$14,Paramètres!$A$1:$I$89,5,0)</f>
        <v>194.3600000000001</v>
      </c>
      <c r="DQ98" s="14">
        <f t="shared" si="97"/>
        <v>48.502610439386679</v>
      </c>
      <c r="DR98" s="22">
        <f t="shared" si="70"/>
        <v>422.98571318193194</v>
      </c>
      <c r="DS98" s="61">
        <f t="shared" si="71"/>
        <v>716.3190465152652</v>
      </c>
      <c r="DT98" s="61">
        <f ca="1">AVERAGE(OFFSET($DS$3,0,0,'Données projet'!$E$14+1,1))-AVERAGE(OFFSET($H$3,0,0,'Données projet'!$E$14+1,1))</f>
        <v>312.06797204903796</v>
      </c>
      <c r="DU98" s="61">
        <f t="shared" si="98"/>
        <v>258.20189001775151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1.4210854715202004E-13</v>
      </c>
      <c r="EK98" s="18">
        <f>EJ98*VLOOKUP('Données projet'!$B$15,Paramètres!$A$1:$I$89,3,0)*VLOOKUP('Données projet'!$B$15,Paramètres!$A$1:$I$89,5,0)</f>
        <v>1.1527845344971866E-13</v>
      </c>
      <c r="EL98" s="14">
        <f t="shared" si="99"/>
        <v>1.7033846239409443E-12</v>
      </c>
      <c r="EM98" s="22">
        <f t="shared" si="73"/>
        <v>3.1675048597887374E-12</v>
      </c>
      <c r="EN98" s="61">
        <f t="shared" si="74"/>
        <v>293.3333333333365</v>
      </c>
      <c r="EO98" s="61">
        <f ca="1">AVERAGE(OFFSET($EN$3,0,0,'Données projet'!$E$15+1,1))-AVERAGE(OFFSET($H$3,0,0,'Données projet'!$E$15+1,1))</f>
        <v>222.15256609836689</v>
      </c>
      <c r="EP98" s="61">
        <f t="shared" si="100"/>
        <v>221.10360210521077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1.1368683772161603E-13</v>
      </c>
      <c r="FF98" s="18">
        <f>FE98*VLOOKUP('Données projet'!$B$16,Paramètres!$A$1:$I$89,3,0)*VLOOKUP('Données projet'!$B$16,Paramètres!$A$1:$I$89,5,0)</f>
        <v>8.8675733422860506E-14</v>
      </c>
      <c r="FG98" s="14">
        <f t="shared" si="101"/>
        <v>1.3509285393066301E-12</v>
      </c>
      <c r="FH98" s="22">
        <f t="shared" si="76"/>
        <v>2.5073107750038623E-12</v>
      </c>
      <c r="FI98" s="61">
        <f t="shared" si="77"/>
        <v>293.33333333333582</v>
      </c>
      <c r="FJ98" s="61">
        <f ca="1">AVERAGE(OFFSET($FI$3,0,0,'Données projet'!$E$16+1,1))-AVERAGE(OFFSET($H$3,0,0,'Données projet'!$E$16+1,1))</f>
        <v>292.57482726862594</v>
      </c>
      <c r="FK98" s="61">
        <f t="shared" si="102"/>
        <v>283.48738729114024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4.9000000000000004</v>
      </c>
      <c r="FZ98" s="13">
        <f>IF('Données projet'!$A$244&gt;35,FZ97+FY98-GH97,IF(A98&lt;'Données projet'!$A$244,$FW$205^A98,IF(A98='Données projet'!$A$244,'Données projet'!$B$244,FZ97+FY98-GH97)))</f>
        <v>278.49999999999994</v>
      </c>
      <c r="GA98" s="18">
        <f>FZ98*VLOOKUP('Données projet'!$B$17,Paramètres!$A$1:$I$89,3,0)*VLOOKUP('Données projet'!$B$17,Paramètres!$A$1:$I$89,5,0)</f>
        <v>269.36519999999996</v>
      </c>
      <c r="GB98" s="14">
        <f t="shared" si="103"/>
        <v>64.714530255967034</v>
      </c>
      <c r="GC98" s="22">
        <f t="shared" si="79"/>
        <v>581.85553019580914</v>
      </c>
      <c r="GD98" s="61">
        <f t="shared" si="80"/>
        <v>875.18886352914251</v>
      </c>
      <c r="GE98" s="61">
        <f ca="1">AVERAGE(OFFSET($GD$3,0,0,'Données projet'!$E$17+1,1))-AVERAGE(OFFSET($H$3,0,0,'Données projet'!$E$17+1,1))</f>
        <v>455.50822833641354</v>
      </c>
      <c r="GF98" s="61">
        <f t="shared" si="104"/>
        <v>261.14722581688039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0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0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4.9000000000000004</v>
      </c>
      <c r="GU98" s="13">
        <f>IF('Données projet'!$A$270&gt;35,GU97+GT98-HC97,IF(A98&lt;'Données projet'!$A$270,$GR$205^A98,IF(A98='Données projet'!$A$270,'Données projet'!$B$270,GU97+GT98-HC97)))</f>
        <v>278.49999999999994</v>
      </c>
      <c r="GV98" s="18">
        <f>GU98*VLOOKUP('Données projet'!$B$18,Paramètres!$A$1:$I$89,3,0)*VLOOKUP('Données projet'!$B$18,Paramètres!$A$1:$I$89,5,0)</f>
        <v>299.77739999999989</v>
      </c>
      <c r="GW98" s="14">
        <f t="shared" si="105"/>
        <v>71.129795949749251</v>
      </c>
      <c r="GX98" s="22">
        <f t="shared" si="82"/>
        <v>645.9966996124798</v>
      </c>
      <c r="GY98" s="61">
        <f t="shared" si="83"/>
        <v>939.33003294581317</v>
      </c>
      <c r="GZ98" s="61">
        <f ca="1">AVERAGE(OFFSET($GY$3,0,0,'Données projet'!$E$18+1,1))-AVERAGE(OFFSET($H$3,0,0,'Données projet'!$E$18+1,1))</f>
        <v>502.07782026233912</v>
      </c>
      <c r="HA98" s="61">
        <f t="shared" si="106"/>
        <v>285.83623046025156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0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0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256.42031999999989</v>
      </c>
      <c r="P99" s="14">
        <f t="shared" si="87"/>
        <v>61.958720258016918</v>
      </c>
      <c r="Q99" s="22">
        <f t="shared" ref="Q99:Q130" si="107">(O99+P99)*0.475*44/12</f>
        <v>554.51016178271254</v>
      </c>
      <c r="R99" s="61">
        <f t="shared" si="55"/>
        <v>847.84349511604591</v>
      </c>
      <c r="S99" s="61">
        <f ca="1">AVERAGE(OFFSET($R$3,0,0,'Données projet'!$E$9+1,1))-AVERAGE(OFFSET($H$3,0,0,'Données projet'!$E$9+1,1))</f>
        <v>428.8489304403459</v>
      </c>
      <c r="T99" s="61">
        <f t="shared" si="88"/>
        <v>247.01165577562966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1">
        <f t="shared" si="59"/>
        <v>913.17374782605907</v>
      </c>
      <c r="AN99" s="61">
        <f ca="1">AVERAGE(OFFSET($AM$3,0,0,'Données projet'!$E$10+1,1))-AVERAGE(OFFSET($H$3,0,0,'Données projet'!$E$10+1,1))</f>
        <v>475.47920969424894</v>
      </c>
      <c r="AO99" s="61">
        <f t="shared" si="90"/>
        <v>271.73544012419364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-3.4106051316484809E-13</v>
      </c>
      <c r="BE99" s="14">
        <f>BD99*VLOOKUP('Données projet'!$B$11,Paramètres!$A$1:$I$89,3,0)*VLOOKUP('Données projet'!$B$11,Paramètres!$A$1:$I$89,5,0)</f>
        <v>-1.9065282685915009E-13</v>
      </c>
      <c r="BF99" s="14" t="e">
        <f t="shared" si="91"/>
        <v>#NUM!</v>
      </c>
      <c r="BG99" s="22" t="e">
        <f t="shared" si="61"/>
        <v>#NUM!</v>
      </c>
      <c r="BH99" s="61" t="e">
        <f t="shared" si="62"/>
        <v>#NUM!</v>
      </c>
      <c r="BI99" s="61">
        <f ca="1">AVERAGE(OFFSET($BH$3,0,0,'Données projet'!$E$11+1,1))-AVERAGE(OFFSET($H$3,0,0,'Données projet'!$E$11+1,1))</f>
        <v>374.79806286316051</v>
      </c>
      <c r="BJ99" s="61">
        <f t="shared" si="92"/>
        <v>350.01856672839466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3.5726441577703838</v>
      </c>
      <c r="BR99" s="23">
        <f>EXP(-LN(2)/2)*BR98+(1-EXP(-LN(2)/2))/(LN(2)/2)*BL99*BO99*VLOOKUP('Données projet'!$B$11,Paramètres!$A$1:$I$89,3,0)*0.475*44/12</f>
        <v>1.2814743725682274E-9</v>
      </c>
      <c r="BS99" s="24">
        <f t="shared" si="63"/>
        <v>3.5726441590518583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8.7211538461538449</v>
      </c>
      <c r="BY99" s="13">
        <f>IF('Données projet'!$A$114&gt;35,BY98+BX99-CG98,IF(A99&lt;'Données projet'!$A$114,$BV$205^A99,IF(A99='Données projet'!$A$114,'Données projet'!$B$114,BY98+BX99-CG98)))</f>
        <v>389.55576923076933</v>
      </c>
      <c r="BZ99" s="14">
        <f>BY99*VLOOKUP('Données projet'!$B$12,Paramètres!$A$1:$I$89,3,0)*VLOOKUP('Données projet'!$B$12,Paramètres!$A$1:$I$89,5,0)</f>
        <v>182.31210000000004</v>
      </c>
      <c r="CA99" s="14">
        <f t="shared" si="93"/>
        <v>45.836203090068075</v>
      </c>
      <c r="CB99" s="22">
        <f t="shared" si="64"/>
        <v>397.3582945485353</v>
      </c>
      <c r="CC99" s="61">
        <f t="shared" si="65"/>
        <v>690.69162788186861</v>
      </c>
      <c r="CD99" s="61">
        <f ca="1">AVERAGE(OFFSET($CC$3,0,0,'Données projet'!$E$12+1,1))-AVERAGE(OFFSET($H$3,0,0,'Données projet'!$E$12+1,1))</f>
        <v>285.59863510278109</v>
      </c>
      <c r="CE99" s="61">
        <f t="shared" si="94"/>
        <v>190.4880882944471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12.7</v>
      </c>
      <c r="CT99" s="13">
        <f>IF('Données projet'!$A$140&gt;35,CT98+CS99-DB98,IF(A99&lt;'Données projet'!$A$140,$CQ$205^A99,IF(A99='Données projet'!$A$140,'Données projet'!$B$140,CT98+CS99-DB98)))</f>
        <v>447.20000000000016</v>
      </c>
      <c r="CU99" s="18">
        <f>CT99*VLOOKUP('Données projet'!$B$13,Paramètres!$A$1:$I$89,3,0)*VLOOKUP('Données projet'!$B$13,Paramètres!$A$1:$I$89,5,0)</f>
        <v>215.10320000000007</v>
      </c>
      <c r="CV99" s="14">
        <f t="shared" si="95"/>
        <v>53.049200162450404</v>
      </c>
      <c r="CW99" s="22">
        <f t="shared" si="67"/>
        <v>467.03209694960123</v>
      </c>
      <c r="CX99" s="61">
        <f t="shared" si="68"/>
        <v>760.36543028293454</v>
      </c>
      <c r="CY99" s="61">
        <f ca="1">AVERAGE(OFFSET($CX$3,0,0,'Données projet'!$E$13+1,1))-AVERAGE(OFFSET($H$3,0,0,'Données projet'!$E$13+1,1))</f>
        <v>273.72618036666552</v>
      </c>
      <c r="CZ99" s="61">
        <f t="shared" si="96"/>
        <v>157.67999791700714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3.5897435897435912</v>
      </c>
      <c r="DO99" s="13">
        <f>IF('Données projet'!$A$166&gt;35,DO98+DN99-DW98,IF(A99&lt;'Données projet'!$A$166,$DL$205^A99,IF(A99='Données projet'!$A$166,'Données projet'!$B$166,DO98+DN99-DW98)))</f>
        <v>293.33333333333348</v>
      </c>
      <c r="DP99" s="18">
        <f>DO99*VLOOKUP('Données projet'!$B$14,Paramètres!$A$1:$I$89,3,0)*VLOOKUP('Données projet'!$B$14,Paramètres!$A$1:$I$89,5,0)</f>
        <v>196.76800000000011</v>
      </c>
      <c r="DQ99" s="14">
        <f t="shared" si="97"/>
        <v>49.033199854505597</v>
      </c>
      <c r="DR99" s="22">
        <f t="shared" si="70"/>
        <v>428.10375641326408</v>
      </c>
      <c r="DS99" s="61">
        <f t="shared" si="71"/>
        <v>721.43708974659739</v>
      </c>
      <c r="DT99" s="61">
        <f ca="1">AVERAGE(OFFSET($DS$3,0,0,'Données projet'!$E$14+1,1))-AVERAGE(OFFSET($H$3,0,0,'Données projet'!$E$14+1,1))</f>
        <v>312.06797204903796</v>
      </c>
      <c r="DU99" s="61">
        <f t="shared" si="98"/>
        <v>258.20189001775151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1.4210854715202004E-13</v>
      </c>
      <c r="EK99" s="18">
        <f>EJ99*VLOOKUP('Données projet'!$B$15,Paramètres!$A$1:$I$89,3,0)*VLOOKUP('Données projet'!$B$15,Paramètres!$A$1:$I$89,5,0)</f>
        <v>1.1527845344971866E-13</v>
      </c>
      <c r="EL99" s="14">
        <f t="shared" si="99"/>
        <v>1.7033846239409443E-12</v>
      </c>
      <c r="EM99" s="22">
        <f t="shared" si="73"/>
        <v>3.1675048597887374E-12</v>
      </c>
      <c r="EN99" s="61">
        <f t="shared" si="74"/>
        <v>293.3333333333365</v>
      </c>
      <c r="EO99" s="61">
        <f ca="1">AVERAGE(OFFSET($EN$3,0,0,'Données projet'!$E$15+1,1))-AVERAGE(OFFSET($H$3,0,0,'Données projet'!$E$15+1,1))</f>
        <v>222.15256609836689</v>
      </c>
      <c r="EP99" s="61">
        <f t="shared" si="100"/>
        <v>221.10360210521077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1.1368683772161603E-13</v>
      </c>
      <c r="FF99" s="18">
        <f>FE99*VLOOKUP('Données projet'!$B$16,Paramètres!$A$1:$I$89,3,0)*VLOOKUP('Données projet'!$B$16,Paramètres!$A$1:$I$89,5,0)</f>
        <v>8.8675733422860506E-14</v>
      </c>
      <c r="FG99" s="14">
        <f t="shared" si="101"/>
        <v>1.3509285393066301E-12</v>
      </c>
      <c r="FH99" s="22">
        <f t="shared" si="76"/>
        <v>2.5073107750038623E-12</v>
      </c>
      <c r="FI99" s="61">
        <f t="shared" si="77"/>
        <v>293.33333333333582</v>
      </c>
      <c r="FJ99" s="61">
        <f ca="1">AVERAGE(OFFSET($FI$3,0,0,'Données projet'!$E$16+1,1))-AVERAGE(OFFSET($H$3,0,0,'Données projet'!$E$16+1,1))</f>
        <v>292.57482726862594</v>
      </c>
      <c r="FK99" s="61">
        <f t="shared" si="102"/>
        <v>283.48738729114024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4.9000000000000004</v>
      </c>
      <c r="FZ99" s="13">
        <f>IF('Données projet'!$A$244&gt;35,FZ98+FY99-GH98,IF(A99&lt;'Données projet'!$A$244,$FW$205^A99,IF(A99='Données projet'!$A$244,'Données projet'!$B$244,FZ98+FY99-GH98)))</f>
        <v>283.39999999999992</v>
      </c>
      <c r="GA99" s="18">
        <f>FZ99*VLOOKUP('Données projet'!$B$17,Paramètres!$A$1:$I$89,3,0)*VLOOKUP('Données projet'!$B$17,Paramètres!$A$1:$I$89,5,0)</f>
        <v>274.10447999999991</v>
      </c>
      <c r="GB99" s="14">
        <f t="shared" si="103"/>
        <v>65.719577181765516</v>
      </c>
      <c r="GC99" s="22">
        <f t="shared" si="79"/>
        <v>591.86023292490802</v>
      </c>
      <c r="GD99" s="61">
        <f t="shared" si="80"/>
        <v>885.19356625824139</v>
      </c>
      <c r="GE99" s="61">
        <f ca="1">AVERAGE(OFFSET($GD$3,0,0,'Données projet'!$E$17+1,1))-AVERAGE(OFFSET($H$3,0,0,'Données projet'!$E$17+1,1))</f>
        <v>455.50822833641354</v>
      </c>
      <c r="GF99" s="61">
        <f t="shared" si="104"/>
        <v>261.14722581688039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0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0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4.9000000000000004</v>
      </c>
      <c r="GU99" s="13">
        <f>IF('Données projet'!$A$270&gt;35,GU98+GT99-HC98,IF(A99&lt;'Données projet'!$A$270,$GR$205^A99,IF(A99='Données projet'!$A$270,'Données projet'!$B$270,GU98+GT99-HC98)))</f>
        <v>283.39999999999992</v>
      </c>
      <c r="GV99" s="18">
        <f>GU99*VLOOKUP('Données projet'!$B$18,Paramètres!$A$1:$I$89,3,0)*VLOOKUP('Données projet'!$B$18,Paramètres!$A$1:$I$89,5,0)</f>
        <v>305.05175999999989</v>
      </c>
      <c r="GW99" s="14">
        <f t="shared" si="105"/>
        <v>72.23447495258219</v>
      </c>
      <c r="GX99" s="22">
        <f t="shared" si="82"/>
        <v>657.10685920908043</v>
      </c>
      <c r="GY99" s="61">
        <f t="shared" si="83"/>
        <v>950.4401925424138</v>
      </c>
      <c r="GZ99" s="61">
        <f ca="1">AVERAGE(OFFSET($GY$3,0,0,'Données projet'!$E$18+1,1))-AVERAGE(OFFSET($H$3,0,0,'Données projet'!$E$18+1,1))</f>
        <v>502.07782026233912</v>
      </c>
      <c r="HA99" s="61">
        <f t="shared" si="106"/>
        <v>285.83623046025156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0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0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260.85383999999993</v>
      </c>
      <c r="P100" s="14">
        <f t="shared" si="87"/>
        <v>62.904347395903763</v>
      </c>
      <c r="Q100" s="22">
        <f t="shared" si="107"/>
        <v>563.87884304786564</v>
      </c>
      <c r="R100" s="61">
        <f t="shared" si="55"/>
        <v>857.21217638119901</v>
      </c>
      <c r="S100" s="61">
        <f ca="1">AVERAGE(OFFSET($R$3,0,0,'Données projet'!$E$9+1,1))-AVERAGE(OFFSET($H$3,0,0,'Données projet'!$E$9+1,1))</f>
        <v>428.8489304403459</v>
      </c>
      <c r="T100" s="61">
        <f t="shared" si="88"/>
        <v>247.01165577562966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1">
        <f t="shared" si="59"/>
        <v>923.64881338426039</v>
      </c>
      <c r="AN100" s="61">
        <f ca="1">AVERAGE(OFFSET($AM$3,0,0,'Données projet'!$E$10+1,1))-AVERAGE(OFFSET($H$3,0,0,'Données projet'!$E$10+1,1))</f>
        <v>475.47920969424894</v>
      </c>
      <c r="AO100" s="61">
        <f t="shared" si="90"/>
        <v>271.73544012419364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-3.4106051316484809E-13</v>
      </c>
      <c r="BE100" s="14">
        <f>BD100*VLOOKUP('Données projet'!$B$11,Paramètres!$A$1:$I$89,3,0)*VLOOKUP('Données projet'!$B$11,Paramètres!$A$1:$I$89,5,0)</f>
        <v>-1.9065282685915009E-13</v>
      </c>
      <c r="BF100" s="14" t="e">
        <f t="shared" si="91"/>
        <v>#NUM!</v>
      </c>
      <c r="BG100" s="22" t="e">
        <f t="shared" si="61"/>
        <v>#NUM!</v>
      </c>
      <c r="BH100" s="61" t="e">
        <f t="shared" si="62"/>
        <v>#NUM!</v>
      </c>
      <c r="BI100" s="61">
        <f ca="1">AVERAGE(OFFSET($BH$3,0,0,'Données projet'!$E$11+1,1))-AVERAGE(OFFSET($H$3,0,0,'Données projet'!$E$11+1,1))</f>
        <v>374.79806286316051</v>
      </c>
      <c r="BJ100" s="61">
        <f t="shared" si="92"/>
        <v>350.01856672839466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3.4749500153989619</v>
      </c>
      <c r="BR100" s="23">
        <f>EXP(-LN(2)/2)*BR99+(1-EXP(-LN(2)/2))/(LN(2)/2)*BL100*BO100*VLOOKUP('Données projet'!$B$11,Paramètres!$A$1:$I$89,3,0)*0.475*44/12</f>
        <v>9.0613921875976993E-10</v>
      </c>
      <c r="BS100" s="24">
        <f t="shared" si="63"/>
        <v>3.474950016305101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>
        <f>VLOOKUP(A100,'Données projet'!$A$113:$I$133,2,0)</f>
        <v>398.27692307692308</v>
      </c>
      <c r="BW100" s="13">
        <f>VLOOKUP(A100,'Données projet'!$A$113:$I$133,9,0)</f>
        <v>8.7211538461538449</v>
      </c>
      <c r="BX100" s="13">
        <f t="array" ref="BX100">INDEX(BW:BW,MIN(IF(ISNUMBER(BW100:BW296),ROW(BW100:BW296),"")))</f>
        <v>8.7211538461538449</v>
      </c>
      <c r="BY100" s="13">
        <f>IF('Données projet'!$A$114&gt;35,BY99+BX100-CG99,IF(A100&lt;'Données projet'!$A$114,$BV$205^A100,IF(A100='Données projet'!$A$114,'Données projet'!$B$114,BY99+BX100-CG99)))</f>
        <v>398.2769230769232</v>
      </c>
      <c r="BZ100" s="14">
        <f>BY100*VLOOKUP('Données projet'!$B$12,Paramètres!$A$1:$I$89,3,0)*VLOOKUP('Données projet'!$B$12,Paramètres!$A$1:$I$89,5,0)</f>
        <v>186.39360000000008</v>
      </c>
      <c r="CA100" s="14">
        <f t="shared" si="93"/>
        <v>46.741741929451358</v>
      </c>
      <c r="CB100" s="22">
        <f t="shared" si="64"/>
        <v>406.04405386046125</v>
      </c>
      <c r="CC100" s="61">
        <f t="shared" si="65"/>
        <v>699.37738719379456</v>
      </c>
      <c r="CD100" s="61">
        <f ca="1">AVERAGE(OFFSET($CC$3,0,0,'Données projet'!$E$12+1,1))-AVERAGE(OFFSET($H$3,0,0,'Données projet'!$E$12+1,1))</f>
        <v>285.59863510278109</v>
      </c>
      <c r="CE100" s="61">
        <f t="shared" si="94"/>
        <v>190.4880882944471</v>
      </c>
      <c r="CF100" s="16">
        <f>IF(ISNA(VLOOKUP(A100,'Données projet'!$A$113:$I$133,3,0)),0,VLOOKUP(A100,'Données projet'!$A$113:$I$133,3,0))</f>
        <v>5</v>
      </c>
      <c r="CG100" s="16">
        <f>IF(ISNA(VLOOKUP(A100,'Données projet'!$A$113:$I$133,4,0)),0,VLOOKUP(A100,'Données projet'!$A$113:$I$133,4,0))</f>
        <v>79.669230769230765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12.7</v>
      </c>
      <c r="CT100" s="13">
        <f>IF('Données projet'!$A$140&gt;35,CT99+CS100-DB99,IF(A100&lt;'Données projet'!$A$140,$CQ$205^A100,IF(A100='Données projet'!$A$140,'Données projet'!$B$140,CT99+CS100-DB99)))</f>
        <v>459.90000000000015</v>
      </c>
      <c r="CU100" s="18">
        <f>CT100*VLOOKUP('Données projet'!$B$13,Paramètres!$A$1:$I$89,3,0)*VLOOKUP('Données projet'!$B$13,Paramètres!$A$1:$I$89,5,0)</f>
        <v>221.21190000000007</v>
      </c>
      <c r="CV100" s="14">
        <f t="shared" si="95"/>
        <v>54.378201923554862</v>
      </c>
      <c r="CW100" s="22">
        <f t="shared" si="67"/>
        <v>479.98609418352476</v>
      </c>
      <c r="CX100" s="61">
        <f t="shared" si="68"/>
        <v>773.31942751685801</v>
      </c>
      <c r="CY100" s="61">
        <f ca="1">AVERAGE(OFFSET($CX$3,0,0,'Données projet'!$E$13+1,1))-AVERAGE(OFFSET($H$3,0,0,'Données projet'!$E$13+1,1))</f>
        <v>273.72618036666552</v>
      </c>
      <c r="CZ100" s="61">
        <f t="shared" si="96"/>
        <v>157.67999791700714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3.5897435897435912</v>
      </c>
      <c r="DO100" s="13">
        <f>IF('Données projet'!$A$166&gt;35,DO99+DN100-DW99,IF(A100&lt;'Données projet'!$A$166,$DL$205^A100,IF(A100='Données projet'!$A$166,'Données projet'!$B$166,DO99+DN100-DW99)))</f>
        <v>296.92307692307708</v>
      </c>
      <c r="DP100" s="18">
        <f>DO100*VLOOKUP('Données projet'!$B$14,Paramètres!$A$1:$I$89,3,0)*VLOOKUP('Données projet'!$B$14,Paramètres!$A$1:$I$89,5,0)</f>
        <v>199.1760000000001</v>
      </c>
      <c r="DQ100" s="14">
        <f t="shared" si="97"/>
        <v>49.563033976114944</v>
      </c>
      <c r="DR100" s="22">
        <f t="shared" si="70"/>
        <v>433.22048417506704</v>
      </c>
      <c r="DS100" s="61">
        <f t="shared" si="71"/>
        <v>726.55381750840036</v>
      </c>
      <c r="DT100" s="61">
        <f ca="1">AVERAGE(OFFSET($DS$3,0,0,'Données projet'!$E$14+1,1))-AVERAGE(OFFSET($H$3,0,0,'Données projet'!$E$14+1,1))</f>
        <v>312.06797204903796</v>
      </c>
      <c r="DU100" s="61">
        <f t="shared" si="98"/>
        <v>258.20189001775151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1.4210854715202004E-13</v>
      </c>
      <c r="EK100" s="18">
        <f>EJ100*VLOOKUP('Données projet'!$B$15,Paramètres!$A$1:$I$89,3,0)*VLOOKUP('Données projet'!$B$15,Paramètres!$A$1:$I$89,5,0)</f>
        <v>1.1527845344971866E-13</v>
      </c>
      <c r="EL100" s="14">
        <f t="shared" si="99"/>
        <v>1.7033846239409443E-12</v>
      </c>
      <c r="EM100" s="22">
        <f t="shared" si="73"/>
        <v>3.1675048597887374E-12</v>
      </c>
      <c r="EN100" s="61">
        <f t="shared" si="74"/>
        <v>293.3333333333365</v>
      </c>
      <c r="EO100" s="61">
        <f ca="1">AVERAGE(OFFSET($EN$3,0,0,'Données projet'!$E$15+1,1))-AVERAGE(OFFSET($H$3,0,0,'Données projet'!$E$15+1,1))</f>
        <v>222.15256609836689</v>
      </c>
      <c r="EP100" s="61">
        <f t="shared" si="100"/>
        <v>221.10360210521077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1.1368683772161603E-13</v>
      </c>
      <c r="FF100" s="18">
        <f>FE100*VLOOKUP('Données projet'!$B$16,Paramètres!$A$1:$I$89,3,0)*VLOOKUP('Données projet'!$B$16,Paramètres!$A$1:$I$89,5,0)</f>
        <v>8.8675733422860506E-14</v>
      </c>
      <c r="FG100" s="14">
        <f t="shared" si="101"/>
        <v>1.3509285393066301E-12</v>
      </c>
      <c r="FH100" s="22">
        <f t="shared" si="76"/>
        <v>2.5073107750038623E-12</v>
      </c>
      <c r="FI100" s="61">
        <f t="shared" si="77"/>
        <v>293.33333333333582</v>
      </c>
      <c r="FJ100" s="61">
        <f ca="1">AVERAGE(OFFSET($FI$3,0,0,'Données projet'!$E$16+1,1))-AVERAGE(OFFSET($H$3,0,0,'Données projet'!$E$16+1,1))</f>
        <v>292.57482726862594</v>
      </c>
      <c r="FK100" s="61">
        <f t="shared" si="102"/>
        <v>283.48738729114024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4.9000000000000004</v>
      </c>
      <c r="FZ100" s="13">
        <f>IF('Données projet'!$A$244&gt;35,FZ99+FY100-GH99,IF(A100&lt;'Données projet'!$A$244,$FW$205^A100,IF(A100='Données projet'!$A$244,'Données projet'!$B$244,FZ99+FY100-GH99)))</f>
        <v>288.2999999999999</v>
      </c>
      <c r="GA100" s="18">
        <f>FZ100*VLOOKUP('Données projet'!$B$17,Paramètres!$A$1:$I$89,3,0)*VLOOKUP('Données projet'!$B$17,Paramètres!$A$1:$I$89,5,0)</f>
        <v>278.84375999999992</v>
      </c>
      <c r="GB100" s="14">
        <f t="shared" si="103"/>
        <v>66.722603316177725</v>
      </c>
      <c r="GC100" s="22">
        <f t="shared" si="79"/>
        <v>601.86141610900938</v>
      </c>
      <c r="GD100" s="61">
        <f t="shared" si="80"/>
        <v>895.19474944234275</v>
      </c>
      <c r="GE100" s="61">
        <f ca="1">AVERAGE(OFFSET($GD$3,0,0,'Données projet'!$E$17+1,1))-AVERAGE(OFFSET($H$3,0,0,'Données projet'!$E$17+1,1))</f>
        <v>455.50822833641354</v>
      </c>
      <c r="GF100" s="61">
        <f t="shared" si="104"/>
        <v>261.14722581688039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0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0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4.9000000000000004</v>
      </c>
      <c r="GU100" s="13">
        <f>IF('Données projet'!$A$270&gt;35,GU99+GT100-HC99,IF(A100&lt;'Données projet'!$A$270,$GR$205^A100,IF(A100='Données projet'!$A$270,'Données projet'!$B$270,GU99+GT100-HC99)))</f>
        <v>288.2999999999999</v>
      </c>
      <c r="GV100" s="18">
        <f>GU100*VLOOKUP('Données projet'!$B$18,Paramètres!$A$1:$I$89,3,0)*VLOOKUP('Données projet'!$B$18,Paramètres!$A$1:$I$89,5,0)</f>
        <v>310.32611999999989</v>
      </c>
      <c r="GW100" s="14">
        <f t="shared" si="105"/>
        <v>73.336932839409357</v>
      </c>
      <c r="GX100" s="22">
        <f t="shared" si="82"/>
        <v>668.21315036197109</v>
      </c>
      <c r="GY100" s="61">
        <f t="shared" si="83"/>
        <v>961.54648369530446</v>
      </c>
      <c r="GZ100" s="61">
        <f ca="1">AVERAGE(OFFSET($GY$3,0,0,'Données projet'!$E$18+1,1))-AVERAGE(OFFSET($H$3,0,0,'Données projet'!$E$18+1,1))</f>
        <v>502.07782026233912</v>
      </c>
      <c r="HA100" s="61">
        <f t="shared" si="106"/>
        <v>285.83623046025156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0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0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265.28735999999992</v>
      </c>
      <c r="P101" s="14">
        <f t="shared" si="87"/>
        <v>63.84810550096995</v>
      </c>
      <c r="Q101" s="22">
        <f t="shared" si="107"/>
        <v>573.24426908085582</v>
      </c>
      <c r="R101" s="61">
        <f t="shared" si="55"/>
        <v>866.57760241418919</v>
      </c>
      <c r="S101" s="61">
        <f ca="1">AVERAGE(OFFSET($R$3,0,0,'Données projet'!$E$9+1,1))-AVERAGE(OFFSET($H$3,0,0,'Données projet'!$E$9+1,1))</f>
        <v>428.8489304403459</v>
      </c>
      <c r="T101" s="61">
        <f t="shared" si="88"/>
        <v>247.01165577562966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1">
        <f t="shared" si="59"/>
        <v>934.12027890322065</v>
      </c>
      <c r="AN101" s="61">
        <f ca="1">AVERAGE(OFFSET($AM$3,0,0,'Données projet'!$E$10+1,1))-AVERAGE(OFFSET($H$3,0,0,'Données projet'!$E$10+1,1))</f>
        <v>475.47920969424894</v>
      </c>
      <c r="AO101" s="61">
        <f t="shared" si="90"/>
        <v>271.73544012419364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-3.4106051316484809E-13</v>
      </c>
      <c r="BE101" s="14">
        <f>BD101*VLOOKUP('Données projet'!$B$11,Paramètres!$A$1:$I$89,3,0)*VLOOKUP('Données projet'!$B$11,Paramètres!$A$1:$I$89,5,0)</f>
        <v>-1.9065282685915009E-13</v>
      </c>
      <c r="BF101" s="14" t="e">
        <f t="shared" si="91"/>
        <v>#NUM!</v>
      </c>
      <c r="BG101" s="22" t="e">
        <f t="shared" si="61"/>
        <v>#NUM!</v>
      </c>
      <c r="BH101" s="61" t="e">
        <f t="shared" si="62"/>
        <v>#NUM!</v>
      </c>
      <c r="BI101" s="61">
        <f ca="1">AVERAGE(OFFSET($BH$3,0,0,'Données projet'!$E$11+1,1))-AVERAGE(OFFSET($H$3,0,0,'Données projet'!$E$11+1,1))</f>
        <v>374.79806286316051</v>
      </c>
      <c r="BJ101" s="61">
        <f t="shared" si="92"/>
        <v>350.01856672839466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3.379927324488198</v>
      </c>
      <c r="BR101" s="23">
        <f>EXP(-LN(2)/2)*BR100+(1-EXP(-LN(2)/2))/(LN(2)/2)*BL101*BO101*VLOOKUP('Données projet'!$B$11,Paramètres!$A$1:$I$89,3,0)*0.475*44/12</f>
        <v>6.4073718628411381E-10</v>
      </c>
      <c r="BS101" s="24">
        <f t="shared" si="63"/>
        <v>3.3799273251289352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7.882692307692305</v>
      </c>
      <c r="BY101" s="13">
        <f>IF('Données projet'!$A$114&gt;35,BY100+BX101-CG100,IF(A101&lt;'Données projet'!$A$114,$BV$205^A101,IF(A101='Données projet'!$A$114,'Données projet'!$B$114,BY100+BX101-CG100)))</f>
        <v>326.49038461538476</v>
      </c>
      <c r="BZ101" s="14">
        <f>BY101*VLOOKUP('Données projet'!$B$12,Paramètres!$A$1:$I$89,3,0)*VLOOKUP('Données projet'!$B$12,Paramètres!$A$1:$I$89,5,0)</f>
        <v>152.79750000000007</v>
      </c>
      <c r="CA101" s="14">
        <f t="shared" si="93"/>
        <v>39.213642223408904</v>
      </c>
      <c r="CB101" s="22">
        <f t="shared" si="64"/>
        <v>334.41940603910399</v>
      </c>
      <c r="CC101" s="61">
        <f t="shared" si="65"/>
        <v>627.7527393724373</v>
      </c>
      <c r="CD101" s="61">
        <f ca="1">AVERAGE(OFFSET($CC$3,0,0,'Données projet'!$E$12+1,1))-AVERAGE(OFFSET($H$3,0,0,'Données projet'!$E$12+1,1))</f>
        <v>285.59863510278109</v>
      </c>
      <c r="CE101" s="61">
        <f t="shared" si="94"/>
        <v>190.4880882944471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12.7</v>
      </c>
      <c r="CT101" s="13">
        <f>IF('Données projet'!$A$140&gt;35,CT100+CS101-DB100,IF(A101&lt;'Données projet'!$A$140,$CQ$205^A101,IF(A101='Données projet'!$A$140,'Données projet'!$B$140,CT100+CS101-DB100)))</f>
        <v>472.60000000000014</v>
      </c>
      <c r="CU101" s="18">
        <f>CT101*VLOOKUP('Données projet'!$B$13,Paramètres!$A$1:$I$89,3,0)*VLOOKUP('Données projet'!$B$13,Paramètres!$A$1:$I$89,5,0)</f>
        <v>227.32060000000007</v>
      </c>
      <c r="CV101" s="14">
        <f t="shared" si="95"/>
        <v>55.702938092025441</v>
      </c>
      <c r="CW101" s="22">
        <f t="shared" si="67"/>
        <v>492.93266217694435</v>
      </c>
      <c r="CX101" s="61">
        <f t="shared" si="68"/>
        <v>786.26599551027766</v>
      </c>
      <c r="CY101" s="61">
        <f ca="1">AVERAGE(OFFSET($CX$3,0,0,'Données projet'!$E$13+1,1))-AVERAGE(OFFSET($H$3,0,0,'Données projet'!$E$13+1,1))</f>
        <v>273.72618036666552</v>
      </c>
      <c r="CZ101" s="61">
        <f t="shared" si="96"/>
        <v>157.67999791700714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3.5897435897435912</v>
      </c>
      <c r="DO101" s="13">
        <f>IF('Données projet'!$A$166&gt;35,DO100+DN101-DW100,IF(A101&lt;'Données projet'!$A$166,$DL$205^A101,IF(A101='Données projet'!$A$166,'Données projet'!$B$166,DO100+DN101-DW100)))</f>
        <v>300.51282051282067</v>
      </c>
      <c r="DP101" s="18">
        <f>DO101*VLOOKUP('Données projet'!$B$14,Paramètres!$A$1:$I$89,3,0)*VLOOKUP('Données projet'!$B$14,Paramètres!$A$1:$I$89,5,0)</f>
        <v>201.58400000000009</v>
      </c>
      <c r="DQ101" s="14">
        <f t="shared" si="97"/>
        <v>50.092122991789054</v>
      </c>
      <c r="DR101" s="22">
        <f t="shared" si="70"/>
        <v>438.33591421069946</v>
      </c>
      <c r="DS101" s="61">
        <f t="shared" si="71"/>
        <v>731.66924754403271</v>
      </c>
      <c r="DT101" s="61">
        <f ca="1">AVERAGE(OFFSET($DS$3,0,0,'Données projet'!$E$14+1,1))-AVERAGE(OFFSET($H$3,0,0,'Données projet'!$E$14+1,1))</f>
        <v>312.06797204903796</v>
      </c>
      <c r="DU101" s="61">
        <f t="shared" si="98"/>
        <v>258.20189001775151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1.4210854715202004E-13</v>
      </c>
      <c r="EK101" s="18">
        <f>EJ101*VLOOKUP('Données projet'!$B$15,Paramètres!$A$1:$I$89,3,0)*VLOOKUP('Données projet'!$B$15,Paramètres!$A$1:$I$89,5,0)</f>
        <v>1.1527845344971866E-13</v>
      </c>
      <c r="EL101" s="14">
        <f t="shared" si="99"/>
        <v>1.7033846239409443E-12</v>
      </c>
      <c r="EM101" s="22">
        <f t="shared" si="73"/>
        <v>3.1675048597887374E-12</v>
      </c>
      <c r="EN101" s="61">
        <f t="shared" si="74"/>
        <v>293.3333333333365</v>
      </c>
      <c r="EO101" s="61">
        <f ca="1">AVERAGE(OFFSET($EN$3,0,0,'Données projet'!$E$15+1,1))-AVERAGE(OFFSET($H$3,0,0,'Données projet'!$E$15+1,1))</f>
        <v>222.15256609836689</v>
      </c>
      <c r="EP101" s="61">
        <f t="shared" si="100"/>
        <v>221.10360210521077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1.1368683772161603E-13</v>
      </c>
      <c r="FF101" s="18">
        <f>FE101*VLOOKUP('Données projet'!$B$16,Paramètres!$A$1:$I$89,3,0)*VLOOKUP('Données projet'!$B$16,Paramètres!$A$1:$I$89,5,0)</f>
        <v>8.8675733422860506E-14</v>
      </c>
      <c r="FG101" s="14">
        <f t="shared" si="101"/>
        <v>1.3509285393066301E-12</v>
      </c>
      <c r="FH101" s="22">
        <f t="shared" si="76"/>
        <v>2.5073107750038623E-12</v>
      </c>
      <c r="FI101" s="61">
        <f t="shared" si="77"/>
        <v>293.33333333333582</v>
      </c>
      <c r="FJ101" s="61">
        <f ca="1">AVERAGE(OFFSET($FI$3,0,0,'Données projet'!$E$16+1,1))-AVERAGE(OFFSET($H$3,0,0,'Données projet'!$E$16+1,1))</f>
        <v>292.57482726862594</v>
      </c>
      <c r="FK101" s="61">
        <f t="shared" si="102"/>
        <v>283.48738729114024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4.9000000000000004</v>
      </c>
      <c r="FZ101" s="13">
        <f>IF('Données projet'!$A$244&gt;35,FZ100+FY101-GH100,IF(A101&lt;'Données projet'!$A$244,$FW$205^A101,IF(A101='Données projet'!$A$244,'Données projet'!$B$244,FZ100+FY101-GH100)))</f>
        <v>293.19999999999987</v>
      </c>
      <c r="GA101" s="18">
        <f>FZ101*VLOOKUP('Données projet'!$B$17,Paramètres!$A$1:$I$89,3,0)*VLOOKUP('Données projet'!$B$17,Paramètres!$A$1:$I$89,5,0)</f>
        <v>283.58303999999993</v>
      </c>
      <c r="GB101" s="14">
        <f t="shared" si="103"/>
        <v>67.723646968605209</v>
      </c>
      <c r="GC101" s="22">
        <f t="shared" si="79"/>
        <v>611.85914647032064</v>
      </c>
      <c r="GD101" s="61">
        <f t="shared" si="80"/>
        <v>905.1924798036539</v>
      </c>
      <c r="GE101" s="61">
        <f ca="1">AVERAGE(OFFSET($GD$3,0,0,'Données projet'!$E$17+1,1))-AVERAGE(OFFSET($H$3,0,0,'Données projet'!$E$17+1,1))</f>
        <v>455.50822833641354</v>
      </c>
      <c r="GF101" s="61">
        <f t="shared" si="104"/>
        <v>261.14722581688039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0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0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4.9000000000000004</v>
      </c>
      <c r="GU101" s="13">
        <f>IF('Données projet'!$A$270&gt;35,GU100+GT101-HC100,IF(A101&lt;'Données projet'!$A$270,$GR$205^A101,IF(A101='Données projet'!$A$270,'Données projet'!$B$270,GU100+GT101-HC100)))</f>
        <v>293.19999999999987</v>
      </c>
      <c r="GV101" s="18">
        <f>GU101*VLOOKUP('Données projet'!$B$18,Paramètres!$A$1:$I$89,3,0)*VLOOKUP('Données projet'!$B$18,Paramètres!$A$1:$I$89,5,0)</f>
        <v>315.60047999999989</v>
      </c>
      <c r="GW101" s="14">
        <f t="shared" si="105"/>
        <v>74.437211717310802</v>
      </c>
      <c r="GX101" s="22">
        <f t="shared" si="82"/>
        <v>679.31564640764952</v>
      </c>
      <c r="GY101" s="61">
        <f t="shared" si="83"/>
        <v>972.6489797409829</v>
      </c>
      <c r="GZ101" s="61">
        <f ca="1">AVERAGE(OFFSET($GY$3,0,0,'Données projet'!$E$18+1,1))-AVERAGE(OFFSET($H$3,0,0,'Données projet'!$E$18+1,1))</f>
        <v>502.07782026233912</v>
      </c>
      <c r="HA101" s="61">
        <f t="shared" si="106"/>
        <v>285.83623046025156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0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0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269.72087999999985</v>
      </c>
      <c r="P102" s="14">
        <f t="shared" si="87"/>
        <v>64.790029413946939</v>
      </c>
      <c r="Q102" s="22">
        <f t="shared" si="107"/>
        <v>582.60650056262409</v>
      </c>
      <c r="R102" s="61">
        <f t="shared" si="55"/>
        <v>875.93983389595746</v>
      </c>
      <c r="S102" s="61">
        <f ca="1">AVERAGE(OFFSET($R$3,0,0,'Données projet'!$E$9+1,1))-AVERAGE(OFFSET($H$3,0,0,'Données projet'!$E$9+1,1))</f>
        <v>428.8489304403459</v>
      </c>
      <c r="T102" s="61">
        <f t="shared" si="88"/>
        <v>247.01165577562966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1">
        <f t="shared" si="59"/>
        <v>944.58821149144683</v>
      </c>
      <c r="AN102" s="61">
        <f ca="1">AVERAGE(OFFSET($AM$3,0,0,'Données projet'!$E$10+1,1))-AVERAGE(OFFSET($H$3,0,0,'Données projet'!$E$10+1,1))</f>
        <v>475.47920969424894</v>
      </c>
      <c r="AO102" s="61">
        <f t="shared" si="90"/>
        <v>271.73544012419364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-3.4106051316484809E-13</v>
      </c>
      <c r="BE102" s="14">
        <f>BD102*VLOOKUP('Données projet'!$B$11,Paramètres!$A$1:$I$89,3,0)*VLOOKUP('Données projet'!$B$11,Paramètres!$A$1:$I$89,5,0)</f>
        <v>-1.9065282685915009E-13</v>
      </c>
      <c r="BF102" s="14" t="e">
        <f t="shared" si="91"/>
        <v>#NUM!</v>
      </c>
      <c r="BG102" s="22" t="e">
        <f t="shared" si="61"/>
        <v>#NUM!</v>
      </c>
      <c r="BH102" s="61" t="e">
        <f t="shared" si="62"/>
        <v>#NUM!</v>
      </c>
      <c r="BI102" s="61">
        <f ca="1">AVERAGE(OFFSET($BH$3,0,0,'Données projet'!$E$11+1,1))-AVERAGE(OFFSET($H$3,0,0,'Données projet'!$E$11+1,1))</f>
        <v>374.79806286316051</v>
      </c>
      <c r="BJ102" s="61">
        <f t="shared" si="92"/>
        <v>350.01856672839466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3.2875030340574152</v>
      </c>
      <c r="BR102" s="23">
        <f>EXP(-LN(2)/2)*BR101+(1-EXP(-LN(2)/2))/(LN(2)/2)*BL102*BO102*VLOOKUP('Données projet'!$B$11,Paramètres!$A$1:$I$89,3,0)*0.475*44/12</f>
        <v>4.5306960937988502E-10</v>
      </c>
      <c r="BS102" s="24">
        <f t="shared" si="63"/>
        <v>3.2875030345104848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7.882692307692305</v>
      </c>
      <c r="BY102" s="13">
        <f>IF('Données projet'!$A$114&gt;35,BY101+BX102-CG101,IF(A102&lt;'Données projet'!$A$114,$BV$205^A102,IF(A102='Données projet'!$A$114,'Données projet'!$B$114,BY101+BX102-CG101)))</f>
        <v>334.37307692307706</v>
      </c>
      <c r="BZ102" s="14">
        <f>BY102*VLOOKUP('Données projet'!$B$12,Paramètres!$A$1:$I$89,3,0)*VLOOKUP('Données projet'!$B$12,Paramètres!$A$1:$I$89,5,0)</f>
        <v>156.48660000000007</v>
      </c>
      <c r="CA102" s="14">
        <f t="shared" si="93"/>
        <v>40.04903709660919</v>
      </c>
      <c r="CB102" s="22">
        <f t="shared" si="64"/>
        <v>342.29956794326108</v>
      </c>
      <c r="CC102" s="61">
        <f t="shared" si="65"/>
        <v>635.63290127659434</v>
      </c>
      <c r="CD102" s="61">
        <f ca="1">AVERAGE(OFFSET($CC$3,0,0,'Données projet'!$E$12+1,1))-AVERAGE(OFFSET($H$3,0,0,'Données projet'!$E$12+1,1))</f>
        <v>285.59863510278109</v>
      </c>
      <c r="CE102" s="61">
        <f t="shared" si="94"/>
        <v>190.4880882944471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12.7</v>
      </c>
      <c r="CT102" s="13">
        <f>IF('Données projet'!$A$140&gt;35,CT101+CS102-DB101,IF(A102&lt;'Données projet'!$A$140,$CQ$205^A102,IF(A102='Données projet'!$A$140,'Données projet'!$B$140,CT101+CS102-DB101)))</f>
        <v>485.30000000000013</v>
      </c>
      <c r="CU102" s="18">
        <f>CT102*VLOOKUP('Données projet'!$B$13,Paramètres!$A$1:$I$89,3,0)*VLOOKUP('Données projet'!$B$13,Paramètres!$A$1:$I$89,5,0)</f>
        <v>233.42930000000004</v>
      </c>
      <c r="CV102" s="14">
        <f t="shared" si="95"/>
        <v>57.023536469378378</v>
      </c>
      <c r="CW102" s="22">
        <f t="shared" si="67"/>
        <v>505.87202351750079</v>
      </c>
      <c r="CX102" s="61">
        <f t="shared" si="68"/>
        <v>799.20535685083405</v>
      </c>
      <c r="CY102" s="61">
        <f ca="1">AVERAGE(OFFSET($CX$3,0,0,'Données projet'!$E$13+1,1))-AVERAGE(OFFSET($H$3,0,0,'Données projet'!$E$13+1,1))</f>
        <v>273.72618036666552</v>
      </c>
      <c r="CZ102" s="61">
        <f t="shared" si="96"/>
        <v>157.67999791700714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3.5897435897435912</v>
      </c>
      <c r="DO102" s="13">
        <f>IF('Données projet'!$A$166&gt;35,DO101+DN102-DW101,IF(A102&lt;'Données projet'!$A$166,$DL$205^A102,IF(A102='Données projet'!$A$166,'Données projet'!$B$166,DO101+DN102-DW101)))</f>
        <v>304.10256410256426</v>
      </c>
      <c r="DP102" s="18">
        <f>DO102*VLOOKUP('Données projet'!$B$14,Paramètres!$A$1:$I$89,3,0)*VLOOKUP('Données projet'!$B$14,Paramètres!$A$1:$I$89,5,0)</f>
        <v>203.99200000000013</v>
      </c>
      <c r="DQ102" s="14">
        <f t="shared" si="97"/>
        <v>50.620476831708423</v>
      </c>
      <c r="DR102" s="22">
        <f t="shared" si="70"/>
        <v>443.45006381522575</v>
      </c>
      <c r="DS102" s="61">
        <f t="shared" si="71"/>
        <v>736.78339714855906</v>
      </c>
      <c r="DT102" s="61">
        <f ca="1">AVERAGE(OFFSET($DS$3,0,0,'Données projet'!$E$14+1,1))-AVERAGE(OFFSET($H$3,0,0,'Données projet'!$E$14+1,1))</f>
        <v>312.06797204903796</v>
      </c>
      <c r="DU102" s="61">
        <f t="shared" si="98"/>
        <v>258.20189001775151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1.4210854715202004E-13</v>
      </c>
      <c r="EK102" s="18">
        <f>EJ102*VLOOKUP('Données projet'!$B$15,Paramètres!$A$1:$I$89,3,0)*VLOOKUP('Données projet'!$B$15,Paramètres!$A$1:$I$89,5,0)</f>
        <v>1.1527845344971866E-13</v>
      </c>
      <c r="EL102" s="14">
        <f t="shared" si="99"/>
        <v>1.7033846239409443E-12</v>
      </c>
      <c r="EM102" s="22">
        <f t="shared" si="73"/>
        <v>3.1675048597887374E-12</v>
      </c>
      <c r="EN102" s="61">
        <f t="shared" si="74"/>
        <v>293.3333333333365</v>
      </c>
      <c r="EO102" s="61">
        <f ca="1">AVERAGE(OFFSET($EN$3,0,0,'Données projet'!$E$15+1,1))-AVERAGE(OFFSET($H$3,0,0,'Données projet'!$E$15+1,1))</f>
        <v>222.15256609836689</v>
      </c>
      <c r="EP102" s="61">
        <f t="shared" si="100"/>
        <v>221.10360210521077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1.1368683772161603E-13</v>
      </c>
      <c r="FF102" s="18">
        <f>FE102*VLOOKUP('Données projet'!$B$16,Paramètres!$A$1:$I$89,3,0)*VLOOKUP('Données projet'!$B$16,Paramètres!$A$1:$I$89,5,0)</f>
        <v>8.8675733422860506E-14</v>
      </c>
      <c r="FG102" s="14">
        <f t="shared" si="101"/>
        <v>1.3509285393066301E-12</v>
      </c>
      <c r="FH102" s="22">
        <f t="shared" si="76"/>
        <v>2.5073107750038623E-12</v>
      </c>
      <c r="FI102" s="61">
        <f t="shared" si="77"/>
        <v>293.33333333333582</v>
      </c>
      <c r="FJ102" s="61">
        <f ca="1">AVERAGE(OFFSET($FI$3,0,0,'Données projet'!$E$16+1,1))-AVERAGE(OFFSET($H$3,0,0,'Données projet'!$E$16+1,1))</f>
        <v>292.57482726862594</v>
      </c>
      <c r="FK102" s="61">
        <f t="shared" si="102"/>
        <v>283.48738729114024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4.9000000000000004</v>
      </c>
      <c r="FZ102" s="13">
        <f>IF('Données projet'!$A$244&gt;35,FZ101+FY102-GH101,IF(A102&lt;'Données projet'!$A$244,$FW$205^A102,IF(A102='Données projet'!$A$244,'Données projet'!$B$244,FZ101+FY102-GH101)))</f>
        <v>298.09999999999985</v>
      </c>
      <c r="GA102" s="18">
        <f>FZ102*VLOOKUP('Données projet'!$B$17,Paramètres!$A$1:$I$89,3,0)*VLOOKUP('Données projet'!$B$17,Paramètres!$A$1:$I$89,5,0)</f>
        <v>288.32231999999988</v>
      </c>
      <c r="GB102" s="14">
        <f t="shared" si="103"/>
        <v>68.722745094590621</v>
      </c>
      <c r="GC102" s="22">
        <f t="shared" si="79"/>
        <v>621.85348837307845</v>
      </c>
      <c r="GD102" s="61">
        <f t="shared" si="80"/>
        <v>915.18682170641182</v>
      </c>
      <c r="GE102" s="61">
        <f ca="1">AVERAGE(OFFSET($GD$3,0,0,'Données projet'!$E$17+1,1))-AVERAGE(OFFSET($H$3,0,0,'Données projet'!$E$17+1,1))</f>
        <v>455.50822833641354</v>
      </c>
      <c r="GF102" s="61">
        <f t="shared" si="104"/>
        <v>261.14722581688039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0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0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4.9000000000000004</v>
      </c>
      <c r="GU102" s="13">
        <f>IF('Données projet'!$A$270&gt;35,GU101+GT102-HC101,IF(A102&lt;'Données projet'!$A$270,$GR$205^A102,IF(A102='Données projet'!$A$270,'Données projet'!$B$270,GU101+GT102-HC101)))</f>
        <v>298.09999999999985</v>
      </c>
      <c r="GV102" s="18">
        <f>GU102*VLOOKUP('Données projet'!$B$18,Paramètres!$A$1:$I$89,3,0)*VLOOKUP('Données projet'!$B$18,Paramètres!$A$1:$I$89,5,0)</f>
        <v>320.87483999999984</v>
      </c>
      <c r="GW102" s="14">
        <f t="shared" si="105"/>
        <v>75.535352205297585</v>
      </c>
      <c r="GX102" s="22">
        <f t="shared" si="82"/>
        <v>690.41441809089304</v>
      </c>
      <c r="GY102" s="61">
        <f t="shared" si="83"/>
        <v>983.74775142422641</v>
      </c>
      <c r="GZ102" s="61">
        <f ca="1">AVERAGE(OFFSET($GY$3,0,0,'Données projet'!$E$18+1,1))-AVERAGE(OFFSET($H$3,0,0,'Données projet'!$E$18+1,1))</f>
        <v>502.07782026233912</v>
      </c>
      <c r="HA102" s="61">
        <f t="shared" si="106"/>
        <v>285.83623046025156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0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0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274.15439999999984</v>
      </c>
      <c r="P103" s="14">
        <f t="shared" si="87"/>
        <v>65.730152764515779</v>
      </c>
      <c r="Q103" s="22">
        <f t="shared" si="107"/>
        <v>591.9655960648646</v>
      </c>
      <c r="R103" s="61">
        <f t="shared" si="55"/>
        <v>885.29892939819797</v>
      </c>
      <c r="S103" s="61">
        <f ca="1">AVERAGE(OFFSET($R$3,0,0,'Données projet'!$E$9+1,1))-AVERAGE(OFFSET($H$3,0,0,'Données projet'!$E$9+1,1))</f>
        <v>428.8489304403459</v>
      </c>
      <c r="T103" s="61">
        <f t="shared" si="88"/>
        <v>247.01165577562966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1">
        <f t="shared" si="59"/>
        <v>955.05267592477821</v>
      </c>
      <c r="AN103" s="61">
        <f ca="1">AVERAGE(OFFSET($AM$3,0,0,'Données projet'!$E$10+1,1))-AVERAGE(OFFSET($H$3,0,0,'Données projet'!$E$10+1,1))</f>
        <v>475.47920969424894</v>
      </c>
      <c r="AO103" s="61">
        <f t="shared" si="90"/>
        <v>271.73544012419364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-3.4106051316484809E-13</v>
      </c>
      <c r="BE103" s="14">
        <f>BD103*VLOOKUP('Données projet'!$B$11,Paramètres!$A$1:$I$89,3,0)*VLOOKUP('Données projet'!$B$11,Paramètres!$A$1:$I$89,5,0)</f>
        <v>-1.9065282685915009E-13</v>
      </c>
      <c r="BF103" s="14" t="e">
        <f t="shared" si="91"/>
        <v>#NUM!</v>
      </c>
      <c r="BG103" s="22" t="e">
        <f t="shared" si="61"/>
        <v>#NUM!</v>
      </c>
      <c r="BH103" s="61" t="e">
        <f t="shared" si="62"/>
        <v>#NUM!</v>
      </c>
      <c r="BI103" s="61">
        <f ca="1">AVERAGE(OFFSET($BH$3,0,0,'Données projet'!$E$11+1,1))-AVERAGE(OFFSET($H$3,0,0,'Données projet'!$E$11+1,1))</f>
        <v>374.79806286316051</v>
      </c>
      <c r="BJ103" s="61">
        <f t="shared" si="92"/>
        <v>350.01856672839466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3.1976060907088444</v>
      </c>
      <c r="BR103" s="23">
        <f>EXP(-LN(2)/2)*BR102+(1-EXP(-LN(2)/2))/(LN(2)/2)*BL103*BO103*VLOOKUP('Données projet'!$B$11,Paramètres!$A$1:$I$89,3,0)*0.475*44/12</f>
        <v>3.2036859314205696E-10</v>
      </c>
      <c r="BS103" s="24">
        <f t="shared" si="63"/>
        <v>3.197606091029213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7.882692307692305</v>
      </c>
      <c r="BY103" s="13">
        <f>IF('Données projet'!$A$114&gt;35,BY102+BX103-CG102,IF(A103&lt;'Données projet'!$A$114,$BV$205^A103,IF(A103='Données projet'!$A$114,'Données projet'!$B$114,BY102+BX103-CG102)))</f>
        <v>342.25576923076937</v>
      </c>
      <c r="BZ103" s="14">
        <f>BY103*VLOOKUP('Données projet'!$B$12,Paramètres!$A$1:$I$89,3,0)*VLOOKUP('Données projet'!$B$12,Paramètres!$A$1:$I$89,5,0)</f>
        <v>160.17570000000006</v>
      </c>
      <c r="CA103" s="14">
        <f t="shared" si="93"/>
        <v>40.882142500403504</v>
      </c>
      <c r="CB103" s="22">
        <f t="shared" si="64"/>
        <v>350.17574235486956</v>
      </c>
      <c r="CC103" s="61">
        <f t="shared" si="65"/>
        <v>643.50907568820287</v>
      </c>
      <c r="CD103" s="61">
        <f ca="1">AVERAGE(OFFSET($CC$3,0,0,'Données projet'!$E$12+1,1))-AVERAGE(OFFSET($H$3,0,0,'Données projet'!$E$12+1,1))</f>
        <v>285.59863510278109</v>
      </c>
      <c r="CE103" s="61">
        <f t="shared" si="94"/>
        <v>190.4880882944471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498</v>
      </c>
      <c r="CR103" s="13">
        <f>VLOOKUP(A103,'Données projet'!$A$139:$I$159,9,0)</f>
        <v>12.7</v>
      </c>
      <c r="CS103" s="13">
        <f t="array" ref="CS103">INDEX(CR:CR,MIN(IF(ISNUMBER(CR103:CR299),ROW(CR103:CR299),"")))</f>
        <v>12.7</v>
      </c>
      <c r="CT103" s="13">
        <f>IF('Données projet'!$A$140&gt;35,CT102+CS103-DB102,IF(A103&lt;'Données projet'!$A$140,$CQ$205^A103,IF(A103='Données projet'!$A$140,'Données projet'!$B$140,CT102+CS103-DB102)))</f>
        <v>498.00000000000011</v>
      </c>
      <c r="CU103" s="18">
        <f>CT103*VLOOKUP('Données projet'!$B$13,Paramètres!$A$1:$I$89,3,0)*VLOOKUP('Données projet'!$B$13,Paramètres!$A$1:$I$89,5,0)</f>
        <v>239.53800000000007</v>
      </c>
      <c r="CV103" s="14">
        <f t="shared" si="95"/>
        <v>58.340117787192874</v>
      </c>
      <c r="CW103" s="22">
        <f t="shared" si="67"/>
        <v>518.80438847936102</v>
      </c>
      <c r="CX103" s="61">
        <f t="shared" si="68"/>
        <v>812.13772181269428</v>
      </c>
      <c r="CY103" s="61">
        <f ca="1">AVERAGE(OFFSET($CX$3,0,0,'Données projet'!$E$13+1,1))-AVERAGE(OFFSET($H$3,0,0,'Données projet'!$E$13+1,1))</f>
        <v>273.72618036666552</v>
      </c>
      <c r="CZ103" s="61">
        <f t="shared" si="96"/>
        <v>157.67999791700714</v>
      </c>
      <c r="DA103" s="16">
        <f>IF(ISNA(VLOOKUP(A103,'Données projet'!$A$139:$I$159,3,0)),0,VLOOKUP(A103,'Données projet'!$A$139:$I$159,3,0))</f>
        <v>7</v>
      </c>
      <c r="DB103" s="16">
        <f>IF(ISNA(VLOOKUP(A103,'Données projet'!$A$139:$I$159,4,0)),0,VLOOKUP(A103,'Données projet'!$A$139:$I$159,4,0))</f>
        <v>45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307.69230769230768</v>
      </c>
      <c r="DM103" s="13">
        <f>VLOOKUP(A103,'Données projet'!$A$165:$I$185,9,0)</f>
        <v>3.5897435897435912</v>
      </c>
      <c r="DN103" s="13">
        <f t="array" ref="DN103">INDEX(DM:DM,MIN(IF(ISNUMBER(DM103:DM299),ROW(DM103:DM299),"")))</f>
        <v>3.5897435897435912</v>
      </c>
      <c r="DO103" s="13">
        <f>IF('Données projet'!$A$166&gt;35,DO102+DN103-DW102,IF(A103&lt;'Données projet'!$A$166,$DL$205^A103,IF(A103='Données projet'!$A$166,'Données projet'!$B$166,DO102+DN103-DW102)))</f>
        <v>307.69230769230785</v>
      </c>
      <c r="DP103" s="18">
        <f>DO103*VLOOKUP('Données projet'!$B$14,Paramètres!$A$1:$I$89,3,0)*VLOOKUP('Données projet'!$B$14,Paramètres!$A$1:$I$89,5,0)</f>
        <v>206.40000000000012</v>
      </c>
      <c r="DQ103" s="14">
        <f t="shared" si="97"/>
        <v>51.148105178123259</v>
      </c>
      <c r="DR103" s="22">
        <f t="shared" si="70"/>
        <v>448.56294985189817</v>
      </c>
      <c r="DS103" s="61">
        <f t="shared" si="71"/>
        <v>741.89628318523148</v>
      </c>
      <c r="DT103" s="61">
        <f ca="1">AVERAGE(OFFSET($DS$3,0,0,'Données projet'!$E$14+1,1))-AVERAGE(OFFSET($H$3,0,0,'Données projet'!$E$14+1,1))</f>
        <v>312.06797204903796</v>
      </c>
      <c r="DU103" s="61">
        <f t="shared" si="98"/>
        <v>258.20189001775151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22.435897435897434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1.4210854715202004E-13</v>
      </c>
      <c r="EK103" s="18">
        <f>EJ103*VLOOKUP('Données projet'!$B$15,Paramètres!$A$1:$I$89,3,0)*VLOOKUP('Données projet'!$B$15,Paramètres!$A$1:$I$89,5,0)</f>
        <v>1.1527845344971866E-13</v>
      </c>
      <c r="EL103" s="14">
        <f t="shared" si="99"/>
        <v>1.7033846239409443E-12</v>
      </c>
      <c r="EM103" s="22">
        <f t="shared" si="73"/>
        <v>3.1675048597887374E-12</v>
      </c>
      <c r="EN103" s="61">
        <f t="shared" si="74"/>
        <v>293.3333333333365</v>
      </c>
      <c r="EO103" s="61">
        <f ca="1">AVERAGE(OFFSET($EN$3,0,0,'Données projet'!$E$15+1,1))-AVERAGE(OFFSET($H$3,0,0,'Données projet'!$E$15+1,1))</f>
        <v>222.15256609836689</v>
      </c>
      <c r="EP103" s="61">
        <f t="shared" si="100"/>
        <v>221.10360210521077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1.1368683772161603E-13</v>
      </c>
      <c r="FF103" s="18">
        <f>FE103*VLOOKUP('Données projet'!$B$16,Paramètres!$A$1:$I$89,3,0)*VLOOKUP('Données projet'!$B$16,Paramètres!$A$1:$I$89,5,0)</f>
        <v>8.8675733422860506E-14</v>
      </c>
      <c r="FG103" s="14">
        <f t="shared" si="101"/>
        <v>1.3509285393066301E-12</v>
      </c>
      <c r="FH103" s="22">
        <f t="shared" si="76"/>
        <v>2.5073107750038623E-12</v>
      </c>
      <c r="FI103" s="61">
        <f t="shared" si="77"/>
        <v>293.33333333333582</v>
      </c>
      <c r="FJ103" s="61">
        <f ca="1">AVERAGE(OFFSET($FI$3,0,0,'Données projet'!$E$16+1,1))-AVERAGE(OFFSET($H$3,0,0,'Données projet'!$E$16+1,1))</f>
        <v>292.57482726862594</v>
      </c>
      <c r="FK103" s="61">
        <f t="shared" si="102"/>
        <v>283.48738729114024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>
        <f>VLOOKUP(A103,'Données projet'!$A$243:$I$263,2,0)</f>
        <v>303</v>
      </c>
      <c r="FX103" s="13">
        <f>VLOOKUP(A103,'Données projet'!$A$243:$I$263,9,0)</f>
        <v>4.9000000000000004</v>
      </c>
      <c r="FY103" s="13">
        <f t="array" ref="FY103">INDEX(FX:FX,MIN(IF(ISNUMBER(FX103:FX299),ROW(FX103:FX299),"")))</f>
        <v>4.9000000000000004</v>
      </c>
      <c r="FZ103" s="13">
        <f>IF('Données projet'!$A$244&gt;35,FZ102+FY103-GH102,IF(A103&lt;'Données projet'!$A$244,$FW$205^A103,IF(A103='Données projet'!$A$244,'Données projet'!$B$244,FZ102+FY103-GH102)))</f>
        <v>302.99999999999983</v>
      </c>
      <c r="GA103" s="18">
        <f>FZ103*VLOOKUP('Données projet'!$B$17,Paramètres!$A$1:$I$89,3,0)*VLOOKUP('Données projet'!$B$17,Paramètres!$A$1:$I$89,5,0)</f>
        <v>293.06159999999983</v>
      </c>
      <c r="GB103" s="14">
        <f t="shared" si="103"/>
        <v>69.719933365116546</v>
      </c>
      <c r="GC103" s="22">
        <f t="shared" si="79"/>
        <v>631.84450394424437</v>
      </c>
      <c r="GD103" s="61">
        <f t="shared" si="80"/>
        <v>925.17783727757774</v>
      </c>
      <c r="GE103" s="61">
        <f ca="1">AVERAGE(OFFSET($GD$3,0,0,'Données projet'!$E$17+1,1))-AVERAGE(OFFSET($H$3,0,0,'Données projet'!$E$17+1,1))</f>
        <v>455.50822833641354</v>
      </c>
      <c r="GF103" s="61">
        <f t="shared" si="104"/>
        <v>261.14722581688039</v>
      </c>
      <c r="GG103" s="16">
        <f>IF(ISNA(VLOOKUP(A103,'Données projet'!$A$243:$I$263,3,0)),0,VLOOKUP(A103,'Données projet'!$A$243:$I$263,3,0))</f>
        <v>8</v>
      </c>
      <c r="GH103" s="16">
        <f>IF(ISNA(VLOOKUP(A103,'Données projet'!$A$243:$I$263,4,0)),0,VLOOKUP(A103,'Données projet'!$A$243:$I$263,4,0))</f>
        <v>42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0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0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>
        <f>VLOOKUP(A103,'Données projet'!$A$269:$I$289,2,0)</f>
        <v>303</v>
      </c>
      <c r="GS103" s="13">
        <f>VLOOKUP(A103,'Données projet'!$A$269:$I$289,9,0)</f>
        <v>4.9000000000000004</v>
      </c>
      <c r="GT103" s="13">
        <f t="array" ref="GT103">INDEX(GS:GS,MIN(IF(ISNUMBER(GS103:GS299),ROW(GS103:GS299),"")))</f>
        <v>4.9000000000000004</v>
      </c>
      <c r="GU103" s="13">
        <f>IF('Données projet'!$A$270&gt;35,GU102+GT103-HC102,IF(A103&lt;'Données projet'!$A$270,$GR$205^A103,IF(A103='Données projet'!$A$270,'Données projet'!$B$270,GU102+GT103-HC102)))</f>
        <v>302.99999999999983</v>
      </c>
      <c r="GV103" s="18">
        <f>GU103*VLOOKUP('Données projet'!$B$18,Paramètres!$A$1:$I$89,3,0)*VLOOKUP('Données projet'!$B$18,Paramètres!$A$1:$I$89,5,0)</f>
        <v>326.14919999999984</v>
      </c>
      <c r="GW103" s="14">
        <f t="shared" si="105"/>
        <v>76.631393510479555</v>
      </c>
      <c r="GX103" s="22">
        <f t="shared" si="82"/>
        <v>701.50953369741819</v>
      </c>
      <c r="GY103" s="61">
        <f t="shared" si="83"/>
        <v>994.84286703075145</v>
      </c>
      <c r="GZ103" s="61">
        <f ca="1">AVERAGE(OFFSET($GY$3,0,0,'Données projet'!$E$18+1,1))-AVERAGE(OFFSET($H$3,0,0,'Données projet'!$E$18+1,1))</f>
        <v>502.07782026233912</v>
      </c>
      <c r="HA103" s="61">
        <f t="shared" si="106"/>
        <v>285.83623046025156</v>
      </c>
      <c r="HB103" s="16">
        <f>IF(ISNA(VLOOKUP(A103,'Données projet'!$A$269:$I$289,3,0)),0,VLOOKUP(A103,'Données projet'!$A$269:$I$289,3,0))</f>
        <v>8</v>
      </c>
      <c r="HC103" s="16">
        <f>IF(ISNA(VLOOKUP(A103,'Données projet'!$A$269:$I$289,4,0)),0,VLOOKUP(A103,'Données projet'!$A$269:$I$289,4,0))</f>
        <v>42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0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0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240.13391999999982</v>
      </c>
      <c r="P104" s="14">
        <f t="shared" si="87"/>
        <v>58.468343087048559</v>
      </c>
      <c r="Q104" s="22">
        <f t="shared" si="107"/>
        <v>520.06560820994252</v>
      </c>
      <c r="R104" s="61">
        <f t="shared" si="55"/>
        <v>813.3989415432759</v>
      </c>
      <c r="S104" s="61">
        <f ca="1">AVERAGE(OFFSET($R$3,0,0,'Données projet'!$E$9+1,1))-AVERAGE(OFFSET($H$3,0,0,'Données projet'!$E$9+1,1))</f>
        <v>428.8489304403459</v>
      </c>
      <c r="T104" s="61">
        <f t="shared" si="88"/>
        <v>247.01165577562966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1">
        <f t="shared" si="59"/>
        <v>874.66185471348285</v>
      </c>
      <c r="AN104" s="61">
        <f ca="1">AVERAGE(OFFSET($AM$3,0,0,'Données projet'!$E$10+1,1))-AVERAGE(OFFSET($H$3,0,0,'Données projet'!$E$10+1,1))</f>
        <v>475.47920969424894</v>
      </c>
      <c r="AO104" s="61">
        <f t="shared" si="90"/>
        <v>271.73544012419364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-3.4106051316484809E-13</v>
      </c>
      <c r="BE104" s="14">
        <f>BD104*VLOOKUP('Données projet'!$B$11,Paramètres!$A$1:$I$89,3,0)*VLOOKUP('Données projet'!$B$11,Paramètres!$A$1:$I$89,5,0)</f>
        <v>-1.9065282685915009E-13</v>
      </c>
      <c r="BF104" s="14" t="e">
        <f t="shared" si="91"/>
        <v>#NUM!</v>
      </c>
      <c r="BG104" s="22" t="e">
        <f t="shared" si="61"/>
        <v>#NUM!</v>
      </c>
      <c r="BH104" s="61" t="e">
        <f t="shared" si="62"/>
        <v>#NUM!</v>
      </c>
      <c r="BI104" s="61">
        <f ca="1">AVERAGE(OFFSET($BH$3,0,0,'Données projet'!$E$11+1,1))-AVERAGE(OFFSET($H$3,0,0,'Données projet'!$E$11+1,1))</f>
        <v>374.79806286316051</v>
      </c>
      <c r="BJ104" s="61">
        <f t="shared" si="92"/>
        <v>350.01856672839466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3.1101673840036148</v>
      </c>
      <c r="BR104" s="23">
        <f>EXP(-LN(2)/2)*BR103+(1-EXP(-LN(2)/2))/(LN(2)/2)*BL104*BO104*VLOOKUP('Données projet'!$B$11,Paramètres!$A$1:$I$89,3,0)*0.475*44/12</f>
        <v>2.2653480468994256E-10</v>
      </c>
      <c r="BS104" s="24">
        <f t="shared" si="63"/>
        <v>3.1101673842301496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7.882692307692305</v>
      </c>
      <c r="BY104" s="13">
        <f>IF('Données projet'!$A$114&gt;35,BY103+BX104-CG103,IF(A104&lt;'Données projet'!$A$114,$BV$205^A104,IF(A104='Données projet'!$A$114,'Données projet'!$B$114,BY103+BX104-CG103)))</f>
        <v>350.13846153846168</v>
      </c>
      <c r="BZ104" s="14">
        <f>BY104*VLOOKUP('Données projet'!$B$12,Paramètres!$A$1:$I$89,3,0)*VLOOKUP('Données projet'!$B$12,Paramètres!$A$1:$I$89,5,0)</f>
        <v>163.86480000000006</v>
      </c>
      <c r="CA104" s="14">
        <f t="shared" si="93"/>
        <v>41.713017234350168</v>
      </c>
      <c r="CB104" s="22">
        <f t="shared" si="64"/>
        <v>358.04803168315993</v>
      </c>
      <c r="CC104" s="61">
        <f t="shared" si="65"/>
        <v>651.38136501649319</v>
      </c>
      <c r="CD104" s="61">
        <f ca="1">AVERAGE(OFFSET($CC$3,0,0,'Données projet'!$E$12+1,1))-AVERAGE(OFFSET($H$3,0,0,'Données projet'!$E$12+1,1))</f>
        <v>285.59863510278109</v>
      </c>
      <c r="CE104" s="61">
        <f t="shared" si="94"/>
        <v>190.4880882944471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14</v>
      </c>
      <c r="CT104" s="13">
        <f>IF('Données projet'!$A$140&gt;35,CT103+CS104-DB103,IF(A104&lt;'Données projet'!$A$140,$CQ$205^A104,IF(A104='Données projet'!$A$140,'Données projet'!$B$140,CT103+CS104-DB103)))</f>
        <v>467.00000000000011</v>
      </c>
      <c r="CU104" s="18">
        <f>CT104*VLOOKUP('Données projet'!$B$13,Paramètres!$A$1:$I$89,3,0)*VLOOKUP('Données projet'!$B$13,Paramètres!$A$1:$I$89,5,0)</f>
        <v>224.62700000000007</v>
      </c>
      <c r="CV104" s="14">
        <f t="shared" si="95"/>
        <v>55.119319863505318</v>
      </c>
      <c r="CW104" s="22">
        <f t="shared" si="67"/>
        <v>487.22484042893853</v>
      </c>
      <c r="CX104" s="61">
        <f t="shared" si="68"/>
        <v>780.55817376227185</v>
      </c>
      <c r="CY104" s="61">
        <f ca="1">AVERAGE(OFFSET($CX$3,0,0,'Données projet'!$E$13+1,1))-AVERAGE(OFFSET($H$3,0,0,'Données projet'!$E$13+1,1))</f>
        <v>273.72618036666552</v>
      </c>
      <c r="CZ104" s="61">
        <f t="shared" si="96"/>
        <v>157.67999791700714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3.2051282051282102</v>
      </c>
      <c r="DO104" s="13">
        <f>IF('Données projet'!$A$166&gt;35,DO103+DN104-DW103,IF(A104&lt;'Données projet'!$A$166,$DL$205^A104,IF(A104='Données projet'!$A$166,'Données projet'!$B$166,DO103+DN104-DW103)))</f>
        <v>288.46153846153862</v>
      </c>
      <c r="DP104" s="18">
        <f>DO104*VLOOKUP('Données projet'!$B$14,Paramètres!$A$1:$I$89,3,0)*VLOOKUP('Données projet'!$B$14,Paramètres!$A$1:$I$89,5,0)</f>
        <v>193.50000000000011</v>
      </c>
      <c r="DQ104" s="14">
        <f t="shared" si="97"/>
        <v>48.312929194247467</v>
      </c>
      <c r="DR104" s="22">
        <f t="shared" si="70"/>
        <v>421.15751834664781</v>
      </c>
      <c r="DS104" s="61">
        <f t="shared" si="71"/>
        <v>714.49085167998112</v>
      </c>
      <c r="DT104" s="61">
        <f ca="1">AVERAGE(OFFSET($DS$3,0,0,'Données projet'!$E$14+1,1))-AVERAGE(OFFSET($H$3,0,0,'Données projet'!$E$14+1,1))</f>
        <v>312.06797204903796</v>
      </c>
      <c r="DU104" s="61">
        <f t="shared" si="98"/>
        <v>258.20189001775151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1.4210854715202004E-13</v>
      </c>
      <c r="EK104" s="18">
        <f>EJ104*VLOOKUP('Données projet'!$B$15,Paramètres!$A$1:$I$89,3,0)*VLOOKUP('Données projet'!$B$15,Paramètres!$A$1:$I$89,5,0)</f>
        <v>1.1527845344971866E-13</v>
      </c>
      <c r="EL104" s="14">
        <f t="shared" si="99"/>
        <v>1.7033846239409443E-12</v>
      </c>
      <c r="EM104" s="22">
        <f t="shared" si="73"/>
        <v>3.1675048597887374E-12</v>
      </c>
      <c r="EN104" s="61">
        <f t="shared" si="74"/>
        <v>293.3333333333365</v>
      </c>
      <c r="EO104" s="61">
        <f ca="1">AVERAGE(OFFSET($EN$3,0,0,'Données projet'!$E$15+1,1))-AVERAGE(OFFSET($H$3,0,0,'Données projet'!$E$15+1,1))</f>
        <v>222.15256609836689</v>
      </c>
      <c r="EP104" s="61">
        <f t="shared" si="100"/>
        <v>221.10360210521077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1.1368683772161603E-13</v>
      </c>
      <c r="FF104" s="18">
        <f>FE104*VLOOKUP('Données projet'!$B$16,Paramètres!$A$1:$I$89,3,0)*VLOOKUP('Données projet'!$B$16,Paramètres!$A$1:$I$89,5,0)</f>
        <v>8.8675733422860506E-14</v>
      </c>
      <c r="FG104" s="14">
        <f t="shared" si="101"/>
        <v>1.3509285393066301E-12</v>
      </c>
      <c r="FH104" s="22">
        <f t="shared" si="76"/>
        <v>2.5073107750038623E-12</v>
      </c>
      <c r="FI104" s="61">
        <f t="shared" si="77"/>
        <v>293.33333333333582</v>
      </c>
      <c r="FJ104" s="61">
        <f ca="1">AVERAGE(OFFSET($FI$3,0,0,'Données projet'!$E$16+1,1))-AVERAGE(OFFSET($H$3,0,0,'Données projet'!$E$16+1,1))</f>
        <v>292.57482726862594</v>
      </c>
      <c r="FK104" s="61">
        <f t="shared" si="102"/>
        <v>283.48738729114024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4.4000000000000004</v>
      </c>
      <c r="FZ104" s="13">
        <f>IF('Données projet'!$A$244&gt;35,FZ103+FY104-GH103,IF(A104&lt;'Données projet'!$A$244,$FW$205^A104,IF(A104='Données projet'!$A$244,'Données projet'!$B$244,FZ103+FY104-GH103)))</f>
        <v>265.39999999999981</v>
      </c>
      <c r="GA104" s="18">
        <f>FZ104*VLOOKUP('Données projet'!$B$17,Paramètres!$A$1:$I$89,3,0)*VLOOKUP('Données projet'!$B$17,Paramètres!$A$1:$I$89,5,0)</f>
        <v>256.69487999999984</v>
      </c>
      <c r="GB104" s="14">
        <f t="shared" si="103"/>
        <v>62.017336223177502</v>
      </c>
      <c r="GC104" s="22">
        <f t="shared" si="79"/>
        <v>555.09044325536718</v>
      </c>
      <c r="GD104" s="61">
        <f t="shared" si="80"/>
        <v>848.42377658870055</v>
      </c>
      <c r="GE104" s="61">
        <f ca="1">AVERAGE(OFFSET($GD$3,0,0,'Données projet'!$E$17+1,1))-AVERAGE(OFFSET($H$3,0,0,'Données projet'!$E$17+1,1))</f>
        <v>455.50822833641354</v>
      </c>
      <c r="GF104" s="61">
        <f t="shared" si="104"/>
        <v>261.14722581688039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0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0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4.4000000000000004</v>
      </c>
      <c r="GU104" s="13">
        <f>IF('Données projet'!$A$270&gt;35,GU103+GT104-HC103,IF(A104&lt;'Données projet'!$A$270,$GR$205^A104,IF(A104='Données projet'!$A$270,'Données projet'!$B$270,GU103+GT104-HC103)))</f>
        <v>265.39999999999981</v>
      </c>
      <c r="GV104" s="18">
        <f>GU104*VLOOKUP('Données projet'!$B$18,Paramètres!$A$1:$I$89,3,0)*VLOOKUP('Données projet'!$B$18,Paramètres!$A$1:$I$89,5,0)</f>
        <v>285.67655999999977</v>
      </c>
      <c r="GW104" s="14">
        <f t="shared" si="105"/>
        <v>68.165224308258956</v>
      </c>
      <c r="GX104" s="22">
        <f t="shared" si="82"/>
        <v>616.27444100355058</v>
      </c>
      <c r="GY104" s="61">
        <f t="shared" si="83"/>
        <v>909.60777433688395</v>
      </c>
      <c r="GZ104" s="61">
        <f ca="1">AVERAGE(OFFSET($GY$3,0,0,'Données projet'!$E$18+1,1))-AVERAGE(OFFSET($H$3,0,0,'Données projet'!$E$18+1,1))</f>
        <v>502.07782026233912</v>
      </c>
      <c r="HA104" s="61">
        <f t="shared" si="106"/>
        <v>285.83623046025156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0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0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244.11503999999979</v>
      </c>
      <c r="P105" s="14">
        <f t="shared" si="87"/>
        <v>59.324023461759012</v>
      </c>
      <c r="Q105" s="22">
        <f t="shared" si="107"/>
        <v>528.48970219589648</v>
      </c>
      <c r="R105" s="61">
        <f t="shared" si="55"/>
        <v>821.82303552922986</v>
      </c>
      <c r="S105" s="61">
        <f ca="1">AVERAGE(OFFSET($R$3,0,0,'Données projet'!$E$9+1,1))-AVERAGE(OFFSET($H$3,0,0,'Données projet'!$E$9+1,1))</f>
        <v>428.8489304403459</v>
      </c>
      <c r="T105" s="61">
        <f t="shared" si="88"/>
        <v>247.01165577562966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1">
        <f t="shared" si="59"/>
        <v>884.08064423326846</v>
      </c>
      <c r="AN105" s="61">
        <f ca="1">AVERAGE(OFFSET($AM$3,0,0,'Données projet'!$E$10+1,1))-AVERAGE(OFFSET($H$3,0,0,'Données projet'!$E$10+1,1))</f>
        <v>475.47920969424894</v>
      </c>
      <c r="AO105" s="61">
        <f t="shared" si="90"/>
        <v>271.73544012419364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-3.4106051316484809E-13</v>
      </c>
      <c r="BE105" s="14">
        <f>BD105*VLOOKUP('Données projet'!$B$11,Paramètres!$A$1:$I$89,3,0)*VLOOKUP('Données projet'!$B$11,Paramètres!$A$1:$I$89,5,0)</f>
        <v>-1.9065282685915009E-13</v>
      </c>
      <c r="BF105" s="14" t="e">
        <f t="shared" si="91"/>
        <v>#NUM!</v>
      </c>
      <c r="BG105" s="22" t="e">
        <f t="shared" si="61"/>
        <v>#NUM!</v>
      </c>
      <c r="BH105" s="61" t="e">
        <f t="shared" si="62"/>
        <v>#NUM!</v>
      </c>
      <c r="BI105" s="61">
        <f ca="1">AVERAGE(OFFSET($BH$3,0,0,'Données projet'!$E$11+1,1))-AVERAGE(OFFSET($H$3,0,0,'Données projet'!$E$11+1,1))</f>
        <v>374.79806286316051</v>
      </c>
      <c r="BJ105" s="61">
        <f t="shared" si="92"/>
        <v>350.01856672839466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3.0251196933314417</v>
      </c>
      <c r="BR105" s="23">
        <f>EXP(-LN(2)/2)*BR104+(1-EXP(-LN(2)/2))/(LN(2)/2)*BL105*BO105*VLOOKUP('Données projet'!$B$11,Paramètres!$A$1:$I$89,3,0)*0.475*44/12</f>
        <v>1.601842965710285E-10</v>
      </c>
      <c r="BS105" s="24">
        <f t="shared" si="63"/>
        <v>3.025119693491626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7.882692307692305</v>
      </c>
      <c r="BY105" s="13">
        <f>IF('Données projet'!$A$114&gt;35,BY104+BX105-CG104,IF(A105&lt;'Données projet'!$A$114,$BV$205^A105,IF(A105='Données projet'!$A$114,'Données projet'!$B$114,BY104+BX105-CG104)))</f>
        <v>358.02115384615399</v>
      </c>
      <c r="BZ105" s="14">
        <f>BY105*VLOOKUP('Données projet'!$B$12,Paramètres!$A$1:$I$89,3,0)*VLOOKUP('Données projet'!$B$12,Paramètres!$A$1:$I$89,5,0)</f>
        <v>167.55390000000006</v>
      </c>
      <c r="CA105" s="14">
        <f t="shared" si="93"/>
        <v>42.541717299361267</v>
      </c>
      <c r="CB105" s="22">
        <f t="shared" si="64"/>
        <v>365.91653346305429</v>
      </c>
      <c r="CC105" s="61">
        <f t="shared" si="65"/>
        <v>659.24986679638755</v>
      </c>
      <c r="CD105" s="61">
        <f ca="1">AVERAGE(OFFSET($CC$3,0,0,'Données projet'!$E$12+1,1))-AVERAGE(OFFSET($H$3,0,0,'Données projet'!$E$12+1,1))</f>
        <v>285.59863510278109</v>
      </c>
      <c r="CE105" s="61">
        <f t="shared" si="94"/>
        <v>190.4880882944471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14</v>
      </c>
      <c r="CT105" s="13">
        <f>IF('Données projet'!$A$140&gt;35,CT104+CS105-DB104,IF(A105&lt;'Données projet'!$A$140,$CQ$205^A105,IF(A105='Données projet'!$A$140,'Données projet'!$B$140,CT104+CS105-DB104)))</f>
        <v>481.00000000000011</v>
      </c>
      <c r="CU105" s="18">
        <f>CT105*VLOOKUP('Données projet'!$B$13,Paramètres!$A$1:$I$89,3,0)*VLOOKUP('Données projet'!$B$13,Paramètres!$A$1:$I$89,5,0)</f>
        <v>231.36100000000005</v>
      </c>
      <c r="CV105" s="14">
        <f t="shared" si="95"/>
        <v>56.576860426068023</v>
      </c>
      <c r="CW105" s="22">
        <f t="shared" si="67"/>
        <v>501.49177357540185</v>
      </c>
      <c r="CX105" s="61">
        <f t="shared" si="68"/>
        <v>794.82510690873517</v>
      </c>
      <c r="CY105" s="61">
        <f ca="1">AVERAGE(OFFSET($CX$3,0,0,'Données projet'!$E$13+1,1))-AVERAGE(OFFSET($H$3,0,0,'Données projet'!$E$13+1,1))</f>
        <v>273.72618036666552</v>
      </c>
      <c r="CZ105" s="61">
        <f t="shared" si="96"/>
        <v>157.67999791700714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3.2051282051282102</v>
      </c>
      <c r="DO105" s="13">
        <f>IF('Données projet'!$A$166&gt;35,DO104+DN105-DW104,IF(A105&lt;'Données projet'!$A$166,$DL$205^A105,IF(A105='Données projet'!$A$166,'Données projet'!$B$166,DO104+DN105-DW104)))</f>
        <v>291.66666666666686</v>
      </c>
      <c r="DP105" s="18">
        <f>DO105*VLOOKUP('Données projet'!$B$14,Paramètres!$A$1:$I$89,3,0)*VLOOKUP('Données projet'!$B$14,Paramètres!$A$1:$I$89,5,0)</f>
        <v>195.65000000000012</v>
      </c>
      <c r="DQ105" s="14">
        <f t="shared" si="97"/>
        <v>48.786949327182981</v>
      </c>
      <c r="DR105" s="22">
        <f t="shared" si="70"/>
        <v>425.72768674484382</v>
      </c>
      <c r="DS105" s="61">
        <f t="shared" si="71"/>
        <v>719.06102007817708</v>
      </c>
      <c r="DT105" s="61">
        <f ca="1">AVERAGE(OFFSET($DS$3,0,0,'Données projet'!$E$14+1,1))-AVERAGE(OFFSET($H$3,0,0,'Données projet'!$E$14+1,1))</f>
        <v>312.06797204903796</v>
      </c>
      <c r="DU105" s="61">
        <f t="shared" si="98"/>
        <v>258.20189001775151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1.4210854715202004E-13</v>
      </c>
      <c r="EK105" s="18">
        <f>EJ105*VLOOKUP('Données projet'!$B$15,Paramètres!$A$1:$I$89,3,0)*VLOOKUP('Données projet'!$B$15,Paramètres!$A$1:$I$89,5,0)</f>
        <v>1.1527845344971866E-13</v>
      </c>
      <c r="EL105" s="14">
        <f t="shared" si="99"/>
        <v>1.7033846239409443E-12</v>
      </c>
      <c r="EM105" s="22">
        <f t="shared" si="73"/>
        <v>3.1675048597887374E-12</v>
      </c>
      <c r="EN105" s="61">
        <f t="shared" si="74"/>
        <v>293.3333333333365</v>
      </c>
      <c r="EO105" s="61">
        <f ca="1">AVERAGE(OFFSET($EN$3,0,0,'Données projet'!$E$15+1,1))-AVERAGE(OFFSET($H$3,0,0,'Données projet'!$E$15+1,1))</f>
        <v>222.15256609836689</v>
      </c>
      <c r="EP105" s="61">
        <f t="shared" si="100"/>
        <v>221.10360210521077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1.1368683772161603E-13</v>
      </c>
      <c r="FF105" s="18">
        <f>FE105*VLOOKUP('Données projet'!$B$16,Paramètres!$A$1:$I$89,3,0)*VLOOKUP('Données projet'!$B$16,Paramètres!$A$1:$I$89,5,0)</f>
        <v>8.8675733422860506E-14</v>
      </c>
      <c r="FG105" s="14">
        <f t="shared" si="101"/>
        <v>1.3509285393066301E-12</v>
      </c>
      <c r="FH105" s="22">
        <f t="shared" si="76"/>
        <v>2.5073107750038623E-12</v>
      </c>
      <c r="FI105" s="61">
        <f t="shared" si="77"/>
        <v>293.33333333333582</v>
      </c>
      <c r="FJ105" s="61">
        <f ca="1">AVERAGE(OFFSET($FI$3,0,0,'Données projet'!$E$16+1,1))-AVERAGE(OFFSET($H$3,0,0,'Données projet'!$E$16+1,1))</f>
        <v>292.57482726862594</v>
      </c>
      <c r="FK105" s="61">
        <f t="shared" si="102"/>
        <v>283.48738729114024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4.4000000000000004</v>
      </c>
      <c r="FZ105" s="13">
        <f>IF('Données projet'!$A$244&gt;35,FZ104+FY105-GH104,IF(A105&lt;'Données projet'!$A$244,$FW$205^A105,IF(A105='Données projet'!$A$244,'Données projet'!$B$244,FZ104+FY105-GH104)))</f>
        <v>269.79999999999978</v>
      </c>
      <c r="GA105" s="18">
        <f>FZ105*VLOOKUP('Données projet'!$B$17,Paramètres!$A$1:$I$89,3,0)*VLOOKUP('Données projet'!$B$17,Paramètres!$A$1:$I$89,5,0)</f>
        <v>260.95055999999983</v>
      </c>
      <c r="GB105" s="14">
        <f t="shared" si="103"/>
        <v>62.924955880176938</v>
      </c>
      <c r="GC105" s="22">
        <f t="shared" si="79"/>
        <v>564.08319015797451</v>
      </c>
      <c r="GD105" s="61">
        <f t="shared" si="80"/>
        <v>857.41652349130777</v>
      </c>
      <c r="GE105" s="61">
        <f ca="1">AVERAGE(OFFSET($GD$3,0,0,'Données projet'!$E$17+1,1))-AVERAGE(OFFSET($H$3,0,0,'Données projet'!$E$17+1,1))</f>
        <v>455.50822833641354</v>
      </c>
      <c r="GF105" s="61">
        <f t="shared" si="104"/>
        <v>261.14722581688039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0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0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4.4000000000000004</v>
      </c>
      <c r="GU105" s="13">
        <f>IF('Données projet'!$A$270&gt;35,GU104+GT105-HC104,IF(A105&lt;'Données projet'!$A$270,$GR$205^A105,IF(A105='Données projet'!$A$270,'Données projet'!$B$270,GU104+GT105-HC104)))</f>
        <v>269.79999999999978</v>
      </c>
      <c r="GV105" s="18">
        <f>GU105*VLOOKUP('Données projet'!$B$18,Paramètres!$A$1:$I$89,3,0)*VLOOKUP('Données projet'!$B$18,Paramètres!$A$1:$I$89,5,0)</f>
        <v>290.41271999999975</v>
      </c>
      <c r="GW105" s="14">
        <f t="shared" si="105"/>
        <v>69.162817905044719</v>
      </c>
      <c r="GX105" s="22">
        <f t="shared" si="82"/>
        <v>626.26072851795254</v>
      </c>
      <c r="GY105" s="61">
        <f t="shared" si="83"/>
        <v>919.59406185128591</v>
      </c>
      <c r="GZ105" s="61">
        <f ca="1">AVERAGE(OFFSET($GY$3,0,0,'Données projet'!$E$18+1,1))-AVERAGE(OFFSET($H$3,0,0,'Données projet'!$E$18+1,1))</f>
        <v>502.07782026233912</v>
      </c>
      <c r="HA105" s="61">
        <f t="shared" si="106"/>
        <v>285.83623046025156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0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0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248.0961599999998</v>
      </c>
      <c r="P106" s="14">
        <f t="shared" si="87"/>
        <v>60.178080967364686</v>
      </c>
      <c r="Q106" s="22">
        <f t="shared" si="107"/>
        <v>536.91096968482657</v>
      </c>
      <c r="R106" s="61">
        <f t="shared" si="55"/>
        <v>830.24430301815983</v>
      </c>
      <c r="S106" s="61">
        <f ca="1">AVERAGE(OFFSET($R$3,0,0,'Données projet'!$E$9+1,1))-AVERAGE(OFFSET($H$3,0,0,'Données projet'!$E$9+1,1))</f>
        <v>428.8489304403459</v>
      </c>
      <c r="T106" s="61">
        <f t="shared" si="88"/>
        <v>247.01165577562966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1">
        <f t="shared" si="59"/>
        <v>893.49630786227453</v>
      </c>
      <c r="AN106" s="61">
        <f ca="1">AVERAGE(OFFSET($AM$3,0,0,'Données projet'!$E$10+1,1))-AVERAGE(OFFSET($H$3,0,0,'Données projet'!$E$10+1,1))</f>
        <v>475.47920969424894</v>
      </c>
      <c r="AO106" s="61">
        <f t="shared" si="90"/>
        <v>271.73544012419364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-3.4106051316484809E-13</v>
      </c>
      <c r="BE106" s="14">
        <f>BD106*VLOOKUP('Données projet'!$B$11,Paramètres!$A$1:$I$89,3,0)*VLOOKUP('Données projet'!$B$11,Paramètres!$A$1:$I$89,5,0)</f>
        <v>-1.9065282685915009E-13</v>
      </c>
      <c r="BF106" s="14" t="e">
        <f t="shared" si="91"/>
        <v>#NUM!</v>
      </c>
      <c r="BG106" s="22" t="e">
        <f t="shared" si="61"/>
        <v>#NUM!</v>
      </c>
      <c r="BH106" s="61" t="e">
        <f t="shared" si="62"/>
        <v>#NUM!</v>
      </c>
      <c r="BI106" s="61">
        <f ca="1">AVERAGE(OFFSET($BH$3,0,0,'Données projet'!$E$11+1,1))-AVERAGE(OFFSET($H$3,0,0,'Données projet'!$E$11+1,1))</f>
        <v>374.79806286316051</v>
      </c>
      <c r="BJ106" s="61">
        <f t="shared" si="92"/>
        <v>350.01856672839466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2.9423976362331627</v>
      </c>
      <c r="BR106" s="23">
        <f>EXP(-LN(2)/2)*BR105+(1-EXP(-LN(2)/2))/(LN(2)/2)*BL106*BO106*VLOOKUP('Données projet'!$B$11,Paramètres!$A$1:$I$89,3,0)*0.475*44/12</f>
        <v>1.1326740234497129E-10</v>
      </c>
      <c r="BS106" s="24">
        <f t="shared" si="63"/>
        <v>2.9423976363464304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7.882692307692305</v>
      </c>
      <c r="BY106" s="13">
        <f>IF('Données projet'!$A$114&gt;35,BY105+BX106-CG105,IF(A106&lt;'Données projet'!$A$114,$BV$205^A106,IF(A106='Données projet'!$A$114,'Données projet'!$B$114,BY105+BX106-CG105)))</f>
        <v>365.9038461538463</v>
      </c>
      <c r="BZ106" s="14">
        <f>BY106*VLOOKUP('Données projet'!$B$12,Paramètres!$A$1:$I$89,3,0)*VLOOKUP('Données projet'!$B$12,Paramètres!$A$1:$I$89,5,0)</f>
        <v>171.24300000000005</v>
      </c>
      <c r="CA106" s="14">
        <f t="shared" si="93"/>
        <v>43.36829608954848</v>
      </c>
      <c r="CB106" s="22">
        <f t="shared" si="64"/>
        <v>373.781340689297</v>
      </c>
      <c r="CC106" s="61">
        <f t="shared" si="65"/>
        <v>667.11467402263031</v>
      </c>
      <c r="CD106" s="61">
        <f ca="1">AVERAGE(OFFSET($CC$3,0,0,'Données projet'!$E$12+1,1))-AVERAGE(OFFSET($H$3,0,0,'Données projet'!$E$12+1,1))</f>
        <v>285.59863510278109</v>
      </c>
      <c r="CE106" s="61">
        <f t="shared" si="94"/>
        <v>190.4880882944471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14</v>
      </c>
      <c r="CT106" s="13">
        <f>IF('Données projet'!$A$140&gt;35,CT105+CS106-DB105,IF(A106&lt;'Données projet'!$A$140,$CQ$205^A106,IF(A106='Données projet'!$A$140,'Données projet'!$B$140,CT105+CS106-DB105)))</f>
        <v>495.00000000000011</v>
      </c>
      <c r="CU106" s="18">
        <f>CT106*VLOOKUP('Données projet'!$B$13,Paramètres!$A$1:$I$89,3,0)*VLOOKUP('Données projet'!$B$13,Paramètres!$A$1:$I$89,5,0)</f>
        <v>238.09500000000006</v>
      </c>
      <c r="CV106" s="14">
        <f t="shared" si="95"/>
        <v>58.02947054598085</v>
      </c>
      <c r="CW106" s="22">
        <f t="shared" si="67"/>
        <v>515.75011953425008</v>
      </c>
      <c r="CX106" s="61">
        <f t="shared" si="68"/>
        <v>809.08345286758345</v>
      </c>
      <c r="CY106" s="61">
        <f ca="1">AVERAGE(OFFSET($CX$3,0,0,'Données projet'!$E$13+1,1))-AVERAGE(OFFSET($H$3,0,0,'Données projet'!$E$13+1,1))</f>
        <v>273.72618036666552</v>
      </c>
      <c r="CZ106" s="61">
        <f t="shared" si="96"/>
        <v>157.67999791700714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3.2051282051282102</v>
      </c>
      <c r="DO106" s="13">
        <f>IF('Données projet'!$A$166&gt;35,DO105+DN106-DW105,IF(A106&lt;'Données projet'!$A$166,$DL$205^A106,IF(A106='Données projet'!$A$166,'Données projet'!$B$166,DO105+DN106-DW105)))</f>
        <v>294.87179487179509</v>
      </c>
      <c r="DP106" s="18">
        <f>DO106*VLOOKUP('Données projet'!$B$14,Paramètres!$A$1:$I$89,3,0)*VLOOKUP('Données projet'!$B$14,Paramètres!$A$1:$I$89,5,0)</f>
        <v>197.80000000000015</v>
      </c>
      <c r="DQ106" s="14">
        <f t="shared" si="97"/>
        <v>49.260363505790551</v>
      </c>
      <c r="DR106" s="22">
        <f t="shared" si="70"/>
        <v>430.29679977258542</v>
      </c>
      <c r="DS106" s="61">
        <f t="shared" si="71"/>
        <v>723.63013310591873</v>
      </c>
      <c r="DT106" s="61">
        <f ca="1">AVERAGE(OFFSET($DS$3,0,0,'Données projet'!$E$14+1,1))-AVERAGE(OFFSET($H$3,0,0,'Données projet'!$E$14+1,1))</f>
        <v>312.06797204903796</v>
      </c>
      <c r="DU106" s="61">
        <f t="shared" si="98"/>
        <v>258.20189001775151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1.4210854715202004E-13</v>
      </c>
      <c r="EK106" s="18">
        <f>EJ106*VLOOKUP('Données projet'!$B$15,Paramètres!$A$1:$I$89,3,0)*VLOOKUP('Données projet'!$B$15,Paramètres!$A$1:$I$89,5,0)</f>
        <v>1.1527845344971866E-13</v>
      </c>
      <c r="EL106" s="14">
        <f t="shared" si="99"/>
        <v>1.7033846239409443E-12</v>
      </c>
      <c r="EM106" s="22">
        <f t="shared" si="73"/>
        <v>3.1675048597887374E-12</v>
      </c>
      <c r="EN106" s="61">
        <f t="shared" si="74"/>
        <v>293.3333333333365</v>
      </c>
      <c r="EO106" s="61">
        <f ca="1">AVERAGE(OFFSET($EN$3,0,0,'Données projet'!$E$15+1,1))-AVERAGE(OFFSET($H$3,0,0,'Données projet'!$E$15+1,1))</f>
        <v>222.15256609836689</v>
      </c>
      <c r="EP106" s="61">
        <f t="shared" si="100"/>
        <v>221.10360210521077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1.1368683772161603E-13</v>
      </c>
      <c r="FF106" s="18">
        <f>FE106*VLOOKUP('Données projet'!$B$16,Paramètres!$A$1:$I$89,3,0)*VLOOKUP('Données projet'!$B$16,Paramètres!$A$1:$I$89,5,0)</f>
        <v>8.8675733422860506E-14</v>
      </c>
      <c r="FG106" s="14">
        <f t="shared" si="101"/>
        <v>1.3509285393066301E-12</v>
      </c>
      <c r="FH106" s="22">
        <f t="shared" si="76"/>
        <v>2.5073107750038623E-12</v>
      </c>
      <c r="FI106" s="61">
        <f t="shared" si="77"/>
        <v>293.33333333333582</v>
      </c>
      <c r="FJ106" s="61">
        <f ca="1">AVERAGE(OFFSET($FI$3,0,0,'Données projet'!$E$16+1,1))-AVERAGE(OFFSET($H$3,0,0,'Données projet'!$E$16+1,1))</f>
        <v>292.57482726862594</v>
      </c>
      <c r="FK106" s="61">
        <f t="shared" si="102"/>
        <v>283.48738729114024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4.4000000000000004</v>
      </c>
      <c r="FZ106" s="13">
        <f>IF('Données projet'!$A$244&gt;35,FZ105+FY106-GH105,IF(A106&lt;'Données projet'!$A$244,$FW$205^A106,IF(A106='Données projet'!$A$244,'Données projet'!$B$244,FZ105+FY106-GH105)))</f>
        <v>274.19999999999976</v>
      </c>
      <c r="GA106" s="18">
        <f>FZ106*VLOOKUP('Données projet'!$B$17,Paramètres!$A$1:$I$89,3,0)*VLOOKUP('Données projet'!$B$17,Paramètres!$A$1:$I$89,5,0)</f>
        <v>265.20623999999975</v>
      </c>
      <c r="GB106" s="14">
        <f t="shared" si="103"/>
        <v>63.830854160896386</v>
      </c>
      <c r="GC106" s="22">
        <f t="shared" si="79"/>
        <v>573.07293899689409</v>
      </c>
      <c r="GD106" s="61">
        <f t="shared" si="80"/>
        <v>866.40627233022747</v>
      </c>
      <c r="GE106" s="61">
        <f ca="1">AVERAGE(OFFSET($GD$3,0,0,'Données projet'!$E$17+1,1))-AVERAGE(OFFSET($H$3,0,0,'Données projet'!$E$17+1,1))</f>
        <v>455.50822833641354</v>
      </c>
      <c r="GF106" s="61">
        <f t="shared" si="104"/>
        <v>261.14722581688039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0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0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4.4000000000000004</v>
      </c>
      <c r="GU106" s="13">
        <f>IF('Données projet'!$A$270&gt;35,GU105+GT106-HC105,IF(A106&lt;'Données projet'!$A$270,$GR$205^A106,IF(A106='Données projet'!$A$270,'Données projet'!$B$270,GU105+GT106-HC105)))</f>
        <v>274.19999999999976</v>
      </c>
      <c r="GV106" s="18">
        <f>GU106*VLOOKUP('Données projet'!$B$18,Paramètres!$A$1:$I$89,3,0)*VLOOKUP('Données projet'!$B$18,Paramètres!$A$1:$I$89,5,0)</f>
        <v>295.14887999999974</v>
      </c>
      <c r="GW106" s="14">
        <f t="shared" si="105"/>
        <v>70.158519482479349</v>
      </c>
      <c r="GX106" s="22">
        <f t="shared" si="82"/>
        <v>636.24372076531768</v>
      </c>
      <c r="GY106" s="61">
        <f t="shared" si="83"/>
        <v>929.57705409865093</v>
      </c>
      <c r="GZ106" s="61">
        <f ca="1">AVERAGE(OFFSET($GY$3,0,0,'Données projet'!$E$18+1,1))-AVERAGE(OFFSET($H$3,0,0,'Données projet'!$E$18+1,1))</f>
        <v>502.07782026233912</v>
      </c>
      <c r="HA106" s="61">
        <f t="shared" si="106"/>
        <v>285.83623046025156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0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0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252.07727999999975</v>
      </c>
      <c r="P107" s="14">
        <f t="shared" si="87"/>
        <v>61.03054465215493</v>
      </c>
      <c r="Q107" s="22">
        <f t="shared" si="107"/>
        <v>545.32946126916943</v>
      </c>
      <c r="R107" s="61">
        <f t="shared" si="55"/>
        <v>838.6627946025028</v>
      </c>
      <c r="S107" s="61">
        <f ca="1">AVERAGE(OFFSET($R$3,0,0,'Données projet'!$E$9+1,1))-AVERAGE(OFFSET($H$3,0,0,'Données projet'!$E$9+1,1))</f>
        <v>428.8489304403459</v>
      </c>
      <c r="T107" s="61">
        <f t="shared" si="88"/>
        <v>247.01165577562966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1">
        <f t="shared" si="59"/>
        <v>902.90890155189049</v>
      </c>
      <c r="AN107" s="61">
        <f ca="1">AVERAGE(OFFSET($AM$3,0,0,'Données projet'!$E$10+1,1))-AVERAGE(OFFSET($H$3,0,0,'Données projet'!$E$10+1,1))</f>
        <v>475.47920969424894</v>
      </c>
      <c r="AO107" s="61">
        <f t="shared" si="90"/>
        <v>271.73544012419364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-3.4106051316484809E-13</v>
      </c>
      <c r="BE107" s="14">
        <f>BD107*VLOOKUP('Données projet'!$B$11,Paramètres!$A$1:$I$89,3,0)*VLOOKUP('Données projet'!$B$11,Paramètres!$A$1:$I$89,5,0)</f>
        <v>-1.9065282685915009E-13</v>
      </c>
      <c r="BF107" s="14" t="e">
        <f t="shared" si="91"/>
        <v>#NUM!</v>
      </c>
      <c r="BG107" s="22" t="e">
        <f t="shared" si="61"/>
        <v>#NUM!</v>
      </c>
      <c r="BH107" s="61" t="e">
        <f t="shared" si="62"/>
        <v>#NUM!</v>
      </c>
      <c r="BI107" s="61">
        <f ca="1">AVERAGE(OFFSET($BH$3,0,0,'Données projet'!$E$11+1,1))-AVERAGE(OFFSET($H$3,0,0,'Données projet'!$E$11+1,1))</f>
        <v>374.79806286316051</v>
      </c>
      <c r="BJ107" s="61">
        <f t="shared" si="92"/>
        <v>350.01856672839466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2.8619376181364</v>
      </c>
      <c r="BR107" s="23">
        <f>EXP(-LN(2)/2)*BR106+(1-EXP(-LN(2)/2))/(LN(2)/2)*BL107*BO107*VLOOKUP('Données projet'!$B$11,Paramètres!$A$1:$I$89,3,0)*0.475*44/12</f>
        <v>8.0092148285514265E-11</v>
      </c>
      <c r="BS107" s="24">
        <f t="shared" si="63"/>
        <v>2.861937618216492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7.882692307692305</v>
      </c>
      <c r="BY107" s="13">
        <f>IF('Données projet'!$A$114&gt;35,BY106+BX107-CG106,IF(A107&lt;'Données projet'!$A$114,$BV$205^A107,IF(A107='Données projet'!$A$114,'Données projet'!$B$114,BY106+BX107-CG106)))</f>
        <v>373.78653846153861</v>
      </c>
      <c r="BZ107" s="14">
        <f>BY107*VLOOKUP('Données projet'!$B$12,Paramètres!$A$1:$I$89,3,0)*VLOOKUP('Données projet'!$B$12,Paramètres!$A$1:$I$89,5,0)</f>
        <v>174.93210000000008</v>
      </c>
      <c r="CA107" s="14">
        <f t="shared" si="93"/>
        <v>44.192804567069857</v>
      </c>
      <c r="CB107" s="22">
        <f t="shared" si="64"/>
        <v>381.64254212098012</v>
      </c>
      <c r="CC107" s="61">
        <f t="shared" si="65"/>
        <v>674.97587545431338</v>
      </c>
      <c r="CD107" s="61">
        <f ca="1">AVERAGE(OFFSET($CC$3,0,0,'Données projet'!$E$12+1,1))-AVERAGE(OFFSET($H$3,0,0,'Données projet'!$E$12+1,1))</f>
        <v>285.59863510278109</v>
      </c>
      <c r="CE107" s="61">
        <f t="shared" si="94"/>
        <v>190.4880882944471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14</v>
      </c>
      <c r="CT107" s="13">
        <f>IF('Données projet'!$A$140&gt;35,CT106+CS107-DB106,IF(A107&lt;'Données projet'!$A$140,$CQ$205^A107,IF(A107='Données projet'!$A$140,'Données projet'!$B$140,CT106+CS107-DB106)))</f>
        <v>509.00000000000011</v>
      </c>
      <c r="CU107" s="18">
        <f>CT107*VLOOKUP('Données projet'!$B$13,Paramètres!$A$1:$I$89,3,0)*VLOOKUP('Données projet'!$B$13,Paramètres!$A$1:$I$89,5,0)</f>
        <v>244.82900000000006</v>
      </c>
      <c r="CV107" s="14">
        <f t="shared" si="95"/>
        <v>59.477305687742081</v>
      </c>
      <c r="CW107" s="22">
        <f t="shared" si="67"/>
        <v>530.00014907281752</v>
      </c>
      <c r="CX107" s="61">
        <f t="shared" si="68"/>
        <v>823.33348240615078</v>
      </c>
      <c r="CY107" s="61">
        <f ca="1">AVERAGE(OFFSET($CX$3,0,0,'Données projet'!$E$13+1,1))-AVERAGE(OFFSET($H$3,0,0,'Données projet'!$E$13+1,1))</f>
        <v>273.72618036666552</v>
      </c>
      <c r="CZ107" s="61">
        <f t="shared" si="96"/>
        <v>157.67999791700714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3.2051282051282102</v>
      </c>
      <c r="DO107" s="13">
        <f>IF('Données projet'!$A$166&gt;35,DO106+DN107-DW106,IF(A107&lt;'Données projet'!$A$166,$DL$205^A107,IF(A107='Données projet'!$A$166,'Données projet'!$B$166,DO106+DN107-DW106)))</f>
        <v>298.07692307692332</v>
      </c>
      <c r="DP107" s="18">
        <f>DO107*VLOOKUP('Données projet'!$B$14,Paramètres!$A$1:$I$89,3,0)*VLOOKUP('Données projet'!$B$14,Paramètres!$A$1:$I$89,5,0)</f>
        <v>199.95000000000016</v>
      </c>
      <c r="DQ107" s="14">
        <f t="shared" si="97"/>
        <v>49.733179078835313</v>
      </c>
      <c r="DR107" s="22">
        <f t="shared" si="70"/>
        <v>434.86487022897177</v>
      </c>
      <c r="DS107" s="61">
        <f t="shared" si="71"/>
        <v>728.19820356230503</v>
      </c>
      <c r="DT107" s="61">
        <f ca="1">AVERAGE(OFFSET($DS$3,0,0,'Données projet'!$E$14+1,1))-AVERAGE(OFFSET($H$3,0,0,'Données projet'!$E$14+1,1))</f>
        <v>312.06797204903796</v>
      </c>
      <c r="DU107" s="61">
        <f t="shared" si="98"/>
        <v>258.20189001775151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1.4210854715202004E-13</v>
      </c>
      <c r="EK107" s="18">
        <f>EJ107*VLOOKUP('Données projet'!$B$15,Paramètres!$A$1:$I$89,3,0)*VLOOKUP('Données projet'!$B$15,Paramètres!$A$1:$I$89,5,0)</f>
        <v>1.1527845344971866E-13</v>
      </c>
      <c r="EL107" s="14">
        <f t="shared" si="99"/>
        <v>1.7033846239409443E-12</v>
      </c>
      <c r="EM107" s="22">
        <f t="shared" si="73"/>
        <v>3.1675048597887374E-12</v>
      </c>
      <c r="EN107" s="61">
        <f t="shared" si="74"/>
        <v>293.3333333333365</v>
      </c>
      <c r="EO107" s="61">
        <f ca="1">AVERAGE(OFFSET($EN$3,0,0,'Données projet'!$E$15+1,1))-AVERAGE(OFFSET($H$3,0,0,'Données projet'!$E$15+1,1))</f>
        <v>222.15256609836689</v>
      </c>
      <c r="EP107" s="61">
        <f t="shared" si="100"/>
        <v>221.10360210521077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1.1368683772161603E-13</v>
      </c>
      <c r="FF107" s="18">
        <f>FE107*VLOOKUP('Données projet'!$B$16,Paramètres!$A$1:$I$89,3,0)*VLOOKUP('Données projet'!$B$16,Paramètres!$A$1:$I$89,5,0)</f>
        <v>8.8675733422860506E-14</v>
      </c>
      <c r="FG107" s="14">
        <f t="shared" si="101"/>
        <v>1.3509285393066301E-12</v>
      </c>
      <c r="FH107" s="22">
        <f t="shared" si="76"/>
        <v>2.5073107750038623E-12</v>
      </c>
      <c r="FI107" s="61">
        <f t="shared" si="77"/>
        <v>293.33333333333582</v>
      </c>
      <c r="FJ107" s="61">
        <f ca="1">AVERAGE(OFFSET($FI$3,0,0,'Données projet'!$E$16+1,1))-AVERAGE(OFFSET($H$3,0,0,'Données projet'!$E$16+1,1))</f>
        <v>292.57482726862594</v>
      </c>
      <c r="FK107" s="61">
        <f t="shared" si="102"/>
        <v>283.48738729114024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4.4000000000000004</v>
      </c>
      <c r="FZ107" s="13">
        <f>IF('Données projet'!$A$244&gt;35,FZ106+FY107-GH106,IF(A107&lt;'Données projet'!$A$244,$FW$205^A107,IF(A107='Données projet'!$A$244,'Données projet'!$B$244,FZ106+FY107-GH106)))</f>
        <v>278.59999999999974</v>
      </c>
      <c r="GA107" s="18">
        <f>FZ107*VLOOKUP('Données projet'!$B$17,Paramètres!$A$1:$I$89,3,0)*VLOOKUP('Données projet'!$B$17,Paramètres!$A$1:$I$89,5,0)</f>
        <v>269.46191999999974</v>
      </c>
      <c r="GB107" s="14">
        <f t="shared" si="103"/>
        <v>64.735061876839055</v>
      </c>
      <c r="GC107" s="22">
        <f t="shared" si="79"/>
        <v>582.05974343549417</v>
      </c>
      <c r="GD107" s="61">
        <f t="shared" si="80"/>
        <v>875.39307676882754</v>
      </c>
      <c r="GE107" s="61">
        <f ca="1">AVERAGE(OFFSET($GD$3,0,0,'Données projet'!$E$17+1,1))-AVERAGE(OFFSET($H$3,0,0,'Données projet'!$E$17+1,1))</f>
        <v>455.50822833641354</v>
      </c>
      <c r="GF107" s="61">
        <f t="shared" si="104"/>
        <v>261.14722581688039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0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0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4.4000000000000004</v>
      </c>
      <c r="GU107" s="13">
        <f>IF('Données projet'!$A$270&gt;35,GU106+GT107-HC106,IF(A107&lt;'Données projet'!$A$270,$GR$205^A107,IF(A107='Données projet'!$A$270,'Données projet'!$B$270,GU106+GT107-HC106)))</f>
        <v>278.59999999999974</v>
      </c>
      <c r="GV107" s="18">
        <f>GU107*VLOOKUP('Données projet'!$B$18,Paramètres!$A$1:$I$89,3,0)*VLOOKUP('Données projet'!$B$18,Paramètres!$A$1:$I$89,5,0)</f>
        <v>299.88503999999972</v>
      </c>
      <c r="GW107" s="14">
        <f t="shared" si="105"/>
        <v>71.152362906464575</v>
      </c>
      <c r="GX107" s="22">
        <f t="shared" si="82"/>
        <v>646.22347672875867</v>
      </c>
      <c r="GY107" s="61">
        <f t="shared" si="83"/>
        <v>939.55681006209193</v>
      </c>
      <c r="GZ107" s="61">
        <f ca="1">AVERAGE(OFFSET($GY$3,0,0,'Données projet'!$E$18+1,1))-AVERAGE(OFFSET($H$3,0,0,'Données projet'!$E$18+1,1))</f>
        <v>502.07782026233912</v>
      </c>
      <c r="HA107" s="61">
        <f t="shared" si="106"/>
        <v>285.83623046025156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0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0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256.05839999999972</v>
      </c>
      <c r="P108" s="14">
        <f t="shared" si="87"/>
        <v>61.881442594256434</v>
      </c>
      <c r="Q108" s="22">
        <f t="shared" si="107"/>
        <v>553.74522585166278</v>
      </c>
      <c r="R108" s="61">
        <f t="shared" si="55"/>
        <v>847.07855918499604</v>
      </c>
      <c r="S108" s="61">
        <f ca="1">AVERAGE(OFFSET($R$3,0,0,'Données projet'!$E$9+1,1))-AVERAGE(OFFSET($H$3,0,0,'Données projet'!$E$9+1,1))</f>
        <v>428.8489304403459</v>
      </c>
      <c r="T108" s="61">
        <f t="shared" si="88"/>
        <v>247.01165577562966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1">
        <f t="shared" si="59"/>
        <v>912.31847938482474</v>
      </c>
      <c r="AN108" s="61">
        <f ca="1">AVERAGE(OFFSET($AM$3,0,0,'Données projet'!$E$10+1,1))-AVERAGE(OFFSET($H$3,0,0,'Données projet'!$E$10+1,1))</f>
        <v>475.47920969424894</v>
      </c>
      <c r="AO108" s="61">
        <f t="shared" si="90"/>
        <v>271.73544012419364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-3.4106051316484809E-13</v>
      </c>
      <c r="BE108" s="14">
        <f>BD108*VLOOKUP('Données projet'!$B$11,Paramètres!$A$1:$I$89,3,0)*VLOOKUP('Données projet'!$B$11,Paramètres!$A$1:$I$89,5,0)</f>
        <v>-1.9065282685915009E-13</v>
      </c>
      <c r="BF108" s="14" t="e">
        <f t="shared" si="91"/>
        <v>#NUM!</v>
      </c>
      <c r="BG108" s="22" t="e">
        <f t="shared" si="61"/>
        <v>#NUM!</v>
      </c>
      <c r="BH108" s="61" t="e">
        <f t="shared" si="62"/>
        <v>#NUM!</v>
      </c>
      <c r="BI108" s="61">
        <f ca="1">AVERAGE(OFFSET($BH$3,0,0,'Données projet'!$E$11+1,1))-AVERAGE(OFFSET($H$3,0,0,'Données projet'!$E$11+1,1))</f>
        <v>374.79806286316051</v>
      </c>
      <c r="BJ108" s="61">
        <f t="shared" si="92"/>
        <v>350.01856672839466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2.783677783465702</v>
      </c>
      <c r="BR108" s="23">
        <f>EXP(-LN(2)/2)*BR107+(1-EXP(-LN(2)/2))/(LN(2)/2)*BL108*BO108*VLOOKUP('Données projet'!$B$11,Paramètres!$A$1:$I$89,3,0)*0.475*44/12</f>
        <v>5.6633701172485659E-11</v>
      </c>
      <c r="BS108" s="24">
        <f t="shared" si="63"/>
        <v>2.7836777835223359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7.882692307692305</v>
      </c>
      <c r="BY108" s="13">
        <f>IF('Données projet'!$A$114&gt;35,BY107+BX108-CG107,IF(A108&lt;'Données projet'!$A$114,$BV$205^A108,IF(A108='Données projet'!$A$114,'Données projet'!$B$114,BY107+BX108-CG107)))</f>
        <v>381.66923076923092</v>
      </c>
      <c r="BZ108" s="14">
        <f>BY108*VLOOKUP('Données projet'!$B$12,Paramètres!$A$1:$I$89,3,0)*VLOOKUP('Données projet'!$B$12,Paramètres!$A$1:$I$89,5,0)</f>
        <v>178.62120000000007</v>
      </c>
      <c r="CA108" s="14">
        <f t="shared" si="93"/>
        <v>45.015291421812051</v>
      </c>
      <c r="CB108" s="22">
        <f t="shared" si="64"/>
        <v>389.50022255965609</v>
      </c>
      <c r="CC108" s="61">
        <f t="shared" si="65"/>
        <v>682.83355589298935</v>
      </c>
      <c r="CD108" s="61">
        <f ca="1">AVERAGE(OFFSET($CC$3,0,0,'Données projet'!$E$12+1,1))-AVERAGE(OFFSET($H$3,0,0,'Données projet'!$E$12+1,1))</f>
        <v>285.59863510278109</v>
      </c>
      <c r="CE108" s="61">
        <f t="shared" si="94"/>
        <v>190.4880882944471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14</v>
      </c>
      <c r="CT108" s="13">
        <f>IF('Données projet'!$A$140&gt;35,CT107+CS108-DB107,IF(A108&lt;'Données projet'!$A$140,$CQ$205^A108,IF(A108='Données projet'!$A$140,'Données projet'!$B$140,CT107+CS108-DB107)))</f>
        <v>523.00000000000011</v>
      </c>
      <c r="CU108" s="18">
        <f>CT108*VLOOKUP('Données projet'!$B$13,Paramètres!$A$1:$I$89,3,0)*VLOOKUP('Données projet'!$B$13,Paramètres!$A$1:$I$89,5,0)</f>
        <v>251.56300000000007</v>
      </c>
      <c r="CV108" s="14">
        <f t="shared" si="95"/>
        <v>60.920512277071659</v>
      </c>
      <c r="CW108" s="22">
        <f t="shared" si="67"/>
        <v>544.24211721589984</v>
      </c>
      <c r="CX108" s="61">
        <f t="shared" si="68"/>
        <v>837.57545054923321</v>
      </c>
      <c r="CY108" s="61">
        <f ca="1">AVERAGE(OFFSET($CX$3,0,0,'Données projet'!$E$13+1,1))-AVERAGE(OFFSET($H$3,0,0,'Données projet'!$E$13+1,1))</f>
        <v>273.72618036666552</v>
      </c>
      <c r="CZ108" s="61">
        <f t="shared" si="96"/>
        <v>157.67999791700714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301.28205128205127</v>
      </c>
      <c r="DM108" s="13">
        <f>VLOOKUP(A108,'Données projet'!$A$165:$I$185,9,0)</f>
        <v>3.2051282051282102</v>
      </c>
      <c r="DN108" s="13">
        <f t="array" ref="DN108">INDEX(DM:DM,MIN(IF(ISNUMBER(DM108:DM304),ROW(DM108:DM304),"")))</f>
        <v>3.2051282051282102</v>
      </c>
      <c r="DO108" s="13">
        <f>IF('Données projet'!$A$166&gt;35,DO107+DN108-DW107,IF(A108&lt;'Données projet'!$A$166,$DL$205^A108,IF(A108='Données projet'!$A$166,'Données projet'!$B$166,DO107+DN108-DW107)))</f>
        <v>301.28205128205155</v>
      </c>
      <c r="DP108" s="18">
        <f>DO108*VLOOKUP('Données projet'!$B$14,Paramètres!$A$1:$I$89,3,0)*VLOOKUP('Données projet'!$B$14,Paramètres!$A$1:$I$89,5,0)</f>
        <v>202.10000000000016</v>
      </c>
      <c r="DQ108" s="14">
        <f t="shared" si="97"/>
        <v>50.205403227941737</v>
      </c>
      <c r="DR108" s="22">
        <f t="shared" si="70"/>
        <v>439.43191062199884</v>
      </c>
      <c r="DS108" s="61">
        <f t="shared" si="71"/>
        <v>732.76524395533215</v>
      </c>
      <c r="DT108" s="61">
        <f ca="1">AVERAGE(OFFSET($DS$3,0,0,'Données projet'!$E$14+1,1))-AVERAGE(OFFSET($H$3,0,0,'Données projet'!$E$14+1,1))</f>
        <v>312.06797204903796</v>
      </c>
      <c r="DU108" s="61">
        <f t="shared" si="98"/>
        <v>258.20189001775151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1.4210854715202004E-13</v>
      </c>
      <c r="EK108" s="18">
        <f>EJ108*VLOOKUP('Données projet'!$B$15,Paramètres!$A$1:$I$89,3,0)*VLOOKUP('Données projet'!$B$15,Paramètres!$A$1:$I$89,5,0)</f>
        <v>1.1527845344971866E-13</v>
      </c>
      <c r="EL108" s="14">
        <f t="shared" si="99"/>
        <v>1.7033846239409443E-12</v>
      </c>
      <c r="EM108" s="22">
        <f t="shared" si="73"/>
        <v>3.1675048597887374E-12</v>
      </c>
      <c r="EN108" s="61">
        <f t="shared" si="74"/>
        <v>293.3333333333365</v>
      </c>
      <c r="EO108" s="61">
        <f ca="1">AVERAGE(OFFSET($EN$3,0,0,'Données projet'!$E$15+1,1))-AVERAGE(OFFSET($H$3,0,0,'Données projet'!$E$15+1,1))</f>
        <v>222.15256609836689</v>
      </c>
      <c r="EP108" s="61">
        <f t="shared" si="100"/>
        <v>221.10360210521077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1.1368683772161603E-13</v>
      </c>
      <c r="FF108" s="18">
        <f>FE108*VLOOKUP('Données projet'!$B$16,Paramètres!$A$1:$I$89,3,0)*VLOOKUP('Données projet'!$B$16,Paramètres!$A$1:$I$89,5,0)</f>
        <v>8.8675733422860506E-14</v>
      </c>
      <c r="FG108" s="14">
        <f t="shared" si="101"/>
        <v>1.3509285393066301E-12</v>
      </c>
      <c r="FH108" s="22">
        <f t="shared" si="76"/>
        <v>2.5073107750038623E-12</v>
      </c>
      <c r="FI108" s="61">
        <f t="shared" si="77"/>
        <v>293.33333333333582</v>
      </c>
      <c r="FJ108" s="61">
        <f ca="1">AVERAGE(OFFSET($FI$3,0,0,'Données projet'!$E$16+1,1))-AVERAGE(OFFSET($H$3,0,0,'Données projet'!$E$16+1,1))</f>
        <v>292.57482726862594</v>
      </c>
      <c r="FK108" s="61">
        <f t="shared" si="102"/>
        <v>283.48738729114024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4.4000000000000004</v>
      </c>
      <c r="FZ108" s="13">
        <f>IF('Données projet'!$A$244&gt;35,FZ107+FY108-GH107,IF(A108&lt;'Données projet'!$A$244,$FW$205^A108,IF(A108='Données projet'!$A$244,'Données projet'!$B$244,FZ107+FY108-GH107)))</f>
        <v>282.99999999999972</v>
      </c>
      <c r="GA108" s="18">
        <f>FZ108*VLOOKUP('Données projet'!$B$17,Paramètres!$A$1:$I$89,3,0)*VLOOKUP('Données projet'!$B$17,Paramètres!$A$1:$I$89,5,0)</f>
        <v>273.71759999999972</v>
      </c>
      <c r="GB108" s="14">
        <f t="shared" si="103"/>
        <v>65.637608810456612</v>
      </c>
      <c r="GC108" s="22">
        <f t="shared" si="79"/>
        <v>591.04365534487806</v>
      </c>
      <c r="GD108" s="61">
        <f t="shared" si="80"/>
        <v>884.37698867821132</v>
      </c>
      <c r="GE108" s="61">
        <f ca="1">AVERAGE(OFFSET($GD$3,0,0,'Données projet'!$E$17+1,1))-AVERAGE(OFFSET($H$3,0,0,'Données projet'!$E$17+1,1))</f>
        <v>455.50822833641354</v>
      </c>
      <c r="GF108" s="61">
        <f t="shared" si="104"/>
        <v>261.14722581688039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0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0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4.4000000000000004</v>
      </c>
      <c r="GU108" s="13">
        <f>IF('Données projet'!$A$270&gt;35,GU107+GT108-HC107,IF(A108&lt;'Données projet'!$A$270,$GR$205^A108,IF(A108='Données projet'!$A$270,'Données projet'!$B$270,GU107+GT108-HC107)))</f>
        <v>282.99999999999972</v>
      </c>
      <c r="GV108" s="18">
        <f>GU108*VLOOKUP('Données projet'!$B$18,Paramètres!$A$1:$I$89,3,0)*VLOOKUP('Données projet'!$B$18,Paramètres!$A$1:$I$89,5,0)</f>
        <v>304.62119999999965</v>
      </c>
      <c r="GW108" s="14">
        <f t="shared" si="105"/>
        <v>72.144380911839335</v>
      </c>
      <c r="GX108" s="22">
        <f t="shared" si="82"/>
        <v>656.20005342145294</v>
      </c>
      <c r="GY108" s="61">
        <f t="shared" si="83"/>
        <v>949.53338675478631</v>
      </c>
      <c r="GZ108" s="61">
        <f ca="1">AVERAGE(OFFSET($GY$3,0,0,'Données projet'!$E$18+1,1))-AVERAGE(OFFSET($H$3,0,0,'Données projet'!$E$18+1,1))</f>
        <v>502.07782026233912</v>
      </c>
      <c r="HA108" s="61">
        <f t="shared" si="106"/>
        <v>285.83623046025156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0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0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260.0395199999997</v>
      </c>
      <c r="P109" s="14">
        <f t="shared" si="87"/>
        <v>62.730801948604821</v>
      </c>
      <c r="Q109" s="22">
        <f t="shared" si="107"/>
        <v>562.15831072715287</v>
      </c>
      <c r="R109" s="61">
        <f t="shared" si="55"/>
        <v>855.49164406048612</v>
      </c>
      <c r="S109" s="61">
        <f ca="1">AVERAGE(OFFSET($R$3,0,0,'Données projet'!$E$9+1,1))-AVERAGE(OFFSET($H$3,0,0,'Données projet'!$E$9+1,1))</f>
        <v>428.8489304403459</v>
      </c>
      <c r="T109" s="61">
        <f t="shared" si="88"/>
        <v>247.01165577562966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1">
        <f t="shared" si="59"/>
        <v>921.72509366558074</v>
      </c>
      <c r="AN109" s="61">
        <f ca="1">AVERAGE(OFFSET($AM$3,0,0,'Données projet'!$E$10+1,1))-AVERAGE(OFFSET($H$3,0,0,'Données projet'!$E$10+1,1))</f>
        <v>475.47920969424894</v>
      </c>
      <c r="AO109" s="61">
        <f t="shared" si="90"/>
        <v>271.73544012419364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-3.4106051316484809E-13</v>
      </c>
      <c r="BE109" s="14">
        <f>BD109*VLOOKUP('Données projet'!$B$11,Paramètres!$A$1:$I$89,3,0)*VLOOKUP('Données projet'!$B$11,Paramètres!$A$1:$I$89,5,0)</f>
        <v>-1.9065282685915009E-13</v>
      </c>
      <c r="BF109" s="14" t="e">
        <f t="shared" si="91"/>
        <v>#NUM!</v>
      </c>
      <c r="BG109" s="22" t="e">
        <f t="shared" si="61"/>
        <v>#NUM!</v>
      </c>
      <c r="BH109" s="61" t="e">
        <f t="shared" si="62"/>
        <v>#NUM!</v>
      </c>
      <c r="BI109" s="61">
        <f ca="1">AVERAGE(OFFSET($BH$3,0,0,'Données projet'!$E$11+1,1))-AVERAGE(OFFSET($H$3,0,0,'Données projet'!$E$11+1,1))</f>
        <v>374.79806286316051</v>
      </c>
      <c r="BJ109" s="61">
        <f t="shared" si="92"/>
        <v>350.01856672839466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2.70755796808958</v>
      </c>
      <c r="BR109" s="23">
        <f>EXP(-LN(2)/2)*BR108+(1-EXP(-LN(2)/2))/(LN(2)/2)*BL109*BO109*VLOOKUP('Données projet'!$B$11,Paramètres!$A$1:$I$89,3,0)*0.475*44/12</f>
        <v>4.0046074142757139E-11</v>
      </c>
      <c r="BS109" s="24">
        <f t="shared" si="63"/>
        <v>2.7075579681296262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7.882692307692305</v>
      </c>
      <c r="BY109" s="13">
        <f>IF('Données projet'!$A$114&gt;35,BY108+BX109-CG108,IF(A109&lt;'Données projet'!$A$114,$BV$205^A109,IF(A109='Données projet'!$A$114,'Données projet'!$B$114,BY108+BX109-CG108)))</f>
        <v>389.55192307692323</v>
      </c>
      <c r="BZ109" s="14">
        <f>BY109*VLOOKUP('Données projet'!$B$12,Paramètres!$A$1:$I$89,3,0)*VLOOKUP('Données projet'!$B$12,Paramètres!$A$1:$I$89,5,0)</f>
        <v>182.31030000000007</v>
      </c>
      <c r="CA109" s="14">
        <f t="shared" si="93"/>
        <v>45.835803217507859</v>
      </c>
      <c r="CB109" s="22">
        <f t="shared" si="64"/>
        <v>397.35446310382622</v>
      </c>
      <c r="CC109" s="61">
        <f t="shared" si="65"/>
        <v>690.68779643715948</v>
      </c>
      <c r="CD109" s="61">
        <f ca="1">AVERAGE(OFFSET($CC$3,0,0,'Données projet'!$E$12+1,1))-AVERAGE(OFFSET($H$3,0,0,'Données projet'!$E$12+1,1))</f>
        <v>285.59863510278109</v>
      </c>
      <c r="CE109" s="61">
        <f t="shared" si="94"/>
        <v>190.4880882944471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14</v>
      </c>
      <c r="CT109" s="13">
        <f>IF('Données projet'!$A$140&gt;35,CT108+CS109-DB108,IF(A109&lt;'Données projet'!$A$140,$CQ$205^A109,IF(A109='Données projet'!$A$140,'Données projet'!$B$140,CT108+CS109-DB108)))</f>
        <v>537.00000000000011</v>
      </c>
      <c r="CU109" s="18">
        <f>CT109*VLOOKUP('Données projet'!$B$13,Paramètres!$A$1:$I$89,3,0)*VLOOKUP('Données projet'!$B$13,Paramètres!$A$1:$I$89,5,0)</f>
        <v>258.29700000000003</v>
      </c>
      <c r="CV109" s="14">
        <f t="shared" si="95"/>
        <v>62.3592284541322</v>
      </c>
      <c r="CW109" s="22">
        <f t="shared" si="67"/>
        <v>558.4762645576136</v>
      </c>
      <c r="CX109" s="61">
        <f t="shared" si="68"/>
        <v>851.80959789094686</v>
      </c>
      <c r="CY109" s="61">
        <f ca="1">AVERAGE(OFFSET($CX$3,0,0,'Données projet'!$E$13+1,1))-AVERAGE(OFFSET($H$3,0,0,'Données projet'!$E$13+1,1))</f>
        <v>273.72618036666552</v>
      </c>
      <c r="CZ109" s="61">
        <f t="shared" si="96"/>
        <v>157.67999791700714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3.333333333333337</v>
      </c>
      <c r="DO109" s="13">
        <f>IF('Données projet'!$A$166&gt;35,DO108+DN109-DW108,IF(A109&lt;'Données projet'!$A$166,$DL$205^A109,IF(A109='Données projet'!$A$166,'Données projet'!$B$166,DO108+DN109-DW108)))</f>
        <v>304.61538461538487</v>
      </c>
      <c r="DP109" s="18">
        <f>DO109*VLOOKUP('Données projet'!$B$14,Paramètres!$A$1:$I$89,3,0)*VLOOKUP('Données projet'!$B$14,Paramètres!$A$1:$I$89,5,0)</f>
        <v>204.33600000000018</v>
      </c>
      <c r="DQ109" s="14">
        <f t="shared" si="97"/>
        <v>50.695896504938347</v>
      </c>
      <c r="DR109" s="22">
        <f t="shared" si="70"/>
        <v>444.18055307943456</v>
      </c>
      <c r="DS109" s="61">
        <f t="shared" si="71"/>
        <v>737.51388641276787</v>
      </c>
      <c r="DT109" s="61">
        <f ca="1">AVERAGE(OFFSET($DS$3,0,0,'Données projet'!$E$14+1,1))-AVERAGE(OFFSET($H$3,0,0,'Données projet'!$E$14+1,1))</f>
        <v>312.06797204903796</v>
      </c>
      <c r="DU109" s="61">
        <f t="shared" si="98"/>
        <v>258.20189001775151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1.4210854715202004E-13</v>
      </c>
      <c r="EK109" s="18">
        <f>EJ109*VLOOKUP('Données projet'!$B$15,Paramètres!$A$1:$I$89,3,0)*VLOOKUP('Données projet'!$B$15,Paramètres!$A$1:$I$89,5,0)</f>
        <v>1.1527845344971866E-13</v>
      </c>
      <c r="EL109" s="14">
        <f t="shared" si="99"/>
        <v>1.7033846239409443E-12</v>
      </c>
      <c r="EM109" s="22">
        <f t="shared" si="73"/>
        <v>3.1675048597887374E-12</v>
      </c>
      <c r="EN109" s="61">
        <f t="shared" si="74"/>
        <v>293.3333333333365</v>
      </c>
      <c r="EO109" s="61">
        <f ca="1">AVERAGE(OFFSET($EN$3,0,0,'Données projet'!$E$15+1,1))-AVERAGE(OFFSET($H$3,0,0,'Données projet'!$E$15+1,1))</f>
        <v>222.15256609836689</v>
      </c>
      <c r="EP109" s="61">
        <f t="shared" si="100"/>
        <v>221.10360210521077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1.1368683772161603E-13</v>
      </c>
      <c r="FF109" s="18">
        <f>FE109*VLOOKUP('Données projet'!$B$16,Paramètres!$A$1:$I$89,3,0)*VLOOKUP('Données projet'!$B$16,Paramètres!$A$1:$I$89,5,0)</f>
        <v>8.8675733422860506E-14</v>
      </c>
      <c r="FG109" s="14">
        <f t="shared" si="101"/>
        <v>1.3509285393066301E-12</v>
      </c>
      <c r="FH109" s="22">
        <f t="shared" si="76"/>
        <v>2.5073107750038623E-12</v>
      </c>
      <c r="FI109" s="61">
        <f t="shared" si="77"/>
        <v>293.33333333333582</v>
      </c>
      <c r="FJ109" s="61">
        <f ca="1">AVERAGE(OFFSET($FI$3,0,0,'Données projet'!$E$16+1,1))-AVERAGE(OFFSET($H$3,0,0,'Données projet'!$E$16+1,1))</f>
        <v>292.57482726862594</v>
      </c>
      <c r="FK109" s="61">
        <f t="shared" si="102"/>
        <v>283.48738729114024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4.4000000000000004</v>
      </c>
      <c r="FZ109" s="13">
        <f>IF('Données projet'!$A$244&gt;35,FZ108+FY109-GH108,IF(A109&lt;'Données projet'!$A$244,$FW$205^A109,IF(A109='Données projet'!$A$244,'Données projet'!$B$244,FZ108+FY109-GH108)))</f>
        <v>287.39999999999969</v>
      </c>
      <c r="GA109" s="18">
        <f>FZ109*VLOOKUP('Données projet'!$B$17,Paramètres!$A$1:$I$89,3,0)*VLOOKUP('Données projet'!$B$17,Paramètres!$A$1:$I$89,5,0)</f>
        <v>277.9732799999997</v>
      </c>
      <c r="GB109" s="14">
        <f t="shared" si="103"/>
        <v>66.538523764973135</v>
      </c>
      <c r="GC109" s="22">
        <f t="shared" si="79"/>
        <v>600.0247248906611</v>
      </c>
      <c r="GD109" s="61">
        <f t="shared" si="80"/>
        <v>893.35805822399448</v>
      </c>
      <c r="GE109" s="61">
        <f ca="1">AVERAGE(OFFSET($GD$3,0,0,'Données projet'!$E$17+1,1))-AVERAGE(OFFSET($H$3,0,0,'Données projet'!$E$17+1,1))</f>
        <v>455.50822833641354</v>
      </c>
      <c r="GF109" s="61">
        <f t="shared" si="104"/>
        <v>261.14722581688039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0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0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4.4000000000000004</v>
      </c>
      <c r="GU109" s="13">
        <f>IF('Données projet'!$A$270&gt;35,GU108+GT109-HC108,IF(A109&lt;'Données projet'!$A$270,$GR$205^A109,IF(A109='Données projet'!$A$270,'Données projet'!$B$270,GU108+GT109-HC108)))</f>
        <v>287.39999999999969</v>
      </c>
      <c r="GV109" s="18">
        <f>GU109*VLOOKUP('Données projet'!$B$18,Paramètres!$A$1:$I$89,3,0)*VLOOKUP('Données projet'!$B$18,Paramètres!$A$1:$I$89,5,0)</f>
        <v>309.35735999999969</v>
      </c>
      <c r="GW109" s="14">
        <f t="shared" si="105"/>
        <v>73.134605157142161</v>
      </c>
      <c r="GX109" s="22">
        <f t="shared" si="82"/>
        <v>666.17350598202211</v>
      </c>
      <c r="GY109" s="61">
        <f t="shared" si="83"/>
        <v>959.50683931535536</v>
      </c>
      <c r="GZ109" s="61">
        <f ca="1">AVERAGE(OFFSET($GY$3,0,0,'Données projet'!$E$18+1,1))-AVERAGE(OFFSET($H$3,0,0,'Données projet'!$E$18+1,1))</f>
        <v>502.07782026233912</v>
      </c>
      <c r="HA109" s="61">
        <f t="shared" si="106"/>
        <v>285.83623046025156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0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0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264.02063999999967</v>
      </c>
      <c r="P110" s="14">
        <f t="shared" si="87"/>
        <v>63.57864899095906</v>
      </c>
      <c r="Q110" s="22">
        <f t="shared" si="107"/>
        <v>570.56876165925303</v>
      </c>
      <c r="R110" s="61">
        <f t="shared" si="55"/>
        <v>863.9020949925864</v>
      </c>
      <c r="S110" s="61">
        <f ca="1">AVERAGE(OFFSET($R$3,0,0,'Données projet'!$E$9+1,1))-AVERAGE(OFFSET($H$3,0,0,'Données projet'!$E$9+1,1))</f>
        <v>428.8489304403459</v>
      </c>
      <c r="T110" s="61">
        <f t="shared" si="88"/>
        <v>247.01165577562966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1">
        <f t="shared" si="59"/>
        <v>931.12879500523582</v>
      </c>
      <c r="AN110" s="61">
        <f ca="1">AVERAGE(OFFSET($AM$3,0,0,'Données projet'!$E$10+1,1))-AVERAGE(OFFSET($H$3,0,0,'Données projet'!$E$10+1,1))</f>
        <v>475.47920969424894</v>
      </c>
      <c r="AO110" s="61">
        <f t="shared" si="90"/>
        <v>271.73544012419364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-3.4106051316484809E-13</v>
      </c>
      <c r="BE110" s="14">
        <f>BD110*VLOOKUP('Données projet'!$B$11,Paramètres!$A$1:$I$89,3,0)*VLOOKUP('Données projet'!$B$11,Paramètres!$A$1:$I$89,5,0)</f>
        <v>-1.9065282685915009E-13</v>
      </c>
      <c r="BF110" s="14" t="e">
        <f t="shared" si="91"/>
        <v>#NUM!</v>
      </c>
      <c r="BG110" s="22" t="e">
        <f t="shared" si="61"/>
        <v>#NUM!</v>
      </c>
      <c r="BH110" s="61" t="e">
        <f t="shared" si="62"/>
        <v>#NUM!</v>
      </c>
      <c r="BI110" s="61">
        <f ca="1">AVERAGE(OFFSET($BH$3,0,0,'Données projet'!$E$11+1,1))-AVERAGE(OFFSET($H$3,0,0,'Données projet'!$E$11+1,1))</f>
        <v>374.79806286316051</v>
      </c>
      <c r="BJ110" s="61">
        <f t="shared" si="92"/>
        <v>350.01856672839466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2.6335196530678853</v>
      </c>
      <c r="BR110" s="23">
        <f>EXP(-LN(2)/2)*BR109+(1-EXP(-LN(2)/2))/(LN(2)/2)*BL110*BO110*VLOOKUP('Données projet'!$B$11,Paramètres!$A$1:$I$89,3,0)*0.475*44/12</f>
        <v>2.8316850586242833E-11</v>
      </c>
      <c r="BS110" s="24">
        <f t="shared" si="63"/>
        <v>2.6335196530962022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7.882692307692305</v>
      </c>
      <c r="BY110" s="13">
        <f>IF('Données projet'!$A$114&gt;35,BY109+BX110-CG109,IF(A110&lt;'Données projet'!$A$114,$BV$205^A110,IF(A110='Données projet'!$A$114,'Données projet'!$B$114,BY109+BX110-CG109)))</f>
        <v>397.43461538461554</v>
      </c>
      <c r="BZ110" s="14">
        <f>BY110*VLOOKUP('Données projet'!$B$12,Paramètres!$A$1:$I$89,3,0)*VLOOKUP('Données projet'!$B$12,Paramètres!$A$1:$I$89,5,0)</f>
        <v>185.99940000000007</v>
      </c>
      <c r="CA110" s="14">
        <f t="shared" si="93"/>
        <v>46.654384525692834</v>
      </c>
      <c r="CB110" s="22">
        <f t="shared" si="64"/>
        <v>405.20534138224843</v>
      </c>
      <c r="CC110" s="61">
        <f t="shared" si="65"/>
        <v>698.53867471558169</v>
      </c>
      <c r="CD110" s="61">
        <f ca="1">AVERAGE(OFFSET($CC$3,0,0,'Données projet'!$E$12+1,1))-AVERAGE(OFFSET($H$3,0,0,'Données projet'!$E$12+1,1))</f>
        <v>285.59863510278109</v>
      </c>
      <c r="CE110" s="61">
        <f t="shared" si="94"/>
        <v>190.4880882944471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14</v>
      </c>
      <c r="CT110" s="13">
        <f>IF('Données projet'!$A$140&gt;35,CT109+CS110-DB109,IF(A110&lt;'Données projet'!$A$140,$CQ$205^A110,IF(A110='Données projet'!$A$140,'Données projet'!$B$140,CT109+CS110-DB109)))</f>
        <v>551.00000000000011</v>
      </c>
      <c r="CU110" s="18">
        <f>CT110*VLOOKUP('Données projet'!$B$13,Paramètres!$A$1:$I$89,3,0)*VLOOKUP('Données projet'!$B$13,Paramètres!$A$1:$I$89,5,0)</f>
        <v>265.03100000000006</v>
      </c>
      <c r="CV110" s="14">
        <f t="shared" si="95"/>
        <v>63.793584745992824</v>
      </c>
      <c r="CW110" s="22">
        <f t="shared" si="67"/>
        <v>572.7028184326042</v>
      </c>
      <c r="CX110" s="61">
        <f t="shared" si="68"/>
        <v>866.03615176593757</v>
      </c>
      <c r="CY110" s="61">
        <f ca="1">AVERAGE(OFFSET($CX$3,0,0,'Données projet'!$E$13+1,1))-AVERAGE(OFFSET($H$3,0,0,'Données projet'!$E$13+1,1))</f>
        <v>273.72618036666552</v>
      </c>
      <c r="CZ110" s="61">
        <f t="shared" si="96"/>
        <v>157.67999791700714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3.333333333333337</v>
      </c>
      <c r="DO110" s="13">
        <f>IF('Données projet'!$A$166&gt;35,DO109+DN110-DW109,IF(A110&lt;'Données projet'!$A$166,$DL$205^A110,IF(A110='Données projet'!$A$166,'Données projet'!$B$166,DO109+DN110-DW109)))</f>
        <v>307.94871794871818</v>
      </c>
      <c r="DP110" s="18">
        <f>DO110*VLOOKUP('Données projet'!$B$14,Paramètres!$A$1:$I$89,3,0)*VLOOKUP('Données projet'!$B$14,Paramètres!$A$1:$I$89,5,0)</f>
        <v>206.57200000000014</v>
      </c>
      <c r="DQ110" s="14">
        <f t="shared" si="97"/>
        <v>51.185765406859268</v>
      </c>
      <c r="DR110" s="22">
        <f t="shared" si="70"/>
        <v>448.92810808361338</v>
      </c>
      <c r="DS110" s="61">
        <f t="shared" si="71"/>
        <v>742.2614414169467</v>
      </c>
      <c r="DT110" s="61">
        <f ca="1">AVERAGE(OFFSET($DS$3,0,0,'Données projet'!$E$14+1,1))-AVERAGE(OFFSET($H$3,0,0,'Données projet'!$E$14+1,1))</f>
        <v>312.06797204903796</v>
      </c>
      <c r="DU110" s="61">
        <f t="shared" si="98"/>
        <v>258.20189001775151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1.4210854715202004E-13</v>
      </c>
      <c r="EK110" s="18">
        <f>EJ110*VLOOKUP('Données projet'!$B$15,Paramètres!$A$1:$I$89,3,0)*VLOOKUP('Données projet'!$B$15,Paramètres!$A$1:$I$89,5,0)</f>
        <v>1.1527845344971866E-13</v>
      </c>
      <c r="EL110" s="14">
        <f t="shared" si="99"/>
        <v>1.7033846239409443E-12</v>
      </c>
      <c r="EM110" s="22">
        <f t="shared" si="73"/>
        <v>3.1675048597887374E-12</v>
      </c>
      <c r="EN110" s="61">
        <f t="shared" si="74"/>
        <v>293.3333333333365</v>
      </c>
      <c r="EO110" s="61">
        <f ca="1">AVERAGE(OFFSET($EN$3,0,0,'Données projet'!$E$15+1,1))-AVERAGE(OFFSET($H$3,0,0,'Données projet'!$E$15+1,1))</f>
        <v>222.15256609836689</v>
      </c>
      <c r="EP110" s="61">
        <f t="shared" si="100"/>
        <v>221.10360210521077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1.1368683772161603E-13</v>
      </c>
      <c r="FF110" s="18">
        <f>FE110*VLOOKUP('Données projet'!$B$16,Paramètres!$A$1:$I$89,3,0)*VLOOKUP('Données projet'!$B$16,Paramètres!$A$1:$I$89,5,0)</f>
        <v>8.8675733422860506E-14</v>
      </c>
      <c r="FG110" s="14">
        <f t="shared" si="101"/>
        <v>1.3509285393066301E-12</v>
      </c>
      <c r="FH110" s="22">
        <f t="shared" si="76"/>
        <v>2.5073107750038623E-12</v>
      </c>
      <c r="FI110" s="61">
        <f t="shared" si="77"/>
        <v>293.33333333333582</v>
      </c>
      <c r="FJ110" s="61">
        <f ca="1">AVERAGE(OFFSET($FI$3,0,0,'Données projet'!$E$16+1,1))-AVERAGE(OFFSET($H$3,0,0,'Données projet'!$E$16+1,1))</f>
        <v>292.57482726862594</v>
      </c>
      <c r="FK110" s="61">
        <f t="shared" si="102"/>
        <v>283.48738729114024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4.4000000000000004</v>
      </c>
      <c r="FZ110" s="13">
        <f>IF('Données projet'!$A$244&gt;35,FZ109+FY110-GH109,IF(A110&lt;'Données projet'!$A$244,$FW$205^A110,IF(A110='Données projet'!$A$244,'Données projet'!$B$244,FZ109+FY110-GH109)))</f>
        <v>291.79999999999967</v>
      </c>
      <c r="GA110" s="18">
        <f>FZ110*VLOOKUP('Données projet'!$B$17,Paramètres!$A$1:$I$89,3,0)*VLOOKUP('Données projet'!$B$17,Paramètres!$A$1:$I$89,5,0)</f>
        <v>282.22895999999969</v>
      </c>
      <c r="GB110" s="14">
        <f t="shared" si="103"/>
        <v>67.437834611070301</v>
      </c>
      <c r="GC110" s="22">
        <f t="shared" si="79"/>
        <v>609.00300061428027</v>
      </c>
      <c r="GD110" s="61">
        <f t="shared" si="80"/>
        <v>902.33633394761364</v>
      </c>
      <c r="GE110" s="61">
        <f ca="1">AVERAGE(OFFSET($GD$3,0,0,'Données projet'!$E$17+1,1))-AVERAGE(OFFSET($H$3,0,0,'Données projet'!$E$17+1,1))</f>
        <v>455.50822833641354</v>
      </c>
      <c r="GF110" s="61">
        <f t="shared" si="104"/>
        <v>261.14722581688039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0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0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4.4000000000000004</v>
      </c>
      <c r="GU110" s="13">
        <f>IF('Données projet'!$A$270&gt;35,GU109+GT110-HC109,IF(A110&lt;'Données projet'!$A$270,$GR$205^A110,IF(A110='Données projet'!$A$270,'Données projet'!$B$270,GU109+GT110-HC109)))</f>
        <v>291.79999999999967</v>
      </c>
      <c r="GV110" s="18">
        <f>GU110*VLOOKUP('Données projet'!$B$18,Paramètres!$A$1:$I$89,3,0)*VLOOKUP('Données projet'!$B$18,Paramètres!$A$1:$I$89,5,0)</f>
        <v>314.09351999999961</v>
      </c>
      <c r="GW110" s="14">
        <f t="shared" si="105"/>
        <v>74.123066275924458</v>
      </c>
      <c r="GX110" s="22">
        <f t="shared" si="82"/>
        <v>676.14388776390103</v>
      </c>
      <c r="GY110" s="61">
        <f t="shared" si="83"/>
        <v>969.47722109723441</v>
      </c>
      <c r="GZ110" s="61">
        <f ca="1">AVERAGE(OFFSET($GY$3,0,0,'Données projet'!$E$18+1,1))-AVERAGE(OFFSET($H$3,0,0,'Données projet'!$E$18+1,1))</f>
        <v>502.07782026233912</v>
      </c>
      <c r="HA110" s="61">
        <f t="shared" si="106"/>
        <v>285.83623046025156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0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0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268.00175999999971</v>
      </c>
      <c r="P111" s="14">
        <f t="shared" si="87"/>
        <v>64.425009159185521</v>
      </c>
      <c r="Q111" s="22">
        <f t="shared" si="107"/>
        <v>578.97662295224757</v>
      </c>
      <c r="R111" s="61">
        <f t="shared" si="55"/>
        <v>872.30995628558094</v>
      </c>
      <c r="S111" s="61">
        <f ca="1">AVERAGE(OFFSET($R$3,0,0,'Données projet'!$E$9+1,1))-AVERAGE(OFFSET($H$3,0,0,'Données projet'!$E$9+1,1))</f>
        <v>428.8489304403459</v>
      </c>
      <c r="T111" s="61">
        <f t="shared" si="88"/>
        <v>247.01165577562966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1">
        <f t="shared" si="59"/>
        <v>940.52963240095801</v>
      </c>
      <c r="AN111" s="61">
        <f ca="1">AVERAGE(OFFSET($AM$3,0,0,'Données projet'!$E$10+1,1))-AVERAGE(OFFSET($H$3,0,0,'Données projet'!$E$10+1,1))</f>
        <v>475.47920969424894</v>
      </c>
      <c r="AO111" s="61">
        <f t="shared" si="90"/>
        <v>271.73544012419364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-3.4106051316484809E-13</v>
      </c>
      <c r="BE111" s="14">
        <f>BD111*VLOOKUP('Données projet'!$B$11,Paramètres!$A$1:$I$89,3,0)*VLOOKUP('Données projet'!$B$11,Paramètres!$A$1:$I$89,5,0)</f>
        <v>-1.9065282685915009E-13</v>
      </c>
      <c r="BF111" s="14" t="e">
        <f t="shared" si="91"/>
        <v>#NUM!</v>
      </c>
      <c r="BG111" s="22" t="e">
        <f t="shared" si="61"/>
        <v>#NUM!</v>
      </c>
      <c r="BH111" s="61" t="e">
        <f t="shared" si="62"/>
        <v>#NUM!</v>
      </c>
      <c r="BI111" s="61">
        <f ca="1">AVERAGE(OFFSET($BH$3,0,0,'Données projet'!$E$11+1,1))-AVERAGE(OFFSET($H$3,0,0,'Données projet'!$E$11+1,1))</f>
        <v>374.79806286316051</v>
      </c>
      <c r="BJ111" s="61">
        <f t="shared" si="92"/>
        <v>350.01856672839466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2.5615059196639645</v>
      </c>
      <c r="BR111" s="23">
        <f>EXP(-LN(2)/2)*BR110+(1-EXP(-LN(2)/2))/(LN(2)/2)*BL111*BO111*VLOOKUP('Données projet'!$B$11,Paramètres!$A$1:$I$89,3,0)*0.475*44/12</f>
        <v>2.0023037071378573E-11</v>
      </c>
      <c r="BS111" s="24">
        <f t="shared" si="63"/>
        <v>2.5615059196839876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7.882692307692305</v>
      </c>
      <c r="BY111" s="13">
        <f>IF('Données projet'!$A$114&gt;35,BY110+BX111-CG110,IF(A111&lt;'Données projet'!$A$114,$BV$205^A111,IF(A111='Données projet'!$A$114,'Données projet'!$B$114,BY110+BX111-CG110)))</f>
        <v>405.31730769230785</v>
      </c>
      <c r="BZ111" s="14">
        <f>BY111*VLOOKUP('Données projet'!$B$12,Paramètres!$A$1:$I$89,3,0)*VLOOKUP('Données projet'!$B$12,Paramètres!$A$1:$I$89,5,0)</f>
        <v>189.68850000000006</v>
      </c>
      <c r="CA111" s="14">
        <f t="shared" si="93"/>
        <v>47.471078048734064</v>
      </c>
      <c r="CB111" s="22">
        <f t="shared" si="64"/>
        <v>413.05293176821192</v>
      </c>
      <c r="CC111" s="61">
        <f t="shared" si="65"/>
        <v>706.38626510154518</v>
      </c>
      <c r="CD111" s="61">
        <f ca="1">AVERAGE(OFFSET($CC$3,0,0,'Données projet'!$E$12+1,1))-AVERAGE(OFFSET($H$3,0,0,'Données projet'!$E$12+1,1))</f>
        <v>285.59863510278109</v>
      </c>
      <c r="CE111" s="61">
        <f t="shared" si="94"/>
        <v>190.4880882944471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14</v>
      </c>
      <c r="CT111" s="13">
        <f>IF('Données projet'!$A$140&gt;35,CT110+CS111-DB110,IF(A111&lt;'Données projet'!$A$140,$CQ$205^A111,IF(A111='Données projet'!$A$140,'Données projet'!$B$140,CT110+CS111-DB110)))</f>
        <v>565.00000000000011</v>
      </c>
      <c r="CU111" s="18">
        <f>CT111*VLOOKUP('Données projet'!$B$13,Paramètres!$A$1:$I$89,3,0)*VLOOKUP('Données projet'!$B$13,Paramètres!$A$1:$I$89,5,0)</f>
        <v>271.76500000000004</v>
      </c>
      <c r="CV111" s="14">
        <f t="shared" si="95"/>
        <v>65.223704668824254</v>
      </c>
      <c r="CW111" s="22">
        <f t="shared" si="67"/>
        <v>586.92199396486899</v>
      </c>
      <c r="CX111" s="61">
        <f t="shared" si="68"/>
        <v>880.25532729820225</v>
      </c>
      <c r="CY111" s="61">
        <f ca="1">AVERAGE(OFFSET($CX$3,0,0,'Données projet'!$E$13+1,1))-AVERAGE(OFFSET($H$3,0,0,'Données projet'!$E$13+1,1))</f>
        <v>273.72618036666552</v>
      </c>
      <c r="CZ111" s="61">
        <f t="shared" si="96"/>
        <v>157.67999791700714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3.333333333333337</v>
      </c>
      <c r="DO111" s="13">
        <f>IF('Données projet'!$A$166&gt;35,DO110+DN111-DW110,IF(A111&lt;'Données projet'!$A$166,$DL$205^A111,IF(A111='Données projet'!$A$166,'Données projet'!$B$166,DO110+DN111-DW110)))</f>
        <v>311.2820512820515</v>
      </c>
      <c r="DP111" s="18">
        <f>DO111*VLOOKUP('Données projet'!$B$14,Paramètres!$A$1:$I$89,3,0)*VLOOKUP('Données projet'!$B$14,Paramètres!$A$1:$I$89,5,0)</f>
        <v>208.80800000000013</v>
      </c>
      <c r="DQ111" s="14">
        <f t="shared" si="97"/>
        <v>51.675017474362051</v>
      </c>
      <c r="DR111" s="22">
        <f t="shared" si="70"/>
        <v>453.67458876784752</v>
      </c>
      <c r="DS111" s="61">
        <f t="shared" si="71"/>
        <v>747.00792210118084</v>
      </c>
      <c r="DT111" s="61">
        <f ca="1">AVERAGE(OFFSET($DS$3,0,0,'Données projet'!$E$14+1,1))-AVERAGE(OFFSET($H$3,0,0,'Données projet'!$E$14+1,1))</f>
        <v>312.06797204903796</v>
      </c>
      <c r="DU111" s="61">
        <f t="shared" si="98"/>
        <v>258.20189001775151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1.4210854715202004E-13</v>
      </c>
      <c r="EK111" s="18">
        <f>EJ111*VLOOKUP('Données projet'!$B$15,Paramètres!$A$1:$I$89,3,0)*VLOOKUP('Données projet'!$B$15,Paramètres!$A$1:$I$89,5,0)</f>
        <v>1.1527845344971866E-13</v>
      </c>
      <c r="EL111" s="14">
        <f t="shared" si="99"/>
        <v>1.7033846239409443E-12</v>
      </c>
      <c r="EM111" s="22">
        <f t="shared" si="73"/>
        <v>3.1675048597887374E-12</v>
      </c>
      <c r="EN111" s="61">
        <f t="shared" si="74"/>
        <v>293.3333333333365</v>
      </c>
      <c r="EO111" s="61">
        <f ca="1">AVERAGE(OFFSET($EN$3,0,0,'Données projet'!$E$15+1,1))-AVERAGE(OFFSET($H$3,0,0,'Données projet'!$E$15+1,1))</f>
        <v>222.15256609836689</v>
      </c>
      <c r="EP111" s="61">
        <f t="shared" si="100"/>
        <v>221.10360210521077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1.1368683772161603E-13</v>
      </c>
      <c r="FF111" s="18">
        <f>FE111*VLOOKUP('Données projet'!$B$16,Paramètres!$A$1:$I$89,3,0)*VLOOKUP('Données projet'!$B$16,Paramètres!$A$1:$I$89,5,0)</f>
        <v>8.8675733422860506E-14</v>
      </c>
      <c r="FG111" s="14">
        <f t="shared" si="101"/>
        <v>1.3509285393066301E-12</v>
      </c>
      <c r="FH111" s="22">
        <f t="shared" si="76"/>
        <v>2.5073107750038623E-12</v>
      </c>
      <c r="FI111" s="61">
        <f t="shared" si="77"/>
        <v>293.33333333333582</v>
      </c>
      <c r="FJ111" s="61">
        <f ca="1">AVERAGE(OFFSET($FI$3,0,0,'Données projet'!$E$16+1,1))-AVERAGE(OFFSET($H$3,0,0,'Données projet'!$E$16+1,1))</f>
        <v>292.57482726862594</v>
      </c>
      <c r="FK111" s="61">
        <f t="shared" si="102"/>
        <v>283.48738729114024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4.4000000000000004</v>
      </c>
      <c r="FZ111" s="13">
        <f>IF('Données projet'!$A$244&gt;35,FZ110+FY111-GH110,IF(A111&lt;'Données projet'!$A$244,$FW$205^A111,IF(A111='Données projet'!$A$244,'Données projet'!$B$244,FZ110+FY111-GH110)))</f>
        <v>296.19999999999965</v>
      </c>
      <c r="GA111" s="18">
        <f>FZ111*VLOOKUP('Données projet'!$B$17,Paramètres!$A$1:$I$89,3,0)*VLOOKUP('Données projet'!$B$17,Paramètres!$A$1:$I$89,5,0)</f>
        <v>286.48463999999967</v>
      </c>
      <c r="GB111" s="14">
        <f t="shared" si="103"/>
        <v>68.335568330677432</v>
      </c>
      <c r="GC111" s="22">
        <f t="shared" si="79"/>
        <v>617.97852950926267</v>
      </c>
      <c r="GD111" s="61">
        <f t="shared" si="80"/>
        <v>911.31186284259593</v>
      </c>
      <c r="GE111" s="61">
        <f ca="1">AVERAGE(OFFSET($GD$3,0,0,'Données projet'!$E$17+1,1))-AVERAGE(OFFSET($H$3,0,0,'Données projet'!$E$17+1,1))</f>
        <v>455.50822833641354</v>
      </c>
      <c r="GF111" s="61">
        <f t="shared" si="104"/>
        <v>261.14722581688039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0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0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4.4000000000000004</v>
      </c>
      <c r="GU111" s="13">
        <f>IF('Données projet'!$A$270&gt;35,GU110+GT111-HC110,IF(A111&lt;'Données projet'!$A$270,$GR$205^A111,IF(A111='Données projet'!$A$270,'Données projet'!$B$270,GU110+GT111-HC110)))</f>
        <v>296.19999999999965</v>
      </c>
      <c r="GV111" s="18">
        <f>GU111*VLOOKUP('Données projet'!$B$18,Paramètres!$A$1:$I$89,3,0)*VLOOKUP('Données projet'!$B$18,Paramètres!$A$1:$I$89,5,0)</f>
        <v>318.8296799999996</v>
      </c>
      <c r="GW111" s="14">
        <f t="shared" si="105"/>
        <v>75.109793924882112</v>
      </c>
      <c r="GX111" s="22">
        <f t="shared" si="82"/>
        <v>686.11125041916887</v>
      </c>
      <c r="GY111" s="61">
        <f t="shared" si="83"/>
        <v>979.44458375250224</v>
      </c>
      <c r="GZ111" s="61">
        <f ca="1">AVERAGE(OFFSET($GY$3,0,0,'Données projet'!$E$18+1,1))-AVERAGE(OFFSET($H$3,0,0,'Données projet'!$E$18+1,1))</f>
        <v>502.07782026233912</v>
      </c>
      <c r="HA111" s="61">
        <f t="shared" si="106"/>
        <v>285.83623046025156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0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0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271.98287999999962</v>
      </c>
      <c r="P112" s="14">
        <f t="shared" si="87"/>
        <v>65.269907092018684</v>
      </c>
      <c r="Q112" s="22">
        <f t="shared" si="107"/>
        <v>587.38193751859842</v>
      </c>
      <c r="R112" s="61">
        <f t="shared" si="55"/>
        <v>880.71527085193179</v>
      </c>
      <c r="S112" s="61">
        <f ca="1">AVERAGE(OFFSET($R$3,0,0,'Données projet'!$E$9+1,1))-AVERAGE(OFFSET($H$3,0,0,'Données projet'!$E$9+1,1))</f>
        <v>428.8489304403459</v>
      </c>
      <c r="T112" s="61">
        <f t="shared" si="88"/>
        <v>247.01165577562966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1">
        <f t="shared" si="59"/>
        <v>949.92765331066835</v>
      </c>
      <c r="AN112" s="61">
        <f ca="1">AVERAGE(OFFSET($AM$3,0,0,'Données projet'!$E$10+1,1))-AVERAGE(OFFSET($H$3,0,0,'Données projet'!$E$10+1,1))</f>
        <v>475.47920969424894</v>
      </c>
      <c r="AO112" s="61">
        <f t="shared" si="90"/>
        <v>271.73544012419364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-3.4106051316484809E-13</v>
      </c>
      <c r="BE112" s="14">
        <f>BD112*VLOOKUP('Données projet'!$B$11,Paramètres!$A$1:$I$89,3,0)*VLOOKUP('Données projet'!$B$11,Paramètres!$A$1:$I$89,5,0)</f>
        <v>-1.9065282685915009E-13</v>
      </c>
      <c r="BF112" s="14" t="e">
        <f t="shared" si="91"/>
        <v>#NUM!</v>
      </c>
      <c r="BG112" s="22" t="e">
        <f t="shared" si="61"/>
        <v>#NUM!</v>
      </c>
      <c r="BH112" s="61" t="e">
        <f t="shared" si="62"/>
        <v>#NUM!</v>
      </c>
      <c r="BI112" s="61">
        <f ca="1">AVERAGE(OFFSET($BH$3,0,0,'Données projet'!$E$11+1,1))-AVERAGE(OFFSET($H$3,0,0,'Données projet'!$E$11+1,1))</f>
        <v>374.79806286316051</v>
      </c>
      <c r="BJ112" s="61">
        <f t="shared" si="92"/>
        <v>350.01856672839466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2.4914614055870112</v>
      </c>
      <c r="BR112" s="23">
        <f>EXP(-LN(2)/2)*BR111+(1-EXP(-LN(2)/2))/(LN(2)/2)*BL112*BO112*VLOOKUP('Données projet'!$B$11,Paramètres!$A$1:$I$89,3,0)*0.475*44/12</f>
        <v>1.4158425293121418E-11</v>
      </c>
      <c r="BS112" s="24">
        <f t="shared" si="63"/>
        <v>2.4914614056011697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>
        <f>VLOOKUP(A112,'Données projet'!$A$113:$I$133,2,0)</f>
        <v>413.2</v>
      </c>
      <c r="BW112" s="13">
        <f>VLOOKUP(A112,'Données projet'!$A$113:$I$133,9,0)</f>
        <v>7.882692307692305</v>
      </c>
      <c r="BX112" s="13">
        <f t="array" ref="BX112">INDEX(BW:BW,MIN(IF(ISNUMBER(BW112:BW308),ROW(BW112:BW308),"")))</f>
        <v>7.882692307692305</v>
      </c>
      <c r="BY112" s="13">
        <f>IF('Données projet'!$A$114&gt;35,BY111+BX112-CG111,IF(A112&lt;'Données projet'!$A$114,$BV$205^A112,IF(A112='Données projet'!$A$114,'Données projet'!$B$114,BY111+BX112-CG111)))</f>
        <v>413.20000000000016</v>
      </c>
      <c r="BZ112" s="14">
        <f>BY112*VLOOKUP('Données projet'!$B$12,Paramètres!$A$1:$I$89,3,0)*VLOOKUP('Données projet'!$B$12,Paramètres!$A$1:$I$89,5,0)</f>
        <v>193.37760000000006</v>
      </c>
      <c r="CA112" s="14">
        <f t="shared" si="93"/>
        <v>48.285924733018277</v>
      </c>
      <c r="CB112" s="22">
        <f t="shared" si="64"/>
        <v>420.89730557667355</v>
      </c>
      <c r="CC112" s="61">
        <f t="shared" si="65"/>
        <v>714.23063891000686</v>
      </c>
      <c r="CD112" s="61">
        <f ca="1">AVERAGE(OFFSET($CC$3,0,0,'Données projet'!$E$12+1,1))-AVERAGE(OFFSET($H$3,0,0,'Données projet'!$E$12+1,1))</f>
        <v>285.59863510278109</v>
      </c>
      <c r="CE112" s="61">
        <f t="shared" si="94"/>
        <v>190.4880882944471</v>
      </c>
      <c r="CF112" s="16">
        <f>IF(ISNA(VLOOKUP(A112,'Données projet'!$A$113:$I$133,3,0)),0,VLOOKUP(A112,'Données projet'!$A$113:$I$133,3,0))</f>
        <v>6</v>
      </c>
      <c r="CG112" s="16">
        <f>IF(ISNA(VLOOKUP(A112,'Données projet'!$A$113:$I$133,4,0)),0,VLOOKUP(A112,'Données projet'!$A$113:$I$133,4,0))</f>
        <v>80.653846153846146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14</v>
      </c>
      <c r="CT112" s="13">
        <f>IF('Données projet'!$A$140&gt;35,CT111+CS112-DB111,IF(A112&lt;'Données projet'!$A$140,$CQ$205^A112,IF(A112='Données projet'!$A$140,'Données projet'!$B$140,CT111+CS112-DB111)))</f>
        <v>579.00000000000011</v>
      </c>
      <c r="CU112" s="18">
        <f>CT112*VLOOKUP('Données projet'!$B$13,Paramètres!$A$1:$I$89,3,0)*VLOOKUP('Données projet'!$B$13,Paramètres!$A$1:$I$89,5,0)</f>
        <v>278.49900000000008</v>
      </c>
      <c r="CV112" s="14">
        <f t="shared" si="95"/>
        <v>66.649705268727473</v>
      </c>
      <c r="CW112" s="22">
        <f t="shared" si="67"/>
        <v>601.13399500970047</v>
      </c>
      <c r="CX112" s="61">
        <f t="shared" si="68"/>
        <v>894.46732834303384</v>
      </c>
      <c r="CY112" s="61">
        <f ca="1">AVERAGE(OFFSET($CX$3,0,0,'Données projet'!$E$13+1,1))-AVERAGE(OFFSET($H$3,0,0,'Données projet'!$E$13+1,1))</f>
        <v>273.72618036666552</v>
      </c>
      <c r="CZ112" s="61">
        <f t="shared" si="96"/>
        <v>157.67999791700714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3.333333333333337</v>
      </c>
      <c r="DO112" s="13">
        <f>IF('Données projet'!$A$166&gt;35,DO111+DN112-DW111,IF(A112&lt;'Données projet'!$A$166,$DL$205^A112,IF(A112='Données projet'!$A$166,'Données projet'!$B$166,DO111+DN112-DW111)))</f>
        <v>314.61538461538481</v>
      </c>
      <c r="DP112" s="18">
        <f>DO112*VLOOKUP('Données projet'!$B$14,Paramètres!$A$1:$I$89,3,0)*VLOOKUP('Données projet'!$B$14,Paramètres!$A$1:$I$89,5,0)</f>
        <v>211.04400000000015</v>
      </c>
      <c r="DQ112" s="14">
        <f t="shared" si="97"/>
        <v>52.163660077304868</v>
      </c>
      <c r="DR112" s="22">
        <f t="shared" si="70"/>
        <v>458.42000796797294</v>
      </c>
      <c r="DS112" s="61">
        <f t="shared" si="71"/>
        <v>751.75334130130625</v>
      </c>
      <c r="DT112" s="61">
        <f ca="1">AVERAGE(OFFSET($DS$3,0,0,'Données projet'!$E$14+1,1))-AVERAGE(OFFSET($H$3,0,0,'Données projet'!$E$14+1,1))</f>
        <v>312.06797204903796</v>
      </c>
      <c r="DU112" s="61">
        <f t="shared" si="98"/>
        <v>258.20189001775151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1.4210854715202004E-13</v>
      </c>
      <c r="EK112" s="18">
        <f>EJ112*VLOOKUP('Données projet'!$B$15,Paramètres!$A$1:$I$89,3,0)*VLOOKUP('Données projet'!$B$15,Paramètres!$A$1:$I$89,5,0)</f>
        <v>1.1527845344971866E-13</v>
      </c>
      <c r="EL112" s="14">
        <f t="shared" si="99"/>
        <v>1.7033846239409443E-12</v>
      </c>
      <c r="EM112" s="22">
        <f t="shared" si="73"/>
        <v>3.1675048597887374E-12</v>
      </c>
      <c r="EN112" s="61">
        <f t="shared" si="74"/>
        <v>293.3333333333365</v>
      </c>
      <c r="EO112" s="61">
        <f ca="1">AVERAGE(OFFSET($EN$3,0,0,'Données projet'!$E$15+1,1))-AVERAGE(OFFSET($H$3,0,0,'Données projet'!$E$15+1,1))</f>
        <v>222.15256609836689</v>
      </c>
      <c r="EP112" s="61">
        <f t="shared" si="100"/>
        <v>221.10360210521077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1.1368683772161603E-13</v>
      </c>
      <c r="FF112" s="18">
        <f>FE112*VLOOKUP('Données projet'!$B$16,Paramètres!$A$1:$I$89,3,0)*VLOOKUP('Données projet'!$B$16,Paramètres!$A$1:$I$89,5,0)</f>
        <v>8.8675733422860506E-14</v>
      </c>
      <c r="FG112" s="14">
        <f t="shared" si="101"/>
        <v>1.3509285393066301E-12</v>
      </c>
      <c r="FH112" s="22">
        <f t="shared" si="76"/>
        <v>2.5073107750038623E-12</v>
      </c>
      <c r="FI112" s="61">
        <f t="shared" si="77"/>
        <v>293.33333333333582</v>
      </c>
      <c r="FJ112" s="61">
        <f ca="1">AVERAGE(OFFSET($FI$3,0,0,'Données projet'!$E$16+1,1))-AVERAGE(OFFSET($H$3,0,0,'Données projet'!$E$16+1,1))</f>
        <v>292.57482726862594</v>
      </c>
      <c r="FK112" s="61">
        <f t="shared" si="102"/>
        <v>283.48738729114024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4.4000000000000004</v>
      </c>
      <c r="FZ112" s="13">
        <f>IF('Données projet'!$A$244&gt;35,FZ111+FY112-GH111,IF(A112&lt;'Données projet'!$A$244,$FW$205^A112,IF(A112='Données projet'!$A$244,'Données projet'!$B$244,FZ111+FY112-GH111)))</f>
        <v>300.59999999999962</v>
      </c>
      <c r="GA112" s="18">
        <f>FZ112*VLOOKUP('Données projet'!$B$17,Paramètres!$A$1:$I$89,3,0)*VLOOKUP('Données projet'!$B$17,Paramètres!$A$1:$I$89,5,0)</f>
        <v>290.74031999999966</v>
      </c>
      <c r="GB112" s="14">
        <f t="shared" si="103"/>
        <v>69.231751058085507</v>
      </c>
      <c r="GC112" s="22">
        <f t="shared" si="79"/>
        <v>626.95135709283159</v>
      </c>
      <c r="GD112" s="61">
        <f t="shared" si="80"/>
        <v>920.28469042616484</v>
      </c>
      <c r="GE112" s="61">
        <f ca="1">AVERAGE(OFFSET($GD$3,0,0,'Données projet'!$E$17+1,1))-AVERAGE(OFFSET($H$3,0,0,'Données projet'!$E$17+1,1))</f>
        <v>455.50822833641354</v>
      </c>
      <c r="GF112" s="61">
        <f t="shared" si="104"/>
        <v>261.14722581688039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0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0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4.4000000000000004</v>
      </c>
      <c r="GU112" s="13">
        <f>IF('Données projet'!$A$270&gt;35,GU111+GT112-HC111,IF(A112&lt;'Données projet'!$A$270,$GR$205^A112,IF(A112='Données projet'!$A$270,'Données projet'!$B$270,GU111+GT112-HC111)))</f>
        <v>300.59999999999962</v>
      </c>
      <c r="GV112" s="18">
        <f>GU112*VLOOKUP('Données projet'!$B$18,Paramètres!$A$1:$I$89,3,0)*VLOOKUP('Données projet'!$B$18,Paramètres!$A$1:$I$89,5,0)</f>
        <v>323.56583999999958</v>
      </c>
      <c r="GW112" s="14">
        <f t="shared" si="105"/>
        <v>76.094816829044248</v>
      </c>
      <c r="GX112" s="22">
        <f t="shared" si="82"/>
        <v>696.07564397725127</v>
      </c>
      <c r="GY112" s="61">
        <f t="shared" si="83"/>
        <v>989.40897731058453</v>
      </c>
      <c r="GZ112" s="61">
        <f ca="1">AVERAGE(OFFSET($GY$3,0,0,'Données projet'!$E$18+1,1))-AVERAGE(OFFSET($H$3,0,0,'Données projet'!$E$18+1,1))</f>
        <v>502.07782026233912</v>
      </c>
      <c r="HA112" s="61">
        <f t="shared" si="106"/>
        <v>285.83623046025156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0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0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275.9639999999996</v>
      </c>
      <c r="P113" s="14">
        <f t="shared" si="87"/>
        <v>66.113366665488797</v>
      </c>
      <c r="Q113" s="22">
        <f t="shared" si="107"/>
        <v>595.7847469423923</v>
      </c>
      <c r="R113" s="61">
        <f t="shared" si="55"/>
        <v>889.11808027572556</v>
      </c>
      <c r="S113" s="61">
        <f ca="1">AVERAGE(OFFSET($R$3,0,0,'Données projet'!$E$9+1,1))-AVERAGE(OFFSET($H$3,0,0,'Données projet'!$E$9+1,1))</f>
        <v>428.8489304403459</v>
      </c>
      <c r="T113" s="61">
        <f t="shared" si="88"/>
        <v>247.01165577562966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1">
        <f t="shared" si="59"/>
        <v>959.32290372320404</v>
      </c>
      <c r="AN113" s="61">
        <f ca="1">AVERAGE(OFFSET($AM$3,0,0,'Données projet'!$E$10+1,1))-AVERAGE(OFFSET($H$3,0,0,'Données projet'!$E$10+1,1))</f>
        <v>475.47920969424894</v>
      </c>
      <c r="AO113" s="61">
        <f t="shared" si="90"/>
        <v>271.73544012419364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-3.4106051316484809E-13</v>
      </c>
      <c r="BE113" s="14">
        <f>BD113*VLOOKUP('Données projet'!$B$11,Paramètres!$A$1:$I$89,3,0)*VLOOKUP('Données projet'!$B$11,Paramètres!$A$1:$I$89,5,0)</f>
        <v>-1.9065282685915009E-13</v>
      </c>
      <c r="BF113" s="14" t="e">
        <f t="shared" si="91"/>
        <v>#NUM!</v>
      </c>
      <c r="BG113" s="22" t="e">
        <f t="shared" si="61"/>
        <v>#NUM!</v>
      </c>
      <c r="BH113" s="61" t="e">
        <f t="shared" si="62"/>
        <v>#NUM!</v>
      </c>
      <c r="BI113" s="61">
        <f ca="1">AVERAGE(OFFSET($BH$3,0,0,'Données projet'!$E$11+1,1))-AVERAGE(OFFSET($H$3,0,0,'Données projet'!$E$11+1,1))</f>
        <v>374.79806286316051</v>
      </c>
      <c r="BJ113" s="61">
        <f t="shared" si="92"/>
        <v>350.01856672839466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2.4233322624309732</v>
      </c>
      <c r="BR113" s="23">
        <f>EXP(-LN(2)/2)*BR112+(1-EXP(-LN(2)/2))/(LN(2)/2)*BL113*BO113*VLOOKUP('Données projet'!$B$11,Paramètres!$A$1:$I$89,3,0)*0.475*44/12</f>
        <v>1.0011518535689288E-11</v>
      </c>
      <c r="BS113" s="24">
        <f t="shared" si="63"/>
        <v>2.4233322624409848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7.0884615384615346</v>
      </c>
      <c r="BY113" s="13">
        <f>IF('Données projet'!$A$114&gt;35,BY112+BX113-CG112,IF(A113&lt;'Données projet'!$A$114,$BV$205^A113,IF(A113='Données projet'!$A$114,'Données projet'!$B$114,BY112+BX113-CG112)))</f>
        <v>339.63461538461559</v>
      </c>
      <c r="BZ113" s="14">
        <f>BY113*VLOOKUP('Données projet'!$B$12,Paramètres!$A$1:$I$89,3,0)*VLOOKUP('Données projet'!$B$12,Paramètres!$A$1:$I$89,5,0)</f>
        <v>158.9490000000001</v>
      </c>
      <c r="CA113" s="14">
        <f t="shared" si="93"/>
        <v>40.605368573899611</v>
      </c>
      <c r="CB113" s="22">
        <f t="shared" si="64"/>
        <v>347.55719193287524</v>
      </c>
      <c r="CC113" s="61">
        <f t="shared" si="65"/>
        <v>640.89052526620856</v>
      </c>
      <c r="CD113" s="61">
        <f ca="1">AVERAGE(OFFSET($CC$3,0,0,'Données projet'!$E$12+1,1))-AVERAGE(OFFSET($H$3,0,0,'Données projet'!$E$12+1,1))</f>
        <v>285.59863510278109</v>
      </c>
      <c r="CE113" s="61">
        <f t="shared" si="94"/>
        <v>190.4880882944471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593</v>
      </c>
      <c r="CR113" s="13">
        <f>VLOOKUP(A113,'Données projet'!$A$139:$I$159,9,0)</f>
        <v>14</v>
      </c>
      <c r="CS113" s="13">
        <f t="array" ref="CS113">INDEX(CR:CR,MIN(IF(ISNUMBER(CR113:CR309),ROW(CR113:CR309),"")))</f>
        <v>14</v>
      </c>
      <c r="CT113" s="13">
        <f>IF('Données projet'!$A$140&gt;35,CT112+CS113-DB112,IF(A113&lt;'Données projet'!$A$140,$CQ$205^A113,IF(A113='Données projet'!$A$140,'Données projet'!$B$140,CT112+CS113-DB112)))</f>
        <v>593.00000000000011</v>
      </c>
      <c r="CU113" s="18">
        <f>CT113*VLOOKUP('Données projet'!$B$13,Paramètres!$A$1:$I$89,3,0)*VLOOKUP('Données projet'!$B$13,Paramètres!$A$1:$I$89,5,0)</f>
        <v>285.23300000000006</v>
      </c>
      <c r="CV113" s="14">
        <f t="shared" si="95"/>
        <v>68.071697608780525</v>
      </c>
      <c r="CW113" s="22">
        <f t="shared" si="67"/>
        <v>615.33901500195941</v>
      </c>
      <c r="CX113" s="61">
        <f t="shared" si="68"/>
        <v>908.67234833529278</v>
      </c>
      <c r="CY113" s="61">
        <f ca="1">AVERAGE(OFFSET($CX$3,0,0,'Données projet'!$E$13+1,1))-AVERAGE(OFFSET($H$3,0,0,'Données projet'!$E$13+1,1))</f>
        <v>273.72618036666552</v>
      </c>
      <c r="CZ113" s="61">
        <f t="shared" si="96"/>
        <v>157.67999791700714</v>
      </c>
      <c r="DA113" s="16">
        <f>IF(ISNA(VLOOKUP(A113,'Données projet'!$A$139:$I$159,3,0)),0,VLOOKUP(A113,'Données projet'!$A$139:$I$159,3,0))</f>
        <v>8</v>
      </c>
      <c r="DB113" s="16">
        <f>IF(ISNA(VLOOKUP(A113,'Données projet'!$A$139:$I$159,4,0)),0,VLOOKUP(A113,'Données projet'!$A$139:$I$159,4,0))</f>
        <v>593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317.94871794871796</v>
      </c>
      <c r="DM113" s="13">
        <f>VLOOKUP(A113,'Données projet'!$A$165:$I$185,9,0)</f>
        <v>3.333333333333337</v>
      </c>
      <c r="DN113" s="13">
        <f t="array" ref="DN113">INDEX(DM:DM,MIN(IF(ISNUMBER(DM113:DM309),ROW(DM113:DM309),"")))</f>
        <v>3.333333333333337</v>
      </c>
      <c r="DO113" s="13">
        <f>IF('Données projet'!$A$166&gt;35,DO112+DN113-DW112,IF(A113&lt;'Données projet'!$A$166,$DL$205^A113,IF(A113='Données projet'!$A$166,'Données projet'!$B$166,DO112+DN113-DW112)))</f>
        <v>317.94871794871813</v>
      </c>
      <c r="DP113" s="18">
        <f>DO113*VLOOKUP('Données projet'!$B$14,Paramètres!$A$1:$I$89,3,0)*VLOOKUP('Données projet'!$B$14,Paramètres!$A$1:$I$89,5,0)</f>
        <v>213.28000000000011</v>
      </c>
      <c r="DQ113" s="14">
        <f t="shared" si="97"/>
        <v>52.651700420383257</v>
      </c>
      <c r="DR113" s="22">
        <f t="shared" si="70"/>
        <v>463.16437823216773</v>
      </c>
      <c r="DS113" s="61">
        <f t="shared" si="71"/>
        <v>756.49771156550105</v>
      </c>
      <c r="DT113" s="61">
        <f ca="1">AVERAGE(OFFSET($DS$3,0,0,'Données projet'!$E$14+1,1))-AVERAGE(OFFSET($H$3,0,0,'Données projet'!$E$14+1,1))</f>
        <v>312.06797204903796</v>
      </c>
      <c r="DU113" s="61">
        <f t="shared" si="98"/>
        <v>258.20189001775151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317.94871794871796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1.4210854715202004E-13</v>
      </c>
      <c r="EK113" s="18">
        <f>EJ113*VLOOKUP('Données projet'!$B$15,Paramètres!$A$1:$I$89,3,0)*VLOOKUP('Données projet'!$B$15,Paramètres!$A$1:$I$89,5,0)</f>
        <v>1.1527845344971866E-13</v>
      </c>
      <c r="EL113" s="14">
        <f t="shared" si="99"/>
        <v>1.7033846239409443E-12</v>
      </c>
      <c r="EM113" s="22">
        <f t="shared" si="73"/>
        <v>3.1675048597887374E-12</v>
      </c>
      <c r="EN113" s="61">
        <f t="shared" si="74"/>
        <v>293.3333333333365</v>
      </c>
      <c r="EO113" s="61">
        <f ca="1">AVERAGE(OFFSET($EN$3,0,0,'Données projet'!$E$15+1,1))-AVERAGE(OFFSET($H$3,0,0,'Données projet'!$E$15+1,1))</f>
        <v>222.15256609836689</v>
      </c>
      <c r="EP113" s="61">
        <f t="shared" si="100"/>
        <v>221.10360210521077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1.1368683772161603E-13</v>
      </c>
      <c r="FF113" s="18">
        <f>FE113*VLOOKUP('Données projet'!$B$16,Paramètres!$A$1:$I$89,3,0)*VLOOKUP('Données projet'!$B$16,Paramètres!$A$1:$I$89,5,0)</f>
        <v>8.8675733422860506E-14</v>
      </c>
      <c r="FG113" s="14">
        <f t="shared" si="101"/>
        <v>1.3509285393066301E-12</v>
      </c>
      <c r="FH113" s="22">
        <f t="shared" si="76"/>
        <v>2.5073107750038623E-12</v>
      </c>
      <c r="FI113" s="61">
        <f t="shared" si="77"/>
        <v>293.33333333333582</v>
      </c>
      <c r="FJ113" s="61">
        <f ca="1">AVERAGE(OFFSET($FI$3,0,0,'Données projet'!$E$16+1,1))-AVERAGE(OFFSET($H$3,0,0,'Données projet'!$E$16+1,1))</f>
        <v>292.57482726862594</v>
      </c>
      <c r="FK113" s="61">
        <f t="shared" si="102"/>
        <v>283.48738729114024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>
        <f>VLOOKUP(A113,'Données projet'!$A$243:$I$263,2,0)</f>
        <v>305</v>
      </c>
      <c r="FX113" s="13">
        <f>VLOOKUP(A113,'Données projet'!$A$243:$I$263,9,0)</f>
        <v>4.4000000000000004</v>
      </c>
      <c r="FY113" s="13">
        <f t="array" ref="FY113">INDEX(FX:FX,MIN(IF(ISNUMBER(FX113:FX309),ROW(FX113:FX309),"")))</f>
        <v>4.4000000000000004</v>
      </c>
      <c r="FZ113" s="13">
        <f>IF('Données projet'!$A$244&gt;35,FZ112+FY113-GH112,IF(A113&lt;'Données projet'!$A$244,$FW$205^A113,IF(A113='Données projet'!$A$244,'Données projet'!$B$244,FZ112+FY113-GH112)))</f>
        <v>304.9999999999996</v>
      </c>
      <c r="GA113" s="18">
        <f>FZ113*VLOOKUP('Données projet'!$B$17,Paramètres!$A$1:$I$89,3,0)*VLOOKUP('Données projet'!$B$17,Paramètres!$A$1:$I$89,5,0)</f>
        <v>294.99599999999958</v>
      </c>
      <c r="GB113" s="14">
        <f t="shared" si="103"/>
        <v>70.126408118585317</v>
      </c>
      <c r="GC113" s="22">
        <f t="shared" si="79"/>
        <v>635.92152747320199</v>
      </c>
      <c r="GD113" s="61">
        <f t="shared" si="80"/>
        <v>929.25486080653536</v>
      </c>
      <c r="GE113" s="61">
        <f ca="1">AVERAGE(OFFSET($GD$3,0,0,'Données projet'!$E$17+1,1))-AVERAGE(OFFSET($H$3,0,0,'Données projet'!$E$17+1,1))</f>
        <v>455.50822833641354</v>
      </c>
      <c r="GF113" s="61">
        <f t="shared" si="104"/>
        <v>261.14722581688039</v>
      </c>
      <c r="GG113" s="16">
        <f>IF(ISNA(VLOOKUP(A113,'Données projet'!$A$243:$I$263,3,0)),0,VLOOKUP(A113,'Données projet'!$A$243:$I$263,3,0))</f>
        <v>9</v>
      </c>
      <c r="GH113" s="16">
        <f>IF(ISNA(VLOOKUP(A113,'Données projet'!$A$243:$I$263,4,0)),0,VLOOKUP(A113,'Données projet'!$A$243:$I$263,4,0))</f>
        <v>39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0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0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>
        <f>VLOOKUP(A113,'Données projet'!$A$269:$I$289,2,0)</f>
        <v>305</v>
      </c>
      <c r="GS113" s="13">
        <f>VLOOKUP(A113,'Données projet'!$A$269:$I$289,9,0)</f>
        <v>4.4000000000000004</v>
      </c>
      <c r="GT113" s="13">
        <f t="array" ref="GT113">INDEX(GS:GS,MIN(IF(ISNUMBER(GS113:GS309),ROW(GS113:GS309),"")))</f>
        <v>4.4000000000000004</v>
      </c>
      <c r="GU113" s="13">
        <f>IF('Données projet'!$A$270&gt;35,GU112+GT113-HC112,IF(A113&lt;'Données projet'!$A$270,$GR$205^A113,IF(A113='Données projet'!$A$270,'Données projet'!$B$270,GU112+GT113-HC112)))</f>
        <v>304.9999999999996</v>
      </c>
      <c r="GV113" s="18">
        <f>GU113*VLOOKUP('Données projet'!$B$18,Paramètres!$A$1:$I$89,3,0)*VLOOKUP('Données projet'!$B$18,Paramètres!$A$1:$I$89,5,0)</f>
        <v>328.30199999999957</v>
      </c>
      <c r="GW113" s="14">
        <f t="shared" si="105"/>
        <v>77.078162824242781</v>
      </c>
      <c r="GX113" s="22">
        <f t="shared" si="82"/>
        <v>706.03711691888873</v>
      </c>
      <c r="GY113" s="61">
        <f t="shared" si="83"/>
        <v>999.3704502522221</v>
      </c>
      <c r="GZ113" s="61">
        <f ca="1">AVERAGE(OFFSET($GY$3,0,0,'Données projet'!$E$18+1,1))-AVERAGE(OFFSET($H$3,0,0,'Données projet'!$E$18+1,1))</f>
        <v>502.07782026233912</v>
      </c>
      <c r="HA113" s="61">
        <f t="shared" si="106"/>
        <v>285.83623046025156</v>
      </c>
      <c r="HB113" s="16">
        <f>IF(ISNA(VLOOKUP(A113,'Données projet'!$A$269:$I$289,3,0)),0,VLOOKUP(A113,'Données projet'!$A$269:$I$289,3,0))</f>
        <v>9</v>
      </c>
      <c r="HC113" s="16">
        <f>IF(ISNA(VLOOKUP(A113,'Données projet'!$A$269:$I$289,4,0)),0,VLOOKUP(A113,'Données projet'!$A$269:$I$289,4,0))</f>
        <v>39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0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0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244.02455999999964</v>
      </c>
      <c r="P114" s="14">
        <f t="shared" si="87"/>
        <v>59.304594314969229</v>
      </c>
      <c r="Q114" s="22">
        <f t="shared" si="107"/>
        <v>528.29827709857079</v>
      </c>
      <c r="R114" s="61">
        <f t="shared" si="55"/>
        <v>821.63161043190416</v>
      </c>
      <c r="S114" s="61">
        <f ca="1">AVERAGE(OFFSET($R$3,0,0,'Données projet'!$E$9+1,1))-AVERAGE(OFFSET($H$3,0,0,'Données projet'!$E$9+1,1))</f>
        <v>428.8489304403459</v>
      </c>
      <c r="T114" s="61">
        <f t="shared" si="88"/>
        <v>247.01165577562966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1">
        <f t="shared" si="59"/>
        <v>883.86661576478514</v>
      </c>
      <c r="AN114" s="61">
        <f ca="1">AVERAGE(OFFSET($AM$3,0,0,'Données projet'!$E$10+1,1))-AVERAGE(OFFSET($H$3,0,0,'Données projet'!$E$10+1,1))</f>
        <v>475.47920969424894</v>
      </c>
      <c r="AO114" s="61">
        <f t="shared" si="90"/>
        <v>271.73544012419364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-3.4106051316484809E-13</v>
      </c>
      <c r="BE114" s="14">
        <f>BD114*VLOOKUP('Données projet'!$B$11,Paramètres!$A$1:$I$89,3,0)*VLOOKUP('Données projet'!$B$11,Paramètres!$A$1:$I$89,5,0)</f>
        <v>-1.9065282685915009E-13</v>
      </c>
      <c r="BF114" s="14" t="e">
        <f t="shared" si="91"/>
        <v>#NUM!</v>
      </c>
      <c r="BG114" s="22" t="e">
        <f t="shared" si="61"/>
        <v>#NUM!</v>
      </c>
      <c r="BH114" s="61" t="e">
        <f t="shared" si="62"/>
        <v>#NUM!</v>
      </c>
      <c r="BI114" s="61">
        <f ca="1">AVERAGE(OFFSET($BH$3,0,0,'Données projet'!$E$11+1,1))-AVERAGE(OFFSET($H$3,0,0,'Données projet'!$E$11+1,1))</f>
        <v>374.79806286316051</v>
      </c>
      <c r="BJ114" s="61">
        <f t="shared" si="92"/>
        <v>350.01856672839466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2.3570661142772931</v>
      </c>
      <c r="BR114" s="23">
        <f>EXP(-LN(2)/2)*BR113+(1-EXP(-LN(2)/2))/(LN(2)/2)*BL114*BO114*VLOOKUP('Données projet'!$B$11,Paramètres!$A$1:$I$89,3,0)*0.475*44/12</f>
        <v>7.0792126465607106E-12</v>
      </c>
      <c r="BS114" s="24">
        <f t="shared" si="63"/>
        <v>2.3570661142843723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7.0884615384615346</v>
      </c>
      <c r="BY114" s="13">
        <f>IF('Données projet'!$A$114&gt;35,BY113+BX114-CG113,IF(A114&lt;'Données projet'!$A$114,$BV$205^A114,IF(A114='Données projet'!$A$114,'Données projet'!$B$114,BY113+BX114-CG113)))</f>
        <v>346.72307692307714</v>
      </c>
      <c r="BZ114" s="14">
        <f>BY114*VLOOKUP('Données projet'!$B$12,Paramètres!$A$1:$I$89,3,0)*VLOOKUP('Données projet'!$B$12,Paramètres!$A$1:$I$89,5,0)</f>
        <v>162.26640000000009</v>
      </c>
      <c r="CA114" s="14">
        <f t="shared" si="93"/>
        <v>41.353289029019415</v>
      </c>
      <c r="CB114" s="22">
        <f t="shared" si="64"/>
        <v>354.63762505887559</v>
      </c>
      <c r="CC114" s="61">
        <f t="shared" si="65"/>
        <v>647.9709583922089</v>
      </c>
      <c r="CD114" s="61">
        <f ca="1">AVERAGE(OFFSET($CC$3,0,0,'Données projet'!$E$12+1,1))-AVERAGE(OFFSET($H$3,0,0,'Données projet'!$E$12+1,1))</f>
        <v>285.59863510278109</v>
      </c>
      <c r="CE114" s="61">
        <f t="shared" si="94"/>
        <v>190.4880882944471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5.4683368944097308E-14</v>
      </c>
      <c r="CV114" s="14">
        <f t="shared" si="95"/>
        <v>8.8129432816788268E-13</v>
      </c>
      <c r="CW114" s="22">
        <f t="shared" si="67"/>
        <v>1.6301611558033651E-12</v>
      </c>
      <c r="CX114" s="61">
        <f t="shared" si="68"/>
        <v>293.33333333333496</v>
      </c>
      <c r="CY114" s="61">
        <f ca="1">AVERAGE(OFFSET($CX$3,0,0,'Données projet'!$E$13+1,1))-AVERAGE(OFFSET($H$3,0,0,'Données projet'!$E$13+1,1))</f>
        <v>273.72618036666552</v>
      </c>
      <c r="CZ114" s="61">
        <f t="shared" si="96"/>
        <v>157.67999791700714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1.7053025658242404E-13</v>
      </c>
      <c r="DP114" s="18">
        <f>DO114*VLOOKUP('Données projet'!$B$14,Paramètres!$A$1:$I$89,3,0)*VLOOKUP('Données projet'!$B$14,Paramètres!$A$1:$I$89,5,0)</f>
        <v>1.1439169611549005E-13</v>
      </c>
      <c r="DQ114" s="14">
        <f t="shared" si="97"/>
        <v>1.6918016515029816E-12</v>
      </c>
      <c r="DR114" s="22">
        <f t="shared" si="70"/>
        <v>3.1457867471021712E-12</v>
      </c>
      <c r="DS114" s="61">
        <f t="shared" si="71"/>
        <v>293.33333333333644</v>
      </c>
      <c r="DT114" s="61">
        <f ca="1">AVERAGE(OFFSET($DS$3,0,0,'Données projet'!$E$14+1,1))-AVERAGE(OFFSET($H$3,0,0,'Données projet'!$E$14+1,1))</f>
        <v>312.06797204903796</v>
      </c>
      <c r="DU114" s="61">
        <f t="shared" si="98"/>
        <v>258.20189001775151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1.4210854715202004E-13</v>
      </c>
      <c r="EK114" s="18">
        <f>EJ114*VLOOKUP('Données projet'!$B$15,Paramètres!$A$1:$I$89,3,0)*VLOOKUP('Données projet'!$B$15,Paramètres!$A$1:$I$89,5,0)</f>
        <v>1.1527845344971866E-13</v>
      </c>
      <c r="EL114" s="14">
        <f t="shared" si="99"/>
        <v>1.7033846239409443E-12</v>
      </c>
      <c r="EM114" s="22">
        <f t="shared" si="73"/>
        <v>3.1675048597887374E-12</v>
      </c>
      <c r="EN114" s="61">
        <f t="shared" si="74"/>
        <v>293.3333333333365</v>
      </c>
      <c r="EO114" s="61">
        <f ca="1">AVERAGE(OFFSET($EN$3,0,0,'Données projet'!$E$15+1,1))-AVERAGE(OFFSET($H$3,0,0,'Données projet'!$E$15+1,1))</f>
        <v>222.15256609836689</v>
      </c>
      <c r="EP114" s="61">
        <f t="shared" si="100"/>
        <v>221.10360210521077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1.1368683772161603E-13</v>
      </c>
      <c r="FF114" s="18">
        <f>FE114*VLOOKUP('Données projet'!$B$16,Paramètres!$A$1:$I$89,3,0)*VLOOKUP('Données projet'!$B$16,Paramètres!$A$1:$I$89,5,0)</f>
        <v>8.8675733422860506E-14</v>
      </c>
      <c r="FG114" s="14">
        <f t="shared" si="101"/>
        <v>1.3509285393066301E-12</v>
      </c>
      <c r="FH114" s="22">
        <f t="shared" si="76"/>
        <v>2.5073107750038623E-12</v>
      </c>
      <c r="FI114" s="61">
        <f t="shared" si="77"/>
        <v>293.33333333333582</v>
      </c>
      <c r="FJ114" s="61">
        <f ca="1">AVERAGE(OFFSET($FI$3,0,0,'Données projet'!$E$16+1,1))-AVERAGE(OFFSET($H$3,0,0,'Données projet'!$E$16+1,1))</f>
        <v>292.57482726862594</v>
      </c>
      <c r="FK114" s="61">
        <f t="shared" si="102"/>
        <v>283.48738729114024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3.7</v>
      </c>
      <c r="FZ114" s="13">
        <f>IF('Données projet'!$A$244&gt;35,FZ113+FY114-GH113,IF(A114&lt;'Données projet'!$A$244,$FW$205^A114,IF(A114='Données projet'!$A$244,'Données projet'!$B$244,FZ113+FY114-GH113)))</f>
        <v>269.69999999999959</v>
      </c>
      <c r="GA114" s="18">
        <f>FZ114*VLOOKUP('Données projet'!$B$17,Paramètres!$A$1:$I$89,3,0)*VLOOKUP('Données projet'!$B$17,Paramètres!$A$1:$I$89,5,0)</f>
        <v>260.85383999999959</v>
      </c>
      <c r="GB114" s="14">
        <f t="shared" si="103"/>
        <v>62.904347395903649</v>
      </c>
      <c r="GC114" s="22">
        <f t="shared" si="79"/>
        <v>563.87884304786473</v>
      </c>
      <c r="GD114" s="61">
        <f t="shared" si="80"/>
        <v>857.21217638119811</v>
      </c>
      <c r="GE114" s="61">
        <f ca="1">AVERAGE(OFFSET($GD$3,0,0,'Données projet'!$E$17+1,1))-AVERAGE(OFFSET($H$3,0,0,'Données projet'!$E$17+1,1))</f>
        <v>455.50822833641354</v>
      </c>
      <c r="GF114" s="61">
        <f t="shared" si="104"/>
        <v>261.14722581688039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0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0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3.7</v>
      </c>
      <c r="GU114" s="13">
        <f>IF('Données projet'!$A$270&gt;35,GU113+GT114-HC113,IF(A114&lt;'Données projet'!$A$270,$GR$205^A114,IF(A114='Données projet'!$A$270,'Données projet'!$B$270,GU113+GT114-HC113)))</f>
        <v>269.69999999999959</v>
      </c>
      <c r="GV114" s="18">
        <f>GU114*VLOOKUP('Données projet'!$B$18,Paramètres!$A$1:$I$89,3,0)*VLOOKUP('Données projet'!$B$18,Paramètres!$A$1:$I$89,5,0)</f>
        <v>290.30507999999958</v>
      </c>
      <c r="GW114" s="14">
        <f t="shared" si="105"/>
        <v>69.140166465323375</v>
      </c>
      <c r="GX114" s="22">
        <f t="shared" si="82"/>
        <v>626.03380426043748</v>
      </c>
      <c r="GY114" s="61">
        <f t="shared" si="83"/>
        <v>919.36713759377085</v>
      </c>
      <c r="GZ114" s="61">
        <f ca="1">AVERAGE(OFFSET($GY$3,0,0,'Données projet'!$E$18+1,1))-AVERAGE(OFFSET($H$3,0,0,'Données projet'!$E$18+1,1))</f>
        <v>502.07782026233912</v>
      </c>
      <c r="HA114" s="61">
        <f t="shared" si="106"/>
        <v>285.83623046025156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0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0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247.3723199999996</v>
      </c>
      <c r="P115" s="14">
        <f t="shared" si="87"/>
        <v>60.022917171130942</v>
      </c>
      <c r="Q115" s="22">
        <f t="shared" si="107"/>
        <v>535.38003807305233</v>
      </c>
      <c r="R115" s="61">
        <f t="shared" si="55"/>
        <v>828.7133714063857</v>
      </c>
      <c r="S115" s="61">
        <f ca="1">AVERAGE(OFFSET($R$3,0,0,'Données projet'!$E$9+1,1))-AVERAGE(OFFSET($H$3,0,0,'Données projet'!$E$9+1,1))</f>
        <v>428.8489304403459</v>
      </c>
      <c r="T115" s="61">
        <f t="shared" si="88"/>
        <v>247.01165577562966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1">
        <f t="shared" si="59"/>
        <v>891.78459897725043</v>
      </c>
      <c r="AN115" s="61">
        <f ca="1">AVERAGE(OFFSET($AM$3,0,0,'Données projet'!$E$10+1,1))-AVERAGE(OFFSET($H$3,0,0,'Données projet'!$E$10+1,1))</f>
        <v>475.47920969424894</v>
      </c>
      <c r="AO115" s="61">
        <f t="shared" si="90"/>
        <v>271.73544012419364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-3.4106051316484809E-13</v>
      </c>
      <c r="BE115" s="14">
        <f>BD115*VLOOKUP('Données projet'!$B$11,Paramètres!$A$1:$I$89,3,0)*VLOOKUP('Données projet'!$B$11,Paramètres!$A$1:$I$89,5,0)</f>
        <v>-1.9065282685915009E-13</v>
      </c>
      <c r="BF115" s="14" t="e">
        <f t="shared" si="91"/>
        <v>#NUM!</v>
      </c>
      <c r="BG115" s="22" t="e">
        <f t="shared" si="61"/>
        <v>#NUM!</v>
      </c>
      <c r="BH115" s="61" t="e">
        <f t="shared" si="62"/>
        <v>#NUM!</v>
      </c>
      <c r="BI115" s="61">
        <f ca="1">AVERAGE(OFFSET($BH$3,0,0,'Données projet'!$E$11+1,1))-AVERAGE(OFFSET($H$3,0,0,'Données projet'!$E$11+1,1))</f>
        <v>374.79806286316051</v>
      </c>
      <c r="BJ115" s="61">
        <f t="shared" si="92"/>
        <v>350.01856672839466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2.2926120174296605</v>
      </c>
      <c r="BR115" s="23">
        <f>EXP(-LN(2)/2)*BR114+(1-EXP(-LN(2)/2))/(LN(2)/2)*BL115*BO115*VLOOKUP('Données projet'!$B$11,Paramètres!$A$1:$I$89,3,0)*0.475*44/12</f>
        <v>5.0057592678446448E-12</v>
      </c>
      <c r="BS115" s="24">
        <f t="shared" si="63"/>
        <v>2.2926120174346662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7.0884615384615346</v>
      </c>
      <c r="BY115" s="13">
        <f>IF('Données projet'!$A$114&gt;35,BY114+BX115-CG114,IF(A115&lt;'Données projet'!$A$114,$BV$205^A115,IF(A115='Données projet'!$A$114,'Données projet'!$B$114,BY114+BX115-CG114)))</f>
        <v>353.8115384615387</v>
      </c>
      <c r="BZ115" s="14">
        <f>BY115*VLOOKUP('Données projet'!$B$12,Paramètres!$A$1:$I$89,3,0)*VLOOKUP('Données projet'!$B$12,Paramètres!$A$1:$I$89,5,0)</f>
        <v>165.58380000000011</v>
      </c>
      <c r="CA115" s="14">
        <f t="shared" si="93"/>
        <v>42.099431642932473</v>
      </c>
      <c r="CB115" s="22">
        <f t="shared" si="64"/>
        <v>361.71496177810758</v>
      </c>
      <c r="CC115" s="61">
        <f t="shared" si="65"/>
        <v>655.04829511144089</v>
      </c>
      <c r="CD115" s="61">
        <f ca="1">AVERAGE(OFFSET($CC$3,0,0,'Données projet'!$E$12+1,1))-AVERAGE(OFFSET($H$3,0,0,'Données projet'!$E$12+1,1))</f>
        <v>285.59863510278109</v>
      </c>
      <c r="CE115" s="61">
        <f t="shared" si="94"/>
        <v>190.4880882944471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5.4683368944097308E-14</v>
      </c>
      <c r="CV115" s="14">
        <f t="shared" si="95"/>
        <v>8.8129432816788268E-13</v>
      </c>
      <c r="CW115" s="22">
        <f t="shared" si="67"/>
        <v>1.6301611558033651E-12</v>
      </c>
      <c r="CX115" s="61">
        <f t="shared" si="68"/>
        <v>293.33333333333496</v>
      </c>
      <c r="CY115" s="61">
        <f ca="1">AVERAGE(OFFSET($CX$3,0,0,'Données projet'!$E$13+1,1))-AVERAGE(OFFSET($H$3,0,0,'Données projet'!$E$13+1,1))</f>
        <v>273.72618036666552</v>
      </c>
      <c r="CZ115" s="61">
        <f t="shared" si="96"/>
        <v>157.67999791700714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1.7053025658242404E-13</v>
      </c>
      <c r="DP115" s="18">
        <f>DO115*VLOOKUP('Données projet'!$B$14,Paramètres!$A$1:$I$89,3,0)*VLOOKUP('Données projet'!$B$14,Paramètres!$A$1:$I$89,5,0)</f>
        <v>1.1439169611549005E-13</v>
      </c>
      <c r="DQ115" s="14">
        <f t="shared" si="97"/>
        <v>1.6918016515029816E-12</v>
      </c>
      <c r="DR115" s="22">
        <f t="shared" si="70"/>
        <v>3.1457867471021712E-12</v>
      </c>
      <c r="DS115" s="61">
        <f t="shared" si="71"/>
        <v>293.33333333333644</v>
      </c>
      <c r="DT115" s="61">
        <f ca="1">AVERAGE(OFFSET($DS$3,0,0,'Données projet'!$E$14+1,1))-AVERAGE(OFFSET($H$3,0,0,'Données projet'!$E$14+1,1))</f>
        <v>312.06797204903796</v>
      </c>
      <c r="DU115" s="61">
        <f t="shared" si="98"/>
        <v>258.20189001775151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1.4210854715202004E-13</v>
      </c>
      <c r="EK115" s="18">
        <f>EJ115*VLOOKUP('Données projet'!$B$15,Paramètres!$A$1:$I$89,3,0)*VLOOKUP('Données projet'!$B$15,Paramètres!$A$1:$I$89,5,0)</f>
        <v>1.1527845344971866E-13</v>
      </c>
      <c r="EL115" s="14">
        <f t="shared" si="99"/>
        <v>1.7033846239409443E-12</v>
      </c>
      <c r="EM115" s="22">
        <f t="shared" si="73"/>
        <v>3.1675048597887374E-12</v>
      </c>
      <c r="EN115" s="61">
        <f t="shared" si="74"/>
        <v>293.3333333333365</v>
      </c>
      <c r="EO115" s="61">
        <f ca="1">AVERAGE(OFFSET($EN$3,0,0,'Données projet'!$E$15+1,1))-AVERAGE(OFFSET($H$3,0,0,'Données projet'!$E$15+1,1))</f>
        <v>222.15256609836689</v>
      </c>
      <c r="EP115" s="61">
        <f t="shared" si="100"/>
        <v>221.10360210521077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1.1368683772161603E-13</v>
      </c>
      <c r="FF115" s="18">
        <f>FE115*VLOOKUP('Données projet'!$B$16,Paramètres!$A$1:$I$89,3,0)*VLOOKUP('Données projet'!$B$16,Paramètres!$A$1:$I$89,5,0)</f>
        <v>8.8675733422860506E-14</v>
      </c>
      <c r="FG115" s="14">
        <f t="shared" si="101"/>
        <v>1.3509285393066301E-12</v>
      </c>
      <c r="FH115" s="22">
        <f t="shared" si="76"/>
        <v>2.5073107750038623E-12</v>
      </c>
      <c r="FI115" s="61">
        <f t="shared" si="77"/>
        <v>293.33333333333582</v>
      </c>
      <c r="FJ115" s="61">
        <f ca="1">AVERAGE(OFFSET($FI$3,0,0,'Données projet'!$E$16+1,1))-AVERAGE(OFFSET($H$3,0,0,'Données projet'!$E$16+1,1))</f>
        <v>292.57482726862594</v>
      </c>
      <c r="FK115" s="61">
        <f t="shared" si="102"/>
        <v>283.48738729114024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3.7</v>
      </c>
      <c r="FZ115" s="13">
        <f>IF('Données projet'!$A$244&gt;35,FZ114+FY115-GH114,IF(A115&lt;'Données projet'!$A$244,$FW$205^A115,IF(A115='Données projet'!$A$244,'Données projet'!$B$244,FZ114+FY115-GH114)))</f>
        <v>273.39999999999958</v>
      </c>
      <c r="GA115" s="18">
        <f>FZ115*VLOOKUP('Données projet'!$B$17,Paramètres!$A$1:$I$89,3,0)*VLOOKUP('Données projet'!$B$17,Paramètres!$A$1:$I$89,5,0)</f>
        <v>264.4324799999996</v>
      </c>
      <c r="GB115" s="14">
        <f t="shared" si="103"/>
        <v>63.666272015882292</v>
      </c>
      <c r="GC115" s="22">
        <f t="shared" si="79"/>
        <v>571.43865976099426</v>
      </c>
      <c r="GD115" s="61">
        <f t="shared" si="80"/>
        <v>864.77199309432763</v>
      </c>
      <c r="GE115" s="61">
        <f ca="1">AVERAGE(OFFSET($GD$3,0,0,'Données projet'!$E$17+1,1))-AVERAGE(OFFSET($H$3,0,0,'Données projet'!$E$17+1,1))</f>
        <v>455.50822833641354</v>
      </c>
      <c r="GF115" s="61">
        <f t="shared" si="104"/>
        <v>261.14722581688039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0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0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3.7</v>
      </c>
      <c r="GU115" s="13">
        <f>IF('Données projet'!$A$270&gt;35,GU114+GT115-HC114,IF(A115&lt;'Données projet'!$A$270,$GR$205^A115,IF(A115='Données projet'!$A$270,'Données projet'!$B$270,GU114+GT115-HC114)))</f>
        <v>273.39999999999958</v>
      </c>
      <c r="GV115" s="18">
        <f>GU115*VLOOKUP('Données projet'!$B$18,Paramètres!$A$1:$I$89,3,0)*VLOOKUP('Données projet'!$B$18,Paramètres!$A$1:$I$89,5,0)</f>
        <v>294.28775999999954</v>
      </c>
      <c r="GW115" s="14">
        <f t="shared" si="105"/>
        <v>69.977622018717668</v>
      </c>
      <c r="GX115" s="22">
        <f t="shared" si="82"/>
        <v>634.42887368259915</v>
      </c>
      <c r="GY115" s="61">
        <f t="shared" si="83"/>
        <v>927.76220701593252</v>
      </c>
      <c r="GZ115" s="61">
        <f ca="1">AVERAGE(OFFSET($GY$3,0,0,'Données projet'!$E$18+1,1))-AVERAGE(OFFSET($H$3,0,0,'Données projet'!$E$18+1,1))</f>
        <v>502.07782026233912</v>
      </c>
      <c r="HA115" s="61">
        <f t="shared" si="106"/>
        <v>285.83623046025156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0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0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250.7200799999996</v>
      </c>
      <c r="P116" s="14">
        <f t="shared" si="87"/>
        <v>60.740109326032709</v>
      </c>
      <c r="Q116" s="22">
        <f t="shared" si="107"/>
        <v>542.45982974283959</v>
      </c>
      <c r="R116" s="61">
        <f t="shared" si="55"/>
        <v>835.79316307617296</v>
      </c>
      <c r="S116" s="61">
        <f ca="1">AVERAGE(OFFSET($R$3,0,0,'Données projet'!$E$9+1,1))-AVERAGE(OFFSET($H$3,0,0,'Données projet'!$E$9+1,1))</f>
        <v>428.8489304403459</v>
      </c>
      <c r="T116" s="61">
        <f t="shared" si="88"/>
        <v>247.01165577562966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1">
        <f t="shared" si="59"/>
        <v>899.70040428847165</v>
      </c>
      <c r="AN116" s="61">
        <f ca="1">AVERAGE(OFFSET($AM$3,0,0,'Données projet'!$E$10+1,1))-AVERAGE(OFFSET($H$3,0,0,'Données projet'!$E$10+1,1))</f>
        <v>475.47920969424894</v>
      </c>
      <c r="AO116" s="61">
        <f t="shared" si="90"/>
        <v>271.73544012419364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-3.4106051316484809E-13</v>
      </c>
      <c r="BE116" s="14">
        <f>BD116*VLOOKUP('Données projet'!$B$11,Paramètres!$A$1:$I$89,3,0)*VLOOKUP('Données projet'!$B$11,Paramètres!$A$1:$I$89,5,0)</f>
        <v>-1.9065282685915009E-13</v>
      </c>
      <c r="BF116" s="14" t="e">
        <f t="shared" si="91"/>
        <v>#NUM!</v>
      </c>
      <c r="BG116" s="22" t="e">
        <f t="shared" si="61"/>
        <v>#NUM!</v>
      </c>
      <c r="BH116" s="61" t="e">
        <f t="shared" si="62"/>
        <v>#NUM!</v>
      </c>
      <c r="BI116" s="61">
        <f ca="1">AVERAGE(OFFSET($BH$3,0,0,'Données projet'!$E$11+1,1))-AVERAGE(OFFSET($H$3,0,0,'Données projet'!$E$11+1,1))</f>
        <v>374.79806286316051</v>
      </c>
      <c r="BJ116" s="61">
        <f t="shared" si="92"/>
        <v>350.01856672839466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2.2299204212498203</v>
      </c>
      <c r="BR116" s="23">
        <f>EXP(-LN(2)/2)*BR115+(1-EXP(-LN(2)/2))/(LN(2)/2)*BL116*BO116*VLOOKUP('Données projet'!$B$11,Paramètres!$A$1:$I$89,3,0)*0.475*44/12</f>
        <v>3.5396063232803557E-12</v>
      </c>
      <c r="BS116" s="24">
        <f t="shared" si="63"/>
        <v>2.2299204212533597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7.0884615384615346</v>
      </c>
      <c r="BY116" s="13">
        <f>IF('Données projet'!$A$114&gt;35,BY115+BX116-CG115,IF(A116&lt;'Données projet'!$A$114,$BV$205^A116,IF(A116='Données projet'!$A$114,'Données projet'!$B$114,BY115+BX116-CG115)))</f>
        <v>360.90000000000026</v>
      </c>
      <c r="BZ116" s="14">
        <f>BY116*VLOOKUP('Données projet'!$B$12,Paramètres!$A$1:$I$89,3,0)*VLOOKUP('Données projet'!$B$12,Paramètres!$A$1:$I$89,5,0)</f>
        <v>168.90120000000013</v>
      </c>
      <c r="CA116" s="14">
        <f t="shared" si="93"/>
        <v>42.843836138922327</v>
      </c>
      <c r="CB116" s="22">
        <f t="shared" si="64"/>
        <v>368.78927127528988</v>
      </c>
      <c r="CC116" s="61">
        <f t="shared" si="65"/>
        <v>662.12260460862319</v>
      </c>
      <c r="CD116" s="61">
        <f ca="1">AVERAGE(OFFSET($CC$3,0,0,'Données projet'!$E$12+1,1))-AVERAGE(OFFSET($H$3,0,0,'Données projet'!$E$12+1,1))</f>
        <v>285.59863510278109</v>
      </c>
      <c r="CE116" s="61">
        <f t="shared" si="94"/>
        <v>190.4880882944471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5.4683368944097308E-14</v>
      </c>
      <c r="CV116" s="14">
        <f t="shared" si="95"/>
        <v>8.8129432816788268E-13</v>
      </c>
      <c r="CW116" s="22">
        <f t="shared" si="67"/>
        <v>1.6301611558033651E-12</v>
      </c>
      <c r="CX116" s="61">
        <f t="shared" si="68"/>
        <v>293.33333333333496</v>
      </c>
      <c r="CY116" s="61">
        <f ca="1">AVERAGE(OFFSET($CX$3,0,0,'Données projet'!$E$13+1,1))-AVERAGE(OFFSET($H$3,0,0,'Données projet'!$E$13+1,1))</f>
        <v>273.72618036666552</v>
      </c>
      <c r="CZ116" s="61">
        <f t="shared" si="96"/>
        <v>157.67999791700714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1.7053025658242404E-13</v>
      </c>
      <c r="DP116" s="18">
        <f>DO116*VLOOKUP('Données projet'!$B$14,Paramètres!$A$1:$I$89,3,0)*VLOOKUP('Données projet'!$B$14,Paramètres!$A$1:$I$89,5,0)</f>
        <v>1.1439169611549005E-13</v>
      </c>
      <c r="DQ116" s="14">
        <f t="shared" si="97"/>
        <v>1.6918016515029816E-12</v>
      </c>
      <c r="DR116" s="22">
        <f t="shared" si="70"/>
        <v>3.1457867471021712E-12</v>
      </c>
      <c r="DS116" s="61">
        <f t="shared" si="71"/>
        <v>293.33333333333644</v>
      </c>
      <c r="DT116" s="61">
        <f ca="1">AVERAGE(OFFSET($DS$3,0,0,'Données projet'!$E$14+1,1))-AVERAGE(OFFSET($H$3,0,0,'Données projet'!$E$14+1,1))</f>
        <v>312.06797204903796</v>
      </c>
      <c r="DU116" s="61">
        <f t="shared" si="98"/>
        <v>258.20189001775151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1.4210854715202004E-13</v>
      </c>
      <c r="EK116" s="18">
        <f>EJ116*VLOOKUP('Données projet'!$B$15,Paramètres!$A$1:$I$89,3,0)*VLOOKUP('Données projet'!$B$15,Paramètres!$A$1:$I$89,5,0)</f>
        <v>1.1527845344971866E-13</v>
      </c>
      <c r="EL116" s="14">
        <f t="shared" si="99"/>
        <v>1.7033846239409443E-12</v>
      </c>
      <c r="EM116" s="22">
        <f t="shared" si="73"/>
        <v>3.1675048597887374E-12</v>
      </c>
      <c r="EN116" s="61">
        <f t="shared" si="74"/>
        <v>293.3333333333365</v>
      </c>
      <c r="EO116" s="61">
        <f ca="1">AVERAGE(OFFSET($EN$3,0,0,'Données projet'!$E$15+1,1))-AVERAGE(OFFSET($H$3,0,0,'Données projet'!$E$15+1,1))</f>
        <v>222.15256609836689</v>
      </c>
      <c r="EP116" s="61">
        <f t="shared" si="100"/>
        <v>221.10360210521077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1.1368683772161603E-13</v>
      </c>
      <c r="FF116" s="18">
        <f>FE116*VLOOKUP('Données projet'!$B$16,Paramètres!$A$1:$I$89,3,0)*VLOOKUP('Données projet'!$B$16,Paramètres!$A$1:$I$89,5,0)</f>
        <v>8.8675733422860506E-14</v>
      </c>
      <c r="FG116" s="14">
        <f t="shared" si="101"/>
        <v>1.3509285393066301E-12</v>
      </c>
      <c r="FH116" s="22">
        <f t="shared" si="76"/>
        <v>2.5073107750038623E-12</v>
      </c>
      <c r="FI116" s="61">
        <f t="shared" si="77"/>
        <v>293.33333333333582</v>
      </c>
      <c r="FJ116" s="61">
        <f ca="1">AVERAGE(OFFSET($FI$3,0,0,'Données projet'!$E$16+1,1))-AVERAGE(OFFSET($H$3,0,0,'Données projet'!$E$16+1,1))</f>
        <v>292.57482726862594</v>
      </c>
      <c r="FK116" s="61">
        <f t="shared" si="102"/>
        <v>283.48738729114024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3.7</v>
      </c>
      <c r="FZ116" s="13">
        <f>IF('Données projet'!$A$244&gt;35,FZ115+FY116-GH115,IF(A116&lt;'Données projet'!$A$244,$FW$205^A116,IF(A116='Données projet'!$A$244,'Données projet'!$B$244,FZ115+FY116-GH115)))</f>
        <v>277.09999999999957</v>
      </c>
      <c r="GA116" s="18">
        <f>FZ116*VLOOKUP('Données projet'!$B$17,Paramètres!$A$1:$I$89,3,0)*VLOOKUP('Données projet'!$B$17,Paramètres!$A$1:$I$89,5,0)</f>
        <v>268.01111999999961</v>
      </c>
      <c r="GB116" s="14">
        <f t="shared" si="103"/>
        <v>64.426997301716796</v>
      </c>
      <c r="GC116" s="22">
        <f t="shared" si="79"/>
        <v>578.99638763382268</v>
      </c>
      <c r="GD116" s="61">
        <f t="shared" si="80"/>
        <v>872.32972096715594</v>
      </c>
      <c r="GE116" s="61">
        <f ca="1">AVERAGE(OFFSET($GD$3,0,0,'Données projet'!$E$17+1,1))-AVERAGE(OFFSET($H$3,0,0,'Données projet'!$E$17+1,1))</f>
        <v>455.50822833641354</v>
      </c>
      <c r="GF116" s="61">
        <f t="shared" si="104"/>
        <v>261.14722581688039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0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0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3.7</v>
      </c>
      <c r="GU116" s="13">
        <f>IF('Données projet'!$A$270&gt;35,GU115+GT116-HC115,IF(A116&lt;'Données projet'!$A$270,$GR$205^A116,IF(A116='Données projet'!$A$270,'Données projet'!$B$270,GU115+GT116-HC115)))</f>
        <v>277.09999999999957</v>
      </c>
      <c r="GV116" s="18">
        <f>GU116*VLOOKUP('Données projet'!$B$18,Paramètres!$A$1:$I$89,3,0)*VLOOKUP('Données projet'!$B$18,Paramètres!$A$1:$I$89,5,0)</f>
        <v>298.27043999999955</v>
      </c>
      <c r="GW116" s="14">
        <f t="shared" si="105"/>
        <v>70.813759345855914</v>
      </c>
      <c r="GX116" s="22">
        <f t="shared" si="82"/>
        <v>642.82164719403158</v>
      </c>
      <c r="GY116" s="61">
        <f t="shared" si="83"/>
        <v>936.15498052736484</v>
      </c>
      <c r="GZ116" s="61">
        <f ca="1">AVERAGE(OFFSET($GY$3,0,0,'Données projet'!$E$18+1,1))-AVERAGE(OFFSET($H$3,0,0,'Données projet'!$E$18+1,1))</f>
        <v>502.07782026233912</v>
      </c>
      <c r="HA116" s="61">
        <f t="shared" si="106"/>
        <v>285.83623046025156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0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0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254.06783999999956</v>
      </c>
      <c r="P117" s="14">
        <f t="shared" si="87"/>
        <v>61.456187622750669</v>
      </c>
      <c r="Q117" s="22">
        <f t="shared" si="107"/>
        <v>549.53768144295657</v>
      </c>
      <c r="R117" s="61">
        <f t="shared" si="55"/>
        <v>842.87101477628994</v>
      </c>
      <c r="S117" s="61">
        <f ca="1">AVERAGE(OFFSET($R$3,0,0,'Données projet'!$E$9+1,1))-AVERAGE(OFFSET($H$3,0,0,'Données projet'!$E$9+1,1))</f>
        <v>428.8489304403459</v>
      </c>
      <c r="T117" s="61">
        <f t="shared" si="88"/>
        <v>247.01165577562966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1">
        <f t="shared" si="59"/>
        <v>907.61406414075464</v>
      </c>
      <c r="AN117" s="61">
        <f ca="1">AVERAGE(OFFSET($AM$3,0,0,'Données projet'!$E$10+1,1))-AVERAGE(OFFSET($H$3,0,0,'Données projet'!$E$10+1,1))</f>
        <v>475.47920969424894</v>
      </c>
      <c r="AO117" s="61">
        <f t="shared" si="90"/>
        <v>271.73544012419364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-3.4106051316484809E-13</v>
      </c>
      <c r="BE117" s="14">
        <f>BD117*VLOOKUP('Données projet'!$B$11,Paramètres!$A$1:$I$89,3,0)*VLOOKUP('Données projet'!$B$11,Paramètres!$A$1:$I$89,5,0)</f>
        <v>-1.9065282685915009E-13</v>
      </c>
      <c r="BF117" s="14" t="e">
        <f t="shared" si="91"/>
        <v>#NUM!</v>
      </c>
      <c r="BG117" s="22" t="e">
        <f t="shared" si="61"/>
        <v>#NUM!</v>
      </c>
      <c r="BH117" s="61" t="e">
        <f t="shared" si="62"/>
        <v>#NUM!</v>
      </c>
      <c r="BI117" s="61">
        <f ca="1">AVERAGE(OFFSET($BH$3,0,0,'Données projet'!$E$11+1,1))-AVERAGE(OFFSET($H$3,0,0,'Données projet'!$E$11+1,1))</f>
        <v>374.79806286316051</v>
      </c>
      <c r="BJ117" s="61">
        <f t="shared" si="92"/>
        <v>350.01856672839466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2.1689431300643256</v>
      </c>
      <c r="BR117" s="23">
        <f>EXP(-LN(2)/2)*BR116+(1-EXP(-LN(2)/2))/(LN(2)/2)*BL117*BO117*VLOOKUP('Données projet'!$B$11,Paramètres!$A$1:$I$89,3,0)*0.475*44/12</f>
        <v>2.5028796339223228E-12</v>
      </c>
      <c r="BS117" s="24">
        <f t="shared" si="63"/>
        <v>2.1689431300668285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7.0884615384615346</v>
      </c>
      <c r="BY117" s="13">
        <f>IF('Données projet'!$A$114&gt;35,BY116+BX117-CG116,IF(A117&lt;'Données projet'!$A$114,$BV$205^A117,IF(A117='Données projet'!$A$114,'Données projet'!$B$114,BY116+BX117-CG116)))</f>
        <v>367.98846153846182</v>
      </c>
      <c r="BZ117" s="14">
        <f>BY117*VLOOKUP('Données projet'!$B$12,Paramètres!$A$1:$I$89,3,0)*VLOOKUP('Données projet'!$B$12,Paramètres!$A$1:$I$89,5,0)</f>
        <v>172.21860000000012</v>
      </c>
      <c r="CA117" s="14">
        <f t="shared" si="93"/>
        <v>43.586540590608614</v>
      </c>
      <c r="CB117" s="22">
        <f t="shared" si="64"/>
        <v>375.86061986197689</v>
      </c>
      <c r="CC117" s="61">
        <f t="shared" si="65"/>
        <v>669.1939531953102</v>
      </c>
      <c r="CD117" s="61">
        <f ca="1">AVERAGE(OFFSET($CC$3,0,0,'Données projet'!$E$12+1,1))-AVERAGE(OFFSET($H$3,0,0,'Données projet'!$E$12+1,1))</f>
        <v>285.59863510278109</v>
      </c>
      <c r="CE117" s="61">
        <f t="shared" si="94"/>
        <v>190.4880882944471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5.4683368944097308E-14</v>
      </c>
      <c r="CV117" s="14">
        <f t="shared" si="95"/>
        <v>8.8129432816788268E-13</v>
      </c>
      <c r="CW117" s="22">
        <f t="shared" si="67"/>
        <v>1.6301611558033651E-12</v>
      </c>
      <c r="CX117" s="61">
        <f t="shared" si="68"/>
        <v>293.33333333333496</v>
      </c>
      <c r="CY117" s="61">
        <f ca="1">AVERAGE(OFFSET($CX$3,0,0,'Données projet'!$E$13+1,1))-AVERAGE(OFFSET($H$3,0,0,'Données projet'!$E$13+1,1))</f>
        <v>273.72618036666552</v>
      </c>
      <c r="CZ117" s="61">
        <f t="shared" si="96"/>
        <v>157.67999791700714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1.7053025658242404E-13</v>
      </c>
      <c r="DP117" s="18">
        <f>DO117*VLOOKUP('Données projet'!$B$14,Paramètres!$A$1:$I$89,3,0)*VLOOKUP('Données projet'!$B$14,Paramètres!$A$1:$I$89,5,0)</f>
        <v>1.1439169611549005E-13</v>
      </c>
      <c r="DQ117" s="14">
        <f t="shared" si="97"/>
        <v>1.6918016515029816E-12</v>
      </c>
      <c r="DR117" s="22">
        <f t="shared" si="70"/>
        <v>3.1457867471021712E-12</v>
      </c>
      <c r="DS117" s="61">
        <f t="shared" si="71"/>
        <v>293.33333333333644</v>
      </c>
      <c r="DT117" s="61">
        <f ca="1">AVERAGE(OFFSET($DS$3,0,0,'Données projet'!$E$14+1,1))-AVERAGE(OFFSET($H$3,0,0,'Données projet'!$E$14+1,1))</f>
        <v>312.06797204903796</v>
      </c>
      <c r="DU117" s="61">
        <f t="shared" si="98"/>
        <v>258.20189001775151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1.4210854715202004E-13</v>
      </c>
      <c r="EK117" s="18">
        <f>EJ117*VLOOKUP('Données projet'!$B$15,Paramètres!$A$1:$I$89,3,0)*VLOOKUP('Données projet'!$B$15,Paramètres!$A$1:$I$89,5,0)</f>
        <v>1.1527845344971866E-13</v>
      </c>
      <c r="EL117" s="14">
        <f t="shared" si="99"/>
        <v>1.7033846239409443E-12</v>
      </c>
      <c r="EM117" s="22">
        <f t="shared" si="73"/>
        <v>3.1675048597887374E-12</v>
      </c>
      <c r="EN117" s="61">
        <f t="shared" si="74"/>
        <v>293.3333333333365</v>
      </c>
      <c r="EO117" s="61">
        <f ca="1">AVERAGE(OFFSET($EN$3,0,0,'Données projet'!$E$15+1,1))-AVERAGE(OFFSET($H$3,0,0,'Données projet'!$E$15+1,1))</f>
        <v>222.15256609836689</v>
      </c>
      <c r="EP117" s="61">
        <f t="shared" si="100"/>
        <v>221.10360210521077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1.1368683772161603E-13</v>
      </c>
      <c r="FF117" s="18">
        <f>FE117*VLOOKUP('Données projet'!$B$16,Paramètres!$A$1:$I$89,3,0)*VLOOKUP('Données projet'!$B$16,Paramètres!$A$1:$I$89,5,0)</f>
        <v>8.8675733422860506E-14</v>
      </c>
      <c r="FG117" s="14">
        <f t="shared" si="101"/>
        <v>1.3509285393066301E-12</v>
      </c>
      <c r="FH117" s="22">
        <f t="shared" si="76"/>
        <v>2.5073107750038623E-12</v>
      </c>
      <c r="FI117" s="61">
        <f t="shared" si="77"/>
        <v>293.33333333333582</v>
      </c>
      <c r="FJ117" s="61">
        <f ca="1">AVERAGE(OFFSET($FI$3,0,0,'Données projet'!$E$16+1,1))-AVERAGE(OFFSET($H$3,0,0,'Données projet'!$E$16+1,1))</f>
        <v>292.57482726862594</v>
      </c>
      <c r="FK117" s="61">
        <f t="shared" si="102"/>
        <v>283.48738729114024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3.7</v>
      </c>
      <c r="FZ117" s="13">
        <f>IF('Données projet'!$A$244&gt;35,FZ116+FY117-GH116,IF(A117&lt;'Données projet'!$A$244,$FW$205^A117,IF(A117='Données projet'!$A$244,'Données projet'!$B$244,FZ116+FY117-GH116)))</f>
        <v>280.79999999999956</v>
      </c>
      <c r="GA117" s="18">
        <f>FZ117*VLOOKUP('Données projet'!$B$17,Paramètres!$A$1:$I$89,3,0)*VLOOKUP('Données projet'!$B$17,Paramètres!$A$1:$I$89,5,0)</f>
        <v>271.58975999999956</v>
      </c>
      <c r="GB117" s="14">
        <f t="shared" si="103"/>
        <v>65.186541118848012</v>
      </c>
      <c r="GC117" s="22">
        <f t="shared" si="79"/>
        <v>586.55205778199286</v>
      </c>
      <c r="GD117" s="61">
        <f t="shared" si="80"/>
        <v>879.88539111532623</v>
      </c>
      <c r="GE117" s="61">
        <f ca="1">AVERAGE(OFFSET($GD$3,0,0,'Données projet'!$E$17+1,1))-AVERAGE(OFFSET($H$3,0,0,'Données projet'!$E$17+1,1))</f>
        <v>455.50822833641354</v>
      </c>
      <c r="GF117" s="61">
        <f t="shared" si="104"/>
        <v>261.14722581688039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0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0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3.7</v>
      </c>
      <c r="GU117" s="13">
        <f>IF('Données projet'!$A$270&gt;35,GU116+GT117-HC116,IF(A117&lt;'Données projet'!$A$270,$GR$205^A117,IF(A117='Données projet'!$A$270,'Données projet'!$B$270,GU116+GT117-HC116)))</f>
        <v>280.79999999999956</v>
      </c>
      <c r="GV117" s="18">
        <f>GU117*VLOOKUP('Données projet'!$B$18,Paramètres!$A$1:$I$89,3,0)*VLOOKUP('Données projet'!$B$18,Paramètres!$A$1:$I$89,5,0)</f>
        <v>302.25311999999951</v>
      </c>
      <c r="GW117" s="14">
        <f t="shared" si="105"/>
        <v>71.648598083211283</v>
      </c>
      <c r="GX117" s="22">
        <f t="shared" si="82"/>
        <v>651.21215899492529</v>
      </c>
      <c r="GY117" s="61">
        <f t="shared" si="83"/>
        <v>944.54549232825866</v>
      </c>
      <c r="GZ117" s="61">
        <f ca="1">AVERAGE(OFFSET($GY$3,0,0,'Données projet'!$E$18+1,1))-AVERAGE(OFFSET($H$3,0,0,'Données projet'!$E$18+1,1))</f>
        <v>502.07782026233912</v>
      </c>
      <c r="HA117" s="61">
        <f t="shared" si="106"/>
        <v>285.83623046025156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0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0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257.41559999999959</v>
      </c>
      <c r="P118" s="14">
        <f t="shared" si="87"/>
        <v>62.171168434977062</v>
      </c>
      <c r="Q118" s="22">
        <f t="shared" si="107"/>
        <v>556.61362169091774</v>
      </c>
      <c r="R118" s="61">
        <f t="shared" si="55"/>
        <v>849.94695502425111</v>
      </c>
      <c r="S118" s="61">
        <f ca="1">AVERAGE(OFFSET($R$3,0,0,'Données projet'!$E$9+1,1))-AVERAGE(OFFSET($H$3,0,0,'Données projet'!$E$9+1,1))</f>
        <v>428.8489304403459</v>
      </c>
      <c r="T118" s="61">
        <f t="shared" si="88"/>
        <v>247.01165577562966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1">
        <f t="shared" si="59"/>
        <v>915.52561007230179</v>
      </c>
      <c r="AN118" s="61">
        <f ca="1">AVERAGE(OFFSET($AM$3,0,0,'Données projet'!$E$10+1,1))-AVERAGE(OFFSET($H$3,0,0,'Données projet'!$E$10+1,1))</f>
        <v>475.47920969424894</v>
      </c>
      <c r="AO118" s="61">
        <f t="shared" si="90"/>
        <v>271.73544012419364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-3.4106051316484809E-13</v>
      </c>
      <c r="BE118" s="14">
        <f>BD118*VLOOKUP('Données projet'!$B$11,Paramètres!$A$1:$I$89,3,0)*VLOOKUP('Données projet'!$B$11,Paramètres!$A$1:$I$89,5,0)</f>
        <v>-1.9065282685915009E-13</v>
      </c>
      <c r="BF118" s="14" t="e">
        <f t="shared" si="91"/>
        <v>#NUM!</v>
      </c>
      <c r="BG118" s="22" t="e">
        <f t="shared" si="61"/>
        <v>#NUM!</v>
      </c>
      <c r="BH118" s="61" t="e">
        <f t="shared" si="62"/>
        <v>#NUM!</v>
      </c>
      <c r="BI118" s="61">
        <f ca="1">AVERAGE(OFFSET($BH$3,0,0,'Données projet'!$E$11+1,1))-AVERAGE(OFFSET($H$3,0,0,'Données projet'!$E$11+1,1))</f>
        <v>374.79806286316051</v>
      </c>
      <c r="BJ118" s="61">
        <f t="shared" si="92"/>
        <v>350.01856672839466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2.1096332661129544</v>
      </c>
      <c r="BR118" s="23">
        <f>EXP(-LN(2)/2)*BR117+(1-EXP(-LN(2)/2))/(LN(2)/2)*BL118*BO118*VLOOKUP('Données projet'!$B$11,Paramètres!$A$1:$I$89,3,0)*0.475*44/12</f>
        <v>1.7698031616401783E-12</v>
      </c>
      <c r="BS118" s="24">
        <f t="shared" si="63"/>
        <v>2.1096332661147241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7.0884615384615346</v>
      </c>
      <c r="BY118" s="13">
        <f>IF('Données projet'!$A$114&gt;35,BY117+BX118-CG117,IF(A118&lt;'Données projet'!$A$114,$BV$205^A118,IF(A118='Données projet'!$A$114,'Données projet'!$B$114,BY117+BX118-CG117)))</f>
        <v>375.07692307692338</v>
      </c>
      <c r="BZ118" s="14">
        <f>BY118*VLOOKUP('Données projet'!$B$12,Paramètres!$A$1:$I$89,3,0)*VLOOKUP('Données projet'!$B$12,Paramètres!$A$1:$I$89,5,0)</f>
        <v>175.53600000000014</v>
      </c>
      <c r="CA118" s="14">
        <f t="shared" si="93"/>
        <v>44.327581520891123</v>
      </c>
      <c r="CB118" s="22">
        <f t="shared" si="64"/>
        <v>382.92907114888561</v>
      </c>
      <c r="CC118" s="61">
        <f t="shared" si="65"/>
        <v>676.26240448221893</v>
      </c>
      <c r="CD118" s="61">
        <f ca="1">AVERAGE(OFFSET($CC$3,0,0,'Données projet'!$E$12+1,1))-AVERAGE(OFFSET($H$3,0,0,'Données projet'!$E$12+1,1))</f>
        <v>285.59863510278109</v>
      </c>
      <c r="CE118" s="61">
        <f t="shared" si="94"/>
        <v>190.4880882944471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5.4683368944097308E-14</v>
      </c>
      <c r="CV118" s="14">
        <f t="shared" si="95"/>
        <v>8.8129432816788268E-13</v>
      </c>
      <c r="CW118" s="22">
        <f t="shared" si="67"/>
        <v>1.6301611558033651E-12</v>
      </c>
      <c r="CX118" s="61">
        <f t="shared" si="68"/>
        <v>293.33333333333496</v>
      </c>
      <c r="CY118" s="61">
        <f ca="1">AVERAGE(OFFSET($CX$3,0,0,'Données projet'!$E$13+1,1))-AVERAGE(OFFSET($H$3,0,0,'Données projet'!$E$13+1,1))</f>
        <v>273.72618036666552</v>
      </c>
      <c r="CZ118" s="61">
        <f t="shared" si="96"/>
        <v>157.67999791700714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1.7053025658242404E-13</v>
      </c>
      <c r="DP118" s="18">
        <f>DO118*VLOOKUP('Données projet'!$B$14,Paramètres!$A$1:$I$89,3,0)*VLOOKUP('Données projet'!$B$14,Paramètres!$A$1:$I$89,5,0)</f>
        <v>1.1439169611549005E-13</v>
      </c>
      <c r="DQ118" s="14">
        <f t="shared" si="97"/>
        <v>1.6918016515029816E-12</v>
      </c>
      <c r="DR118" s="22">
        <f t="shared" si="70"/>
        <v>3.1457867471021712E-12</v>
      </c>
      <c r="DS118" s="61">
        <f t="shared" si="71"/>
        <v>293.33333333333644</v>
      </c>
      <c r="DT118" s="61">
        <f ca="1">AVERAGE(OFFSET($DS$3,0,0,'Données projet'!$E$14+1,1))-AVERAGE(OFFSET($H$3,0,0,'Données projet'!$E$14+1,1))</f>
        <v>312.06797204903796</v>
      </c>
      <c r="DU118" s="61">
        <f t="shared" si="98"/>
        <v>258.20189001775151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1.4210854715202004E-13</v>
      </c>
      <c r="EK118" s="18">
        <f>EJ118*VLOOKUP('Données projet'!$B$15,Paramètres!$A$1:$I$89,3,0)*VLOOKUP('Données projet'!$B$15,Paramètres!$A$1:$I$89,5,0)</f>
        <v>1.1527845344971866E-13</v>
      </c>
      <c r="EL118" s="14">
        <f t="shared" si="99"/>
        <v>1.7033846239409443E-12</v>
      </c>
      <c r="EM118" s="22">
        <f t="shared" si="73"/>
        <v>3.1675048597887374E-12</v>
      </c>
      <c r="EN118" s="61">
        <f t="shared" si="74"/>
        <v>293.3333333333365</v>
      </c>
      <c r="EO118" s="61">
        <f ca="1">AVERAGE(OFFSET($EN$3,0,0,'Données projet'!$E$15+1,1))-AVERAGE(OFFSET($H$3,0,0,'Données projet'!$E$15+1,1))</f>
        <v>222.15256609836689</v>
      </c>
      <c r="EP118" s="61">
        <f t="shared" si="100"/>
        <v>221.10360210521077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1.1368683772161603E-13</v>
      </c>
      <c r="FF118" s="18">
        <f>FE118*VLOOKUP('Données projet'!$B$16,Paramètres!$A$1:$I$89,3,0)*VLOOKUP('Données projet'!$B$16,Paramètres!$A$1:$I$89,5,0)</f>
        <v>8.8675733422860506E-14</v>
      </c>
      <c r="FG118" s="14">
        <f t="shared" si="101"/>
        <v>1.3509285393066301E-12</v>
      </c>
      <c r="FH118" s="22">
        <f t="shared" si="76"/>
        <v>2.5073107750038623E-12</v>
      </c>
      <c r="FI118" s="61">
        <f t="shared" si="77"/>
        <v>293.33333333333582</v>
      </c>
      <c r="FJ118" s="61">
        <f ca="1">AVERAGE(OFFSET($FI$3,0,0,'Données projet'!$E$16+1,1))-AVERAGE(OFFSET($H$3,0,0,'Données projet'!$E$16+1,1))</f>
        <v>292.57482726862594</v>
      </c>
      <c r="FK118" s="61">
        <f t="shared" si="102"/>
        <v>283.48738729114024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3.7</v>
      </c>
      <c r="FZ118" s="13">
        <f>IF('Données projet'!$A$244&gt;35,FZ117+FY118-GH117,IF(A118&lt;'Données projet'!$A$244,$FW$205^A118,IF(A118='Données projet'!$A$244,'Données projet'!$B$244,FZ117+FY118-GH117)))</f>
        <v>284.49999999999955</v>
      </c>
      <c r="GA118" s="18">
        <f>FZ118*VLOOKUP('Données projet'!$B$17,Paramètres!$A$1:$I$89,3,0)*VLOOKUP('Données projet'!$B$17,Paramètres!$A$1:$I$89,5,0)</f>
        <v>275.16839999999956</v>
      </c>
      <c r="GB118" s="14">
        <f t="shared" si="103"/>
        <v>65.944920834841554</v>
      </c>
      <c r="GC118" s="22">
        <f t="shared" si="79"/>
        <v>594.10570045401494</v>
      </c>
      <c r="GD118" s="61">
        <f t="shared" si="80"/>
        <v>887.43903378734831</v>
      </c>
      <c r="GE118" s="61">
        <f ca="1">AVERAGE(OFFSET($GD$3,0,0,'Données projet'!$E$17+1,1))-AVERAGE(OFFSET($H$3,0,0,'Données projet'!$E$17+1,1))</f>
        <v>455.50822833641354</v>
      </c>
      <c r="GF118" s="61">
        <f t="shared" si="104"/>
        <v>261.14722581688039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0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0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3.7</v>
      </c>
      <c r="GU118" s="13">
        <f>IF('Données projet'!$A$270&gt;35,GU117+GT118-HC117,IF(A118&lt;'Données projet'!$A$270,$GR$205^A118,IF(A118='Données projet'!$A$270,'Données projet'!$B$270,GU117+GT118-HC117)))</f>
        <v>284.49999999999955</v>
      </c>
      <c r="GV118" s="18">
        <f>GU118*VLOOKUP('Données projet'!$B$18,Paramètres!$A$1:$I$89,3,0)*VLOOKUP('Données projet'!$B$18,Paramètres!$A$1:$I$89,5,0)</f>
        <v>306.23579999999947</v>
      </c>
      <c r="GW118" s="14">
        <f t="shared" si="105"/>
        <v>72.482157320026886</v>
      </c>
      <c r="GX118" s="22">
        <f t="shared" si="82"/>
        <v>659.6004423323792</v>
      </c>
      <c r="GY118" s="61">
        <f t="shared" si="83"/>
        <v>952.93377566571257</v>
      </c>
      <c r="GZ118" s="61">
        <f ca="1">AVERAGE(OFFSET($GY$3,0,0,'Données projet'!$E$18+1,1))-AVERAGE(OFFSET($H$3,0,0,'Données projet'!$E$18+1,1))</f>
        <v>502.07782026233912</v>
      </c>
      <c r="HA118" s="61">
        <f t="shared" si="106"/>
        <v>285.83623046025156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0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0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260.76335999999958</v>
      </c>
      <c r="P119" s="14">
        <f t="shared" si="87"/>
        <v>62.885067686031896</v>
      </c>
      <c r="Q119" s="22">
        <f t="shared" si="107"/>
        <v>563.68767821983818</v>
      </c>
      <c r="R119" s="61">
        <f t="shared" si="55"/>
        <v>857.02101155317155</v>
      </c>
      <c r="S119" s="61">
        <f ca="1">AVERAGE(OFFSET($R$3,0,0,'Données projet'!$E$9+1,1))-AVERAGE(OFFSET($H$3,0,0,'Données projet'!$E$9+1,1))</f>
        <v>428.8489304403459</v>
      </c>
      <c r="T119" s="61">
        <f t="shared" si="88"/>
        <v>247.01165577562966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1">
        <f t="shared" si="59"/>
        <v>923.43507275383013</v>
      </c>
      <c r="AN119" s="61">
        <f ca="1">AVERAGE(OFFSET($AM$3,0,0,'Données projet'!$E$10+1,1))-AVERAGE(OFFSET($H$3,0,0,'Données projet'!$E$10+1,1))</f>
        <v>475.47920969424894</v>
      </c>
      <c r="AO119" s="61">
        <f t="shared" si="90"/>
        <v>271.73544012419364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-3.4106051316484809E-13</v>
      </c>
      <c r="BE119" s="14">
        <f>BD119*VLOOKUP('Données projet'!$B$11,Paramètres!$A$1:$I$89,3,0)*VLOOKUP('Données projet'!$B$11,Paramètres!$A$1:$I$89,5,0)</f>
        <v>-1.9065282685915009E-13</v>
      </c>
      <c r="BF119" s="14" t="e">
        <f t="shared" si="91"/>
        <v>#NUM!</v>
      </c>
      <c r="BG119" s="22" t="e">
        <f t="shared" si="61"/>
        <v>#NUM!</v>
      </c>
      <c r="BH119" s="61" t="e">
        <f t="shared" si="62"/>
        <v>#NUM!</v>
      </c>
      <c r="BI119" s="61">
        <f ca="1">AVERAGE(OFFSET($BH$3,0,0,'Données projet'!$E$11+1,1))-AVERAGE(OFFSET($H$3,0,0,'Données projet'!$E$11+1,1))</f>
        <v>374.79806286316051</v>
      </c>
      <c r="BJ119" s="61">
        <f t="shared" si="92"/>
        <v>350.01856672839466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2.0519452335103039</v>
      </c>
      <c r="BR119" s="23">
        <f>EXP(-LN(2)/2)*BR118+(1-EXP(-LN(2)/2))/(LN(2)/2)*BL119*BO119*VLOOKUP('Données projet'!$B$11,Paramètres!$A$1:$I$89,3,0)*0.475*44/12</f>
        <v>1.2514398169611616E-12</v>
      </c>
      <c r="BS119" s="24">
        <f t="shared" si="63"/>
        <v>2.0519452335115553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7.0884615384615346</v>
      </c>
      <c r="BY119" s="13">
        <f>IF('Données projet'!$A$114&gt;35,BY118+BX119-CG118,IF(A119&lt;'Données projet'!$A$114,$BV$205^A119,IF(A119='Données projet'!$A$114,'Données projet'!$B$114,BY118+BX119-CG118)))</f>
        <v>382.16538461538494</v>
      </c>
      <c r="BZ119" s="14">
        <f>BY119*VLOOKUP('Données projet'!$B$12,Paramètres!$A$1:$I$89,3,0)*VLOOKUP('Données projet'!$B$12,Paramètres!$A$1:$I$89,5,0)</f>
        <v>178.85340000000014</v>
      </c>
      <c r="CA119" s="14">
        <f t="shared" si="93"/>
        <v>45.06699399320177</v>
      </c>
      <c r="CB119" s="22">
        <f t="shared" si="64"/>
        <v>389.99468620482668</v>
      </c>
      <c r="CC119" s="61">
        <f t="shared" si="65"/>
        <v>683.32801953815999</v>
      </c>
      <c r="CD119" s="61">
        <f ca="1">AVERAGE(OFFSET($CC$3,0,0,'Données projet'!$E$12+1,1))-AVERAGE(OFFSET($H$3,0,0,'Données projet'!$E$12+1,1))</f>
        <v>285.59863510278109</v>
      </c>
      <c r="CE119" s="61">
        <f t="shared" si="94"/>
        <v>190.4880882944471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5.4683368944097308E-14</v>
      </c>
      <c r="CV119" s="14">
        <f t="shared" si="95"/>
        <v>8.8129432816788268E-13</v>
      </c>
      <c r="CW119" s="22">
        <f t="shared" si="67"/>
        <v>1.6301611558033651E-12</v>
      </c>
      <c r="CX119" s="61">
        <f t="shared" si="68"/>
        <v>293.33333333333496</v>
      </c>
      <c r="CY119" s="61">
        <f ca="1">AVERAGE(OFFSET($CX$3,0,0,'Données projet'!$E$13+1,1))-AVERAGE(OFFSET($H$3,0,0,'Données projet'!$E$13+1,1))</f>
        <v>273.72618036666552</v>
      </c>
      <c r="CZ119" s="61">
        <f t="shared" si="96"/>
        <v>157.67999791700714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1.7053025658242404E-13</v>
      </c>
      <c r="DP119" s="18">
        <f>DO119*VLOOKUP('Données projet'!$B$14,Paramètres!$A$1:$I$89,3,0)*VLOOKUP('Données projet'!$B$14,Paramètres!$A$1:$I$89,5,0)</f>
        <v>1.1439169611549005E-13</v>
      </c>
      <c r="DQ119" s="14">
        <f t="shared" si="97"/>
        <v>1.6918016515029816E-12</v>
      </c>
      <c r="DR119" s="22">
        <f t="shared" si="70"/>
        <v>3.1457867471021712E-12</v>
      </c>
      <c r="DS119" s="61">
        <f t="shared" si="71"/>
        <v>293.33333333333644</v>
      </c>
      <c r="DT119" s="61">
        <f ca="1">AVERAGE(OFFSET($DS$3,0,0,'Données projet'!$E$14+1,1))-AVERAGE(OFFSET($H$3,0,0,'Données projet'!$E$14+1,1))</f>
        <v>312.06797204903796</v>
      </c>
      <c r="DU119" s="61">
        <f t="shared" si="98"/>
        <v>258.20189001775151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1.4210854715202004E-13</v>
      </c>
      <c r="EK119" s="18">
        <f>EJ119*VLOOKUP('Données projet'!$B$15,Paramètres!$A$1:$I$89,3,0)*VLOOKUP('Données projet'!$B$15,Paramètres!$A$1:$I$89,5,0)</f>
        <v>1.1527845344971866E-13</v>
      </c>
      <c r="EL119" s="14">
        <f t="shared" si="99"/>
        <v>1.7033846239409443E-12</v>
      </c>
      <c r="EM119" s="22">
        <f t="shared" si="73"/>
        <v>3.1675048597887374E-12</v>
      </c>
      <c r="EN119" s="61">
        <f t="shared" si="74"/>
        <v>293.3333333333365</v>
      </c>
      <c r="EO119" s="61">
        <f ca="1">AVERAGE(OFFSET($EN$3,0,0,'Données projet'!$E$15+1,1))-AVERAGE(OFFSET($H$3,0,0,'Données projet'!$E$15+1,1))</f>
        <v>222.15256609836689</v>
      </c>
      <c r="EP119" s="61">
        <f t="shared" si="100"/>
        <v>221.10360210521077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1.1368683772161603E-13</v>
      </c>
      <c r="FF119" s="18">
        <f>FE119*VLOOKUP('Données projet'!$B$16,Paramètres!$A$1:$I$89,3,0)*VLOOKUP('Données projet'!$B$16,Paramètres!$A$1:$I$89,5,0)</f>
        <v>8.8675733422860506E-14</v>
      </c>
      <c r="FG119" s="14">
        <f t="shared" si="101"/>
        <v>1.3509285393066301E-12</v>
      </c>
      <c r="FH119" s="22">
        <f t="shared" si="76"/>
        <v>2.5073107750038623E-12</v>
      </c>
      <c r="FI119" s="61">
        <f t="shared" si="77"/>
        <v>293.33333333333582</v>
      </c>
      <c r="FJ119" s="61">
        <f ca="1">AVERAGE(OFFSET($FI$3,0,0,'Données projet'!$E$16+1,1))-AVERAGE(OFFSET($H$3,0,0,'Données projet'!$E$16+1,1))</f>
        <v>292.57482726862594</v>
      </c>
      <c r="FK119" s="61">
        <f t="shared" si="102"/>
        <v>283.48738729114024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3.7</v>
      </c>
      <c r="FZ119" s="13">
        <f>IF('Données projet'!$A$244&gt;35,FZ118+FY119-GH118,IF(A119&lt;'Données projet'!$A$244,$FW$205^A119,IF(A119='Données projet'!$A$244,'Données projet'!$B$244,FZ118+FY119-GH118)))</f>
        <v>288.19999999999953</v>
      </c>
      <c r="GA119" s="18">
        <f>FZ119*VLOOKUP('Données projet'!$B$17,Paramètres!$A$1:$I$89,3,0)*VLOOKUP('Données projet'!$B$17,Paramètres!$A$1:$I$89,5,0)</f>
        <v>278.74703999999957</v>
      </c>
      <c r="GB119" s="14">
        <f t="shared" si="103"/>
        <v>66.702153339553135</v>
      </c>
      <c r="GC119" s="22">
        <f t="shared" si="79"/>
        <v>601.65734506638762</v>
      </c>
      <c r="GD119" s="61">
        <f t="shared" si="80"/>
        <v>894.99067839972099</v>
      </c>
      <c r="GE119" s="61">
        <f ca="1">AVERAGE(OFFSET($GD$3,0,0,'Données projet'!$E$17+1,1))-AVERAGE(OFFSET($H$3,0,0,'Données projet'!$E$17+1,1))</f>
        <v>455.50822833641354</v>
      </c>
      <c r="GF119" s="61">
        <f t="shared" si="104"/>
        <v>261.14722581688039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0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0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3.7</v>
      </c>
      <c r="GU119" s="13">
        <f>IF('Données projet'!$A$270&gt;35,GU118+GT119-HC118,IF(A119&lt;'Données projet'!$A$270,$GR$205^A119,IF(A119='Données projet'!$A$270,'Données projet'!$B$270,GU118+GT119-HC118)))</f>
        <v>288.19999999999953</v>
      </c>
      <c r="GV119" s="18">
        <f>GU119*VLOOKUP('Données projet'!$B$18,Paramètres!$A$1:$I$89,3,0)*VLOOKUP('Données projet'!$B$18,Paramètres!$A$1:$I$89,5,0)</f>
        <v>310.21847999999949</v>
      </c>
      <c r="GW119" s="14">
        <f t="shared" si="105"/>
        <v>73.314455620479848</v>
      </c>
      <c r="GX119" s="22">
        <f t="shared" si="82"/>
        <v>667.98652953900148</v>
      </c>
      <c r="GY119" s="61">
        <f t="shared" si="83"/>
        <v>961.31986287233485</v>
      </c>
      <c r="GZ119" s="61">
        <f ca="1">AVERAGE(OFFSET($GY$3,0,0,'Données projet'!$E$18+1,1))-AVERAGE(OFFSET($H$3,0,0,'Données projet'!$E$18+1,1))</f>
        <v>502.07782026233912</v>
      </c>
      <c r="HA119" s="61">
        <f t="shared" si="106"/>
        <v>285.83623046025156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0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0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264.11111999999957</v>
      </c>
      <c r="P120" s="14">
        <f t="shared" si="87"/>
        <v>63.597900866870546</v>
      </c>
      <c r="Q120" s="22">
        <f t="shared" si="107"/>
        <v>570.75987800979885</v>
      </c>
      <c r="R120" s="61">
        <f t="shared" si="55"/>
        <v>864.09321134313223</v>
      </c>
      <c r="S120" s="61">
        <f ca="1">AVERAGE(OFFSET($R$3,0,0,'Données projet'!$E$9+1,1))-AVERAGE(OFFSET($H$3,0,0,'Données projet'!$E$9+1,1))</f>
        <v>428.8489304403459</v>
      </c>
      <c r="T120" s="61">
        <f t="shared" si="88"/>
        <v>247.01165577562966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1">
        <f t="shared" si="59"/>
        <v>931.34248202325739</v>
      </c>
      <c r="AN120" s="61">
        <f ca="1">AVERAGE(OFFSET($AM$3,0,0,'Données projet'!$E$10+1,1))-AVERAGE(OFFSET($H$3,0,0,'Données projet'!$E$10+1,1))</f>
        <v>475.47920969424894</v>
      </c>
      <c r="AO120" s="61">
        <f t="shared" si="90"/>
        <v>271.73544012419364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-3.4106051316484809E-13</v>
      </c>
      <c r="BE120" s="14">
        <f>BD120*VLOOKUP('Données projet'!$B$11,Paramètres!$A$1:$I$89,3,0)*VLOOKUP('Données projet'!$B$11,Paramètres!$A$1:$I$89,5,0)</f>
        <v>-1.9065282685915009E-13</v>
      </c>
      <c r="BF120" s="14" t="e">
        <f t="shared" si="91"/>
        <v>#NUM!</v>
      </c>
      <c r="BG120" s="22" t="e">
        <f t="shared" si="61"/>
        <v>#NUM!</v>
      </c>
      <c r="BH120" s="61" t="e">
        <f t="shared" si="62"/>
        <v>#NUM!</v>
      </c>
      <c r="BI120" s="61">
        <f ca="1">AVERAGE(OFFSET($BH$3,0,0,'Données projet'!$E$11+1,1))-AVERAGE(OFFSET($H$3,0,0,'Données projet'!$E$11+1,1))</f>
        <v>374.79806286316051</v>
      </c>
      <c r="BJ120" s="61">
        <f t="shared" si="92"/>
        <v>350.01856672839466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1.9958346831928546</v>
      </c>
      <c r="BR120" s="23">
        <f>EXP(-LN(2)/2)*BR119+(1-EXP(-LN(2)/2))/(LN(2)/2)*BL120*BO120*VLOOKUP('Données projet'!$B$11,Paramètres!$A$1:$I$89,3,0)*0.475*44/12</f>
        <v>8.8490158082008923E-13</v>
      </c>
      <c r="BS120" s="24">
        <f t="shared" si="63"/>
        <v>1.9958346831937395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7.0884615384615346</v>
      </c>
      <c r="BY120" s="13">
        <f>IF('Données projet'!$A$114&gt;35,BY119+BX120-CG119,IF(A120&lt;'Données projet'!$A$114,$BV$205^A120,IF(A120='Données projet'!$A$114,'Données projet'!$B$114,BY119+BX120-CG119)))</f>
        <v>389.2538461538465</v>
      </c>
      <c r="BZ120" s="14">
        <f>BY120*VLOOKUP('Données projet'!$B$12,Paramètres!$A$1:$I$89,3,0)*VLOOKUP('Données projet'!$B$12,Paramètres!$A$1:$I$89,5,0)</f>
        <v>182.17080000000018</v>
      </c>
      <c r="CA120" s="14">
        <f t="shared" si="93"/>
        <v>45.804811695795266</v>
      </c>
      <c r="CB120" s="22">
        <f t="shared" si="64"/>
        <v>397.05752370351041</v>
      </c>
      <c r="CC120" s="61">
        <f t="shared" si="65"/>
        <v>690.39085703684373</v>
      </c>
      <c r="CD120" s="61">
        <f ca="1">AVERAGE(OFFSET($CC$3,0,0,'Données projet'!$E$12+1,1))-AVERAGE(OFFSET($H$3,0,0,'Données projet'!$E$12+1,1))</f>
        <v>285.59863510278109</v>
      </c>
      <c r="CE120" s="61">
        <f t="shared" si="94"/>
        <v>190.4880882944471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5.4683368944097308E-14</v>
      </c>
      <c r="CV120" s="14">
        <f t="shared" si="95"/>
        <v>8.8129432816788268E-13</v>
      </c>
      <c r="CW120" s="22">
        <f t="shared" si="67"/>
        <v>1.6301611558033651E-12</v>
      </c>
      <c r="CX120" s="61">
        <f t="shared" si="68"/>
        <v>293.33333333333496</v>
      </c>
      <c r="CY120" s="61">
        <f ca="1">AVERAGE(OFFSET($CX$3,0,0,'Données projet'!$E$13+1,1))-AVERAGE(OFFSET($H$3,0,0,'Données projet'!$E$13+1,1))</f>
        <v>273.72618036666552</v>
      </c>
      <c r="CZ120" s="61">
        <f t="shared" si="96"/>
        <v>157.67999791700714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1.7053025658242404E-13</v>
      </c>
      <c r="DP120" s="18">
        <f>DO120*VLOOKUP('Données projet'!$B$14,Paramètres!$A$1:$I$89,3,0)*VLOOKUP('Données projet'!$B$14,Paramètres!$A$1:$I$89,5,0)</f>
        <v>1.1439169611549005E-13</v>
      </c>
      <c r="DQ120" s="14">
        <f t="shared" si="97"/>
        <v>1.6918016515029816E-12</v>
      </c>
      <c r="DR120" s="22">
        <f t="shared" si="70"/>
        <v>3.1457867471021712E-12</v>
      </c>
      <c r="DS120" s="61">
        <f t="shared" si="71"/>
        <v>293.33333333333644</v>
      </c>
      <c r="DT120" s="61">
        <f ca="1">AVERAGE(OFFSET($DS$3,0,0,'Données projet'!$E$14+1,1))-AVERAGE(OFFSET($H$3,0,0,'Données projet'!$E$14+1,1))</f>
        <v>312.06797204903796</v>
      </c>
      <c r="DU120" s="61">
        <f t="shared" si="98"/>
        <v>258.20189001775151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1.4210854715202004E-13</v>
      </c>
      <c r="EK120" s="18">
        <f>EJ120*VLOOKUP('Données projet'!$B$15,Paramètres!$A$1:$I$89,3,0)*VLOOKUP('Données projet'!$B$15,Paramètres!$A$1:$I$89,5,0)</f>
        <v>1.1527845344971866E-13</v>
      </c>
      <c r="EL120" s="14">
        <f t="shared" si="99"/>
        <v>1.7033846239409443E-12</v>
      </c>
      <c r="EM120" s="22">
        <f t="shared" si="73"/>
        <v>3.1675048597887374E-12</v>
      </c>
      <c r="EN120" s="61">
        <f t="shared" si="74"/>
        <v>293.3333333333365</v>
      </c>
      <c r="EO120" s="61">
        <f ca="1">AVERAGE(OFFSET($EN$3,0,0,'Données projet'!$E$15+1,1))-AVERAGE(OFFSET($H$3,0,0,'Données projet'!$E$15+1,1))</f>
        <v>222.15256609836689</v>
      </c>
      <c r="EP120" s="61">
        <f t="shared" si="100"/>
        <v>221.10360210521077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1.1368683772161603E-13</v>
      </c>
      <c r="FF120" s="18">
        <f>FE120*VLOOKUP('Données projet'!$B$16,Paramètres!$A$1:$I$89,3,0)*VLOOKUP('Données projet'!$B$16,Paramètres!$A$1:$I$89,5,0)</f>
        <v>8.8675733422860506E-14</v>
      </c>
      <c r="FG120" s="14">
        <f t="shared" si="101"/>
        <v>1.3509285393066301E-12</v>
      </c>
      <c r="FH120" s="22">
        <f t="shared" si="76"/>
        <v>2.5073107750038623E-12</v>
      </c>
      <c r="FI120" s="61">
        <f t="shared" si="77"/>
        <v>293.33333333333582</v>
      </c>
      <c r="FJ120" s="61">
        <f ca="1">AVERAGE(OFFSET($FI$3,0,0,'Données projet'!$E$16+1,1))-AVERAGE(OFFSET($H$3,0,0,'Données projet'!$E$16+1,1))</f>
        <v>292.57482726862594</v>
      </c>
      <c r="FK120" s="61">
        <f t="shared" si="102"/>
        <v>283.48738729114024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3.7</v>
      </c>
      <c r="FZ120" s="13">
        <f>IF('Données projet'!$A$244&gt;35,FZ119+FY120-GH119,IF(A120&lt;'Données projet'!$A$244,$FW$205^A120,IF(A120='Données projet'!$A$244,'Données projet'!$B$244,FZ119+FY120-GH119)))</f>
        <v>291.89999999999952</v>
      </c>
      <c r="GA120" s="18">
        <f>FZ120*VLOOKUP('Données projet'!$B$17,Paramètres!$A$1:$I$89,3,0)*VLOOKUP('Données projet'!$B$17,Paramètres!$A$1:$I$89,5,0)</f>
        <v>282.32567999999952</v>
      </c>
      <c r="GB120" s="14">
        <f t="shared" si="103"/>
        <v>67.458255064229917</v>
      </c>
      <c r="GC120" s="22">
        <f t="shared" si="79"/>
        <v>609.20702023686624</v>
      </c>
      <c r="GD120" s="61">
        <f t="shared" si="80"/>
        <v>902.54035357019961</v>
      </c>
      <c r="GE120" s="61">
        <f ca="1">AVERAGE(OFFSET($GD$3,0,0,'Données projet'!$E$17+1,1))-AVERAGE(OFFSET($H$3,0,0,'Données projet'!$E$17+1,1))</f>
        <v>455.50822833641354</v>
      </c>
      <c r="GF120" s="61">
        <f t="shared" si="104"/>
        <v>261.14722581688039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0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0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3.7</v>
      </c>
      <c r="GU120" s="13">
        <f>IF('Données projet'!$A$270&gt;35,GU119+GT120-HC119,IF(A120&lt;'Données projet'!$A$270,$GR$205^A120,IF(A120='Données projet'!$A$270,'Données projet'!$B$270,GU119+GT120-HC119)))</f>
        <v>291.89999999999952</v>
      </c>
      <c r="GV120" s="18">
        <f>GU120*VLOOKUP('Données projet'!$B$18,Paramètres!$A$1:$I$89,3,0)*VLOOKUP('Données projet'!$B$18,Paramètres!$A$1:$I$89,5,0)</f>
        <v>314.2011599999995</v>
      </c>
      <c r="GW120" s="14">
        <f t="shared" si="105"/>
        <v>74.145511044675771</v>
      </c>
      <c r="GX120" s="22">
        <f t="shared" si="82"/>
        <v>676.37045206947607</v>
      </c>
      <c r="GY120" s="61">
        <f t="shared" si="83"/>
        <v>969.70378540280944</v>
      </c>
      <c r="GZ120" s="61">
        <f ca="1">AVERAGE(OFFSET($GY$3,0,0,'Données projet'!$E$18+1,1))-AVERAGE(OFFSET($H$3,0,0,'Données projet'!$E$18+1,1))</f>
        <v>502.07782026233912</v>
      </c>
      <c r="HA120" s="61">
        <f t="shared" si="106"/>
        <v>285.83623046025156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0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0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267.45887999999951</v>
      </c>
      <c r="P121" s="14">
        <f t="shared" si="87"/>
        <v>64.309683053152327</v>
      </c>
      <c r="Q121" s="22">
        <f t="shared" si="107"/>
        <v>577.8302473175728</v>
      </c>
      <c r="R121" s="61">
        <f t="shared" si="55"/>
        <v>871.16358065090617</v>
      </c>
      <c r="S121" s="61">
        <f ca="1">AVERAGE(OFFSET($R$3,0,0,'Données projet'!$E$9+1,1))-AVERAGE(OFFSET($H$3,0,0,'Données projet'!$E$9+1,1))</f>
        <v>428.8489304403459</v>
      </c>
      <c r="T121" s="61">
        <f t="shared" si="88"/>
        <v>247.01165577562966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1">
        <f t="shared" si="59"/>
        <v>939.24786691857776</v>
      </c>
      <c r="AN121" s="61">
        <f ca="1">AVERAGE(OFFSET($AM$3,0,0,'Données projet'!$E$10+1,1))-AVERAGE(OFFSET($H$3,0,0,'Données projet'!$E$10+1,1))</f>
        <v>475.47920969424894</v>
      </c>
      <c r="AO121" s="61">
        <f t="shared" si="90"/>
        <v>271.73544012419364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-3.4106051316484809E-13</v>
      </c>
      <c r="BE121" s="14">
        <f>BD121*VLOOKUP('Données projet'!$B$11,Paramètres!$A$1:$I$89,3,0)*VLOOKUP('Données projet'!$B$11,Paramètres!$A$1:$I$89,5,0)</f>
        <v>-1.9065282685915009E-13</v>
      </c>
      <c r="BF121" s="14" t="e">
        <f t="shared" si="91"/>
        <v>#NUM!</v>
      </c>
      <c r="BG121" s="22" t="e">
        <f t="shared" si="61"/>
        <v>#NUM!</v>
      </c>
      <c r="BH121" s="61" t="e">
        <f t="shared" si="62"/>
        <v>#NUM!</v>
      </c>
      <c r="BI121" s="61">
        <f ca="1">AVERAGE(OFFSET($BH$3,0,0,'Données projet'!$E$11+1,1))-AVERAGE(OFFSET($H$3,0,0,'Données projet'!$E$11+1,1))</f>
        <v>374.79806286316051</v>
      </c>
      <c r="BJ121" s="61">
        <f t="shared" si="92"/>
        <v>350.01856672839466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1.9412584788245615</v>
      </c>
      <c r="BR121" s="23">
        <f>EXP(-LN(2)/2)*BR120+(1-EXP(-LN(2)/2))/(LN(2)/2)*BL121*BO121*VLOOKUP('Données projet'!$B$11,Paramètres!$A$1:$I$89,3,0)*0.475*44/12</f>
        <v>6.257199084805809E-13</v>
      </c>
      <c r="BS121" s="24">
        <f t="shared" si="63"/>
        <v>1.9412584788251872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7.0884615384615346</v>
      </c>
      <c r="BY121" s="13">
        <f>IF('Données projet'!$A$114&gt;35,BY120+BX121-CG120,IF(A121&lt;'Données projet'!$A$114,$BV$205^A121,IF(A121='Données projet'!$A$114,'Données projet'!$B$114,BY120+BX121-CG120)))</f>
        <v>396.34230769230805</v>
      </c>
      <c r="BZ121" s="14">
        <f>BY121*VLOOKUP('Données projet'!$B$12,Paramètres!$A$1:$I$89,3,0)*VLOOKUP('Données projet'!$B$12,Paramètres!$A$1:$I$89,5,0)</f>
        <v>185.48820000000018</v>
      </c>
      <c r="CA121" s="14">
        <f t="shared" si="93"/>
        <v>46.541067019726007</v>
      </c>
      <c r="CB121" s="22">
        <f t="shared" si="64"/>
        <v>404.11764005935646</v>
      </c>
      <c r="CC121" s="61">
        <f t="shared" si="65"/>
        <v>697.45097339268978</v>
      </c>
      <c r="CD121" s="61">
        <f ca="1">AVERAGE(OFFSET($CC$3,0,0,'Données projet'!$E$12+1,1))-AVERAGE(OFFSET($H$3,0,0,'Données projet'!$E$12+1,1))</f>
        <v>285.59863510278109</v>
      </c>
      <c r="CE121" s="61">
        <f t="shared" si="94"/>
        <v>190.4880882944471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5.4683368944097308E-14</v>
      </c>
      <c r="CV121" s="14">
        <f t="shared" si="95"/>
        <v>8.8129432816788268E-13</v>
      </c>
      <c r="CW121" s="22">
        <f t="shared" si="67"/>
        <v>1.6301611558033651E-12</v>
      </c>
      <c r="CX121" s="61">
        <f t="shared" si="68"/>
        <v>293.33333333333496</v>
      </c>
      <c r="CY121" s="61">
        <f ca="1">AVERAGE(OFFSET($CX$3,0,0,'Données projet'!$E$13+1,1))-AVERAGE(OFFSET($H$3,0,0,'Données projet'!$E$13+1,1))</f>
        <v>273.72618036666552</v>
      </c>
      <c r="CZ121" s="61">
        <f t="shared" si="96"/>
        <v>157.67999791700714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1.7053025658242404E-13</v>
      </c>
      <c r="DP121" s="18">
        <f>DO121*VLOOKUP('Données projet'!$B$14,Paramètres!$A$1:$I$89,3,0)*VLOOKUP('Données projet'!$B$14,Paramètres!$A$1:$I$89,5,0)</f>
        <v>1.1439169611549005E-13</v>
      </c>
      <c r="DQ121" s="14">
        <f t="shared" si="97"/>
        <v>1.6918016515029816E-12</v>
      </c>
      <c r="DR121" s="22">
        <f t="shared" si="70"/>
        <v>3.1457867471021712E-12</v>
      </c>
      <c r="DS121" s="61">
        <f t="shared" si="71"/>
        <v>293.33333333333644</v>
      </c>
      <c r="DT121" s="61">
        <f ca="1">AVERAGE(OFFSET($DS$3,0,0,'Données projet'!$E$14+1,1))-AVERAGE(OFFSET($H$3,0,0,'Données projet'!$E$14+1,1))</f>
        <v>312.06797204903796</v>
      </c>
      <c r="DU121" s="61">
        <f t="shared" si="98"/>
        <v>258.20189001775151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1.4210854715202004E-13</v>
      </c>
      <c r="EK121" s="18">
        <f>EJ121*VLOOKUP('Données projet'!$B$15,Paramètres!$A$1:$I$89,3,0)*VLOOKUP('Données projet'!$B$15,Paramètres!$A$1:$I$89,5,0)</f>
        <v>1.1527845344971866E-13</v>
      </c>
      <c r="EL121" s="14">
        <f t="shared" si="99"/>
        <v>1.7033846239409443E-12</v>
      </c>
      <c r="EM121" s="22">
        <f t="shared" si="73"/>
        <v>3.1675048597887374E-12</v>
      </c>
      <c r="EN121" s="61">
        <f t="shared" si="74"/>
        <v>293.3333333333365</v>
      </c>
      <c r="EO121" s="61">
        <f ca="1">AVERAGE(OFFSET($EN$3,0,0,'Données projet'!$E$15+1,1))-AVERAGE(OFFSET($H$3,0,0,'Données projet'!$E$15+1,1))</f>
        <v>222.15256609836689</v>
      </c>
      <c r="EP121" s="61">
        <f t="shared" si="100"/>
        <v>221.10360210521077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1.1368683772161603E-13</v>
      </c>
      <c r="FF121" s="18">
        <f>FE121*VLOOKUP('Données projet'!$B$16,Paramètres!$A$1:$I$89,3,0)*VLOOKUP('Données projet'!$B$16,Paramètres!$A$1:$I$89,5,0)</f>
        <v>8.8675733422860506E-14</v>
      </c>
      <c r="FG121" s="14">
        <f t="shared" si="101"/>
        <v>1.3509285393066301E-12</v>
      </c>
      <c r="FH121" s="22">
        <f t="shared" si="76"/>
        <v>2.5073107750038623E-12</v>
      </c>
      <c r="FI121" s="61">
        <f t="shared" si="77"/>
        <v>293.33333333333582</v>
      </c>
      <c r="FJ121" s="61">
        <f ca="1">AVERAGE(OFFSET($FI$3,0,0,'Données projet'!$E$16+1,1))-AVERAGE(OFFSET($H$3,0,0,'Données projet'!$E$16+1,1))</f>
        <v>292.57482726862594</v>
      </c>
      <c r="FK121" s="61">
        <f t="shared" si="102"/>
        <v>283.48738729114024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3.7</v>
      </c>
      <c r="FZ121" s="13">
        <f>IF('Données projet'!$A$244&gt;35,FZ120+FY121-GH120,IF(A121&lt;'Données projet'!$A$244,$FW$205^A121,IF(A121='Données projet'!$A$244,'Données projet'!$B$244,FZ120+FY121-GH120)))</f>
        <v>295.59999999999951</v>
      </c>
      <c r="GA121" s="18">
        <f>FZ121*VLOOKUP('Données projet'!$B$17,Paramètres!$A$1:$I$89,3,0)*VLOOKUP('Données projet'!$B$17,Paramètres!$A$1:$I$89,5,0)</f>
        <v>285.90431999999953</v>
      </c>
      <c r="GB121" s="14">
        <f t="shared" si="103"/>
        <v>68.213241999614453</v>
      </c>
      <c r="GC121" s="22">
        <f t="shared" si="79"/>
        <v>616.75475381599438</v>
      </c>
      <c r="GD121" s="61">
        <f t="shared" si="80"/>
        <v>910.08808714932775</v>
      </c>
      <c r="GE121" s="61">
        <f ca="1">AVERAGE(OFFSET($GD$3,0,0,'Données projet'!$E$17+1,1))-AVERAGE(OFFSET($H$3,0,0,'Données projet'!$E$17+1,1))</f>
        <v>455.50822833641354</v>
      </c>
      <c r="GF121" s="61">
        <f t="shared" si="104"/>
        <v>261.14722581688039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0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0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3.7</v>
      </c>
      <c r="GU121" s="13">
        <f>IF('Données projet'!$A$270&gt;35,GU120+GT121-HC120,IF(A121&lt;'Données projet'!$A$270,$GR$205^A121,IF(A121='Données projet'!$A$270,'Données projet'!$B$270,GU120+GT121-HC120)))</f>
        <v>295.59999999999951</v>
      </c>
      <c r="GV121" s="18">
        <f>GU121*VLOOKUP('Données projet'!$B$18,Paramètres!$A$1:$I$89,3,0)*VLOOKUP('Données projet'!$B$18,Paramètres!$A$1:$I$89,5,0)</f>
        <v>318.18383999999946</v>
      </c>
      <c r="GW121" s="14">
        <f t="shared" si="105"/>
        <v>74.975341168547786</v>
      </c>
      <c r="GX121" s="22">
        <f t="shared" si="82"/>
        <v>684.75224053521981</v>
      </c>
      <c r="GY121" s="61">
        <f t="shared" si="83"/>
        <v>978.08557386855318</v>
      </c>
      <c r="GZ121" s="61">
        <f ca="1">AVERAGE(OFFSET($GY$3,0,0,'Données projet'!$E$18+1,1))-AVERAGE(OFFSET($H$3,0,0,'Données projet'!$E$18+1,1))</f>
        <v>502.07782026233912</v>
      </c>
      <c r="HA121" s="61">
        <f t="shared" si="106"/>
        <v>285.83623046025156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0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0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270.80663999999956</v>
      </c>
      <c r="P122" s="14">
        <f t="shared" si="87"/>
        <v>65.020428921429911</v>
      </c>
      <c r="Q122" s="22">
        <f t="shared" si="107"/>
        <v>584.89881170482306</v>
      </c>
      <c r="R122" s="61">
        <f t="shared" si="55"/>
        <v>878.23214503815643</v>
      </c>
      <c r="S122" s="61">
        <f ca="1">AVERAGE(OFFSET($R$3,0,0,'Données projet'!$E$9+1,1))-AVERAGE(OFFSET($H$3,0,0,'Données projet'!$E$9+1,1))</f>
        <v>428.8489304403459</v>
      </c>
      <c r="T122" s="61">
        <f t="shared" si="88"/>
        <v>247.01165577562966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1">
        <f t="shared" si="59"/>
        <v>947.15125570904661</v>
      </c>
      <c r="AN122" s="61">
        <f ca="1">AVERAGE(OFFSET($AM$3,0,0,'Données projet'!$E$10+1,1))-AVERAGE(OFFSET($H$3,0,0,'Données projet'!$E$10+1,1))</f>
        <v>475.47920969424894</v>
      </c>
      <c r="AO122" s="61">
        <f t="shared" si="90"/>
        <v>271.73544012419364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-3.4106051316484809E-13</v>
      </c>
      <c r="BE122" s="14">
        <f>BD122*VLOOKUP('Données projet'!$B$11,Paramètres!$A$1:$I$89,3,0)*VLOOKUP('Données projet'!$B$11,Paramètres!$A$1:$I$89,5,0)</f>
        <v>-1.9065282685915009E-13</v>
      </c>
      <c r="BF122" s="14" t="e">
        <f t="shared" si="91"/>
        <v>#NUM!</v>
      </c>
      <c r="BG122" s="22" t="e">
        <f t="shared" si="61"/>
        <v>#NUM!</v>
      </c>
      <c r="BH122" s="61" t="e">
        <f t="shared" si="62"/>
        <v>#NUM!</v>
      </c>
      <c r="BI122" s="61">
        <f ca="1">AVERAGE(OFFSET($BH$3,0,0,'Données projet'!$E$11+1,1))-AVERAGE(OFFSET($H$3,0,0,'Données projet'!$E$11+1,1))</f>
        <v>374.79806286316051</v>
      </c>
      <c r="BJ122" s="61">
        <f t="shared" si="92"/>
        <v>350.01856672839466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1.8881746636347572</v>
      </c>
      <c r="BR122" s="23">
        <f>EXP(-LN(2)/2)*BR121+(1-EXP(-LN(2)/2))/(LN(2)/2)*BL122*BO122*VLOOKUP('Données projet'!$B$11,Paramètres!$A$1:$I$89,3,0)*0.475*44/12</f>
        <v>4.4245079041004472E-13</v>
      </c>
      <c r="BS122" s="24">
        <f t="shared" si="63"/>
        <v>1.8881746636351997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7.0884615384615346</v>
      </c>
      <c r="BY122" s="13">
        <f>IF('Données projet'!$A$114&gt;35,BY121+BX122-CG121,IF(A122&lt;'Données projet'!$A$114,$BV$205^A122,IF(A122='Données projet'!$A$114,'Données projet'!$B$114,BY121+BX122-CG121)))</f>
        <v>403.43076923076961</v>
      </c>
      <c r="BZ122" s="14">
        <f>BY122*VLOOKUP('Données projet'!$B$12,Paramètres!$A$1:$I$89,3,0)*VLOOKUP('Données projet'!$B$12,Paramètres!$A$1:$I$89,5,0)</f>
        <v>188.8056000000002</v>
      </c>
      <c r="CA122" s="14">
        <f t="shared" si="93"/>
        <v>47.275791131089093</v>
      </c>
      <c r="CB122" s="22">
        <f t="shared" si="64"/>
        <v>411.17508955331374</v>
      </c>
      <c r="CC122" s="61">
        <f t="shared" si="65"/>
        <v>704.50842288664705</v>
      </c>
      <c r="CD122" s="61">
        <f ca="1">AVERAGE(OFFSET($CC$3,0,0,'Données projet'!$E$12+1,1))-AVERAGE(OFFSET($H$3,0,0,'Données projet'!$E$12+1,1))</f>
        <v>285.59863510278109</v>
      </c>
      <c r="CE122" s="61">
        <f t="shared" si="94"/>
        <v>190.4880882944471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5.4683368944097308E-14</v>
      </c>
      <c r="CV122" s="14">
        <f t="shared" si="95"/>
        <v>8.8129432816788268E-13</v>
      </c>
      <c r="CW122" s="22">
        <f t="shared" si="67"/>
        <v>1.6301611558033651E-12</v>
      </c>
      <c r="CX122" s="61">
        <f t="shared" si="68"/>
        <v>293.33333333333496</v>
      </c>
      <c r="CY122" s="61">
        <f ca="1">AVERAGE(OFFSET($CX$3,0,0,'Données projet'!$E$13+1,1))-AVERAGE(OFFSET($H$3,0,0,'Données projet'!$E$13+1,1))</f>
        <v>273.72618036666552</v>
      </c>
      <c r="CZ122" s="61">
        <f t="shared" si="96"/>
        <v>157.67999791700714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1.7053025658242404E-13</v>
      </c>
      <c r="DP122" s="18">
        <f>DO122*VLOOKUP('Données projet'!$B$14,Paramètres!$A$1:$I$89,3,0)*VLOOKUP('Données projet'!$B$14,Paramètres!$A$1:$I$89,5,0)</f>
        <v>1.1439169611549005E-13</v>
      </c>
      <c r="DQ122" s="14">
        <f t="shared" si="97"/>
        <v>1.6918016515029816E-12</v>
      </c>
      <c r="DR122" s="22">
        <f t="shared" si="70"/>
        <v>3.1457867471021712E-12</v>
      </c>
      <c r="DS122" s="61">
        <f t="shared" si="71"/>
        <v>293.33333333333644</v>
      </c>
      <c r="DT122" s="61">
        <f ca="1">AVERAGE(OFFSET($DS$3,0,0,'Données projet'!$E$14+1,1))-AVERAGE(OFFSET($H$3,0,0,'Données projet'!$E$14+1,1))</f>
        <v>312.06797204903796</v>
      </c>
      <c r="DU122" s="61">
        <f t="shared" si="98"/>
        <v>258.20189001775151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1.4210854715202004E-13</v>
      </c>
      <c r="EK122" s="18">
        <f>EJ122*VLOOKUP('Données projet'!$B$15,Paramètres!$A$1:$I$89,3,0)*VLOOKUP('Données projet'!$B$15,Paramètres!$A$1:$I$89,5,0)</f>
        <v>1.1527845344971866E-13</v>
      </c>
      <c r="EL122" s="14">
        <f t="shared" si="99"/>
        <v>1.7033846239409443E-12</v>
      </c>
      <c r="EM122" s="22">
        <f t="shared" si="73"/>
        <v>3.1675048597887374E-12</v>
      </c>
      <c r="EN122" s="61">
        <f t="shared" si="74"/>
        <v>293.3333333333365</v>
      </c>
      <c r="EO122" s="61">
        <f ca="1">AVERAGE(OFFSET($EN$3,0,0,'Données projet'!$E$15+1,1))-AVERAGE(OFFSET($H$3,0,0,'Données projet'!$E$15+1,1))</f>
        <v>222.15256609836689</v>
      </c>
      <c r="EP122" s="61">
        <f t="shared" si="100"/>
        <v>221.10360210521077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1.1368683772161603E-13</v>
      </c>
      <c r="FF122" s="18">
        <f>FE122*VLOOKUP('Données projet'!$B$16,Paramètres!$A$1:$I$89,3,0)*VLOOKUP('Données projet'!$B$16,Paramètres!$A$1:$I$89,5,0)</f>
        <v>8.8675733422860506E-14</v>
      </c>
      <c r="FG122" s="14">
        <f t="shared" si="101"/>
        <v>1.3509285393066301E-12</v>
      </c>
      <c r="FH122" s="22">
        <f t="shared" si="76"/>
        <v>2.5073107750038623E-12</v>
      </c>
      <c r="FI122" s="61">
        <f t="shared" si="77"/>
        <v>293.33333333333582</v>
      </c>
      <c r="FJ122" s="61">
        <f ca="1">AVERAGE(OFFSET($FI$3,0,0,'Données projet'!$E$16+1,1))-AVERAGE(OFFSET($H$3,0,0,'Données projet'!$E$16+1,1))</f>
        <v>292.57482726862594</v>
      </c>
      <c r="FK122" s="61">
        <f t="shared" si="102"/>
        <v>283.48738729114024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3.7</v>
      </c>
      <c r="FZ122" s="13">
        <f>IF('Données projet'!$A$244&gt;35,FZ121+FY122-GH121,IF(A122&lt;'Données projet'!$A$244,$FW$205^A122,IF(A122='Données projet'!$A$244,'Données projet'!$B$244,FZ121+FY122-GH121)))</f>
        <v>299.2999999999995</v>
      </c>
      <c r="GA122" s="18">
        <f>FZ122*VLOOKUP('Données projet'!$B$17,Paramètres!$A$1:$I$89,3,0)*VLOOKUP('Données projet'!$B$17,Paramètres!$A$1:$I$89,5,0)</f>
        <v>289.48295999999954</v>
      </c>
      <c r="GB122" s="14">
        <f t="shared" si="103"/>
        <v>68.967129713117401</v>
      </c>
      <c r="GC122" s="22">
        <f t="shared" si="79"/>
        <v>624.300572917012</v>
      </c>
      <c r="GD122" s="61">
        <f t="shared" si="80"/>
        <v>917.63390625034526</v>
      </c>
      <c r="GE122" s="61">
        <f ca="1">AVERAGE(OFFSET($GD$3,0,0,'Données projet'!$E$17+1,1))-AVERAGE(OFFSET($H$3,0,0,'Données projet'!$E$17+1,1))</f>
        <v>455.50822833641354</v>
      </c>
      <c r="GF122" s="61">
        <f t="shared" si="104"/>
        <v>261.14722581688039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0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0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3.7</v>
      </c>
      <c r="GU122" s="13">
        <f>IF('Données projet'!$A$270&gt;35,GU121+GT122-HC121,IF(A122&lt;'Données projet'!$A$270,$GR$205^A122,IF(A122='Données projet'!$A$270,'Données projet'!$B$270,GU121+GT122-HC121)))</f>
        <v>299.2999999999995</v>
      </c>
      <c r="GV122" s="18">
        <f>GU122*VLOOKUP('Données projet'!$B$18,Paramètres!$A$1:$I$89,3,0)*VLOOKUP('Données projet'!$B$18,Paramètres!$A$1:$I$89,5,0)</f>
        <v>322.16651999999942</v>
      </c>
      <c r="GW122" s="14">
        <f t="shared" si="105"/>
        <v>75.803963102731529</v>
      </c>
      <c r="GX122" s="22">
        <f t="shared" si="82"/>
        <v>693.13192473725633</v>
      </c>
      <c r="GY122" s="61">
        <f t="shared" si="83"/>
        <v>986.4652580705897</v>
      </c>
      <c r="GZ122" s="61">
        <f ca="1">AVERAGE(OFFSET($GY$3,0,0,'Données projet'!$E$18+1,1))-AVERAGE(OFFSET($H$3,0,0,'Données projet'!$E$18+1,1))</f>
        <v>502.07782026233912</v>
      </c>
      <c r="HA122" s="61">
        <f t="shared" si="106"/>
        <v>285.83623046025156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0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0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274.15439999999955</v>
      </c>
      <c r="P123" s="14">
        <f t="shared" si="87"/>
        <v>65.730152764515779</v>
      </c>
      <c r="Q123" s="22">
        <f t="shared" si="107"/>
        <v>591.96559606486414</v>
      </c>
      <c r="R123" s="61">
        <f t="shared" si="55"/>
        <v>885.29892939819752</v>
      </c>
      <c r="S123" s="61">
        <f ca="1">AVERAGE(OFFSET($R$3,0,0,'Données projet'!$E$9+1,1))-AVERAGE(OFFSET($H$3,0,0,'Données projet'!$E$9+1,1))</f>
        <v>428.8489304403459</v>
      </c>
      <c r="T123" s="61">
        <f t="shared" si="88"/>
        <v>247.01165577562966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1">
        <f t="shared" si="59"/>
        <v>955.05267592477753</v>
      </c>
      <c r="AN123" s="61">
        <f ca="1">AVERAGE(OFFSET($AM$3,0,0,'Données projet'!$E$10+1,1))-AVERAGE(OFFSET($H$3,0,0,'Données projet'!$E$10+1,1))</f>
        <v>475.47920969424894</v>
      </c>
      <c r="AO123" s="61">
        <f t="shared" si="90"/>
        <v>271.73544012419364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-3.4106051316484809E-13</v>
      </c>
      <c r="BE123" s="14">
        <f>BD123*VLOOKUP('Données projet'!$B$11,Paramètres!$A$1:$I$89,3,0)*VLOOKUP('Données projet'!$B$11,Paramètres!$A$1:$I$89,5,0)</f>
        <v>-1.9065282685915009E-13</v>
      </c>
      <c r="BF123" s="14" t="e">
        <f t="shared" si="91"/>
        <v>#NUM!</v>
      </c>
      <c r="BG123" s="22" t="e">
        <f t="shared" si="61"/>
        <v>#NUM!</v>
      </c>
      <c r="BH123" s="61" t="e">
        <f t="shared" si="62"/>
        <v>#NUM!</v>
      </c>
      <c r="BI123" s="61">
        <f ca="1">AVERAGE(OFFSET($BH$3,0,0,'Données projet'!$E$11+1,1))-AVERAGE(OFFSET($H$3,0,0,'Données projet'!$E$11+1,1))</f>
        <v>374.79806286316051</v>
      </c>
      <c r="BJ123" s="61">
        <f t="shared" si="92"/>
        <v>350.01856672839466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1.8365424281628746</v>
      </c>
      <c r="BR123" s="23">
        <f>EXP(-LN(2)/2)*BR122+(1-EXP(-LN(2)/2))/(LN(2)/2)*BL123*BO123*VLOOKUP('Données projet'!$B$11,Paramètres!$A$1:$I$89,3,0)*0.475*44/12</f>
        <v>3.128599542402905E-13</v>
      </c>
      <c r="BS123" s="24">
        <f t="shared" si="63"/>
        <v>1.8365424281631875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7.0884615384615346</v>
      </c>
      <c r="BY123" s="13">
        <f>IF('Données projet'!$A$114&gt;35,BY122+BX123-CG122,IF(A123&lt;'Données projet'!$A$114,$BV$205^A123,IF(A123='Données projet'!$A$114,'Données projet'!$B$114,BY122+BX123-CG122)))</f>
        <v>410.51923076923117</v>
      </c>
      <c r="BZ123" s="14">
        <f>BY123*VLOOKUP('Données projet'!$B$12,Paramètres!$A$1:$I$89,3,0)*VLOOKUP('Données projet'!$B$12,Paramètres!$A$1:$I$89,5,0)</f>
        <v>192.12300000000019</v>
      </c>
      <c r="CA123" s="14">
        <f t="shared" si="93"/>
        <v>48.009014038039723</v>
      </c>
      <c r="CB123" s="22">
        <f t="shared" si="64"/>
        <v>418.22992444958618</v>
      </c>
      <c r="CC123" s="61">
        <f t="shared" si="65"/>
        <v>711.56325778291944</v>
      </c>
      <c r="CD123" s="61">
        <f ca="1">AVERAGE(OFFSET($CC$3,0,0,'Données projet'!$E$12+1,1))-AVERAGE(OFFSET($H$3,0,0,'Données projet'!$E$12+1,1))</f>
        <v>285.59863510278109</v>
      </c>
      <c r="CE123" s="61">
        <f t="shared" si="94"/>
        <v>190.4880882944471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5.4683368944097308E-14</v>
      </c>
      <c r="CV123" s="14">
        <f t="shared" si="95"/>
        <v>8.8129432816788268E-13</v>
      </c>
      <c r="CW123" s="22">
        <f t="shared" si="67"/>
        <v>1.6301611558033651E-12</v>
      </c>
      <c r="CX123" s="61">
        <f t="shared" si="68"/>
        <v>293.33333333333496</v>
      </c>
      <c r="CY123" s="61">
        <f ca="1">AVERAGE(OFFSET($CX$3,0,0,'Données projet'!$E$13+1,1))-AVERAGE(OFFSET($H$3,0,0,'Données projet'!$E$13+1,1))</f>
        <v>273.72618036666552</v>
      </c>
      <c r="CZ123" s="61">
        <f t="shared" si="96"/>
        <v>157.67999791700714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1.7053025658242404E-13</v>
      </c>
      <c r="DP123" s="18">
        <f>DO123*VLOOKUP('Données projet'!$B$14,Paramètres!$A$1:$I$89,3,0)*VLOOKUP('Données projet'!$B$14,Paramètres!$A$1:$I$89,5,0)</f>
        <v>1.1439169611549005E-13</v>
      </c>
      <c r="DQ123" s="14">
        <f t="shared" si="97"/>
        <v>1.6918016515029816E-12</v>
      </c>
      <c r="DR123" s="22">
        <f t="shared" si="70"/>
        <v>3.1457867471021712E-12</v>
      </c>
      <c r="DS123" s="61">
        <f t="shared" si="71"/>
        <v>293.33333333333644</v>
      </c>
      <c r="DT123" s="61">
        <f ca="1">AVERAGE(OFFSET($DS$3,0,0,'Données projet'!$E$14+1,1))-AVERAGE(OFFSET($H$3,0,0,'Données projet'!$E$14+1,1))</f>
        <v>312.06797204903796</v>
      </c>
      <c r="DU123" s="61">
        <f t="shared" si="98"/>
        <v>258.20189001775151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1.4210854715202004E-13</v>
      </c>
      <c r="EK123" s="18">
        <f>EJ123*VLOOKUP('Données projet'!$B$15,Paramètres!$A$1:$I$89,3,0)*VLOOKUP('Données projet'!$B$15,Paramètres!$A$1:$I$89,5,0)</f>
        <v>1.1527845344971866E-13</v>
      </c>
      <c r="EL123" s="14">
        <f t="shared" si="99"/>
        <v>1.7033846239409443E-12</v>
      </c>
      <c r="EM123" s="22">
        <f t="shared" si="73"/>
        <v>3.1675048597887374E-12</v>
      </c>
      <c r="EN123" s="61">
        <f t="shared" si="74"/>
        <v>293.3333333333365</v>
      </c>
      <c r="EO123" s="61">
        <f ca="1">AVERAGE(OFFSET($EN$3,0,0,'Données projet'!$E$15+1,1))-AVERAGE(OFFSET($H$3,0,0,'Données projet'!$E$15+1,1))</f>
        <v>222.15256609836689</v>
      </c>
      <c r="EP123" s="61">
        <f t="shared" si="100"/>
        <v>221.10360210521077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1.1368683772161603E-13</v>
      </c>
      <c r="FF123" s="18">
        <f>FE123*VLOOKUP('Données projet'!$B$16,Paramètres!$A$1:$I$89,3,0)*VLOOKUP('Données projet'!$B$16,Paramètres!$A$1:$I$89,5,0)</f>
        <v>8.8675733422860506E-14</v>
      </c>
      <c r="FG123" s="14">
        <f t="shared" si="101"/>
        <v>1.3509285393066301E-12</v>
      </c>
      <c r="FH123" s="22">
        <f t="shared" si="76"/>
        <v>2.5073107750038623E-12</v>
      </c>
      <c r="FI123" s="61">
        <f t="shared" si="77"/>
        <v>293.33333333333582</v>
      </c>
      <c r="FJ123" s="61">
        <f ca="1">AVERAGE(OFFSET($FI$3,0,0,'Données projet'!$E$16+1,1))-AVERAGE(OFFSET($H$3,0,0,'Données projet'!$E$16+1,1))</f>
        <v>292.57482726862594</v>
      </c>
      <c r="FK123" s="61">
        <f t="shared" si="102"/>
        <v>283.48738729114024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>
        <f>VLOOKUP(A123,'Données projet'!$A$243:$I$263,2,0)</f>
        <v>303</v>
      </c>
      <c r="FX123" s="13">
        <f>VLOOKUP(A123,'Données projet'!$A$243:$I$263,9,0)</f>
        <v>3.7</v>
      </c>
      <c r="FY123" s="13">
        <f t="array" ref="FY123">INDEX(FX:FX,MIN(IF(ISNUMBER(FX123:FX319),ROW(FX123:FX319),"")))</f>
        <v>3.7</v>
      </c>
      <c r="FZ123" s="13">
        <f>IF('Données projet'!$A$244&gt;35,FZ122+FY123-GH122,IF(A123&lt;'Données projet'!$A$244,$FW$205^A123,IF(A123='Données projet'!$A$244,'Données projet'!$B$244,FZ122+FY123-GH122)))</f>
        <v>302.99999999999949</v>
      </c>
      <c r="GA123" s="18">
        <f>FZ123*VLOOKUP('Données projet'!$B$17,Paramètres!$A$1:$I$89,3,0)*VLOOKUP('Données projet'!$B$17,Paramètres!$A$1:$I$89,5,0)</f>
        <v>293.06159999999949</v>
      </c>
      <c r="GB123" s="14">
        <f t="shared" si="103"/>
        <v>69.719933365116432</v>
      </c>
      <c r="GC123" s="22">
        <f t="shared" si="79"/>
        <v>631.84450394424357</v>
      </c>
      <c r="GD123" s="61">
        <f t="shared" si="80"/>
        <v>925.17783727757683</v>
      </c>
      <c r="GE123" s="61">
        <f ca="1">AVERAGE(OFFSET($GD$3,0,0,'Données projet'!$E$17+1,1))-AVERAGE(OFFSET($H$3,0,0,'Données projet'!$E$17+1,1))</f>
        <v>455.50822833641354</v>
      </c>
      <c r="GF123" s="61">
        <f t="shared" si="104"/>
        <v>261.14722581688039</v>
      </c>
      <c r="GG123" s="16">
        <f>IF(ISNA(VLOOKUP(A123,'Données projet'!$A$243:$I$263,3,0)),0,VLOOKUP(A123,'Données projet'!$A$243:$I$263,3,0))</f>
        <v>10</v>
      </c>
      <c r="GH123" s="16">
        <f>IF(ISNA(VLOOKUP(A123,'Données projet'!$A$243:$I$263,4,0)),0,VLOOKUP(A123,'Données projet'!$A$243:$I$263,4,0))</f>
        <v>35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0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0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>
        <f>VLOOKUP(A123,'Données projet'!$A$269:$I$289,2,0)</f>
        <v>303</v>
      </c>
      <c r="GS123" s="13">
        <f>VLOOKUP(A123,'Données projet'!$A$269:$I$289,9,0)</f>
        <v>3.7</v>
      </c>
      <c r="GT123" s="13">
        <f t="array" ref="GT123">INDEX(GS:GS,MIN(IF(ISNUMBER(GS123:GS319),ROW(GS123:GS319),"")))</f>
        <v>3.7</v>
      </c>
      <c r="GU123" s="13">
        <f>IF('Données projet'!$A$270&gt;35,GU122+GT123-HC122,IF(A123&lt;'Données projet'!$A$270,$GR$205^A123,IF(A123='Données projet'!$A$270,'Données projet'!$B$270,GU122+GT123-HC122)))</f>
        <v>302.99999999999949</v>
      </c>
      <c r="GV123" s="18">
        <f>GU123*VLOOKUP('Données projet'!$B$18,Paramètres!$A$1:$I$89,3,0)*VLOOKUP('Données projet'!$B$18,Paramètres!$A$1:$I$89,5,0)</f>
        <v>326.14919999999944</v>
      </c>
      <c r="GW123" s="14">
        <f t="shared" si="105"/>
        <v>76.631393510479555</v>
      </c>
      <c r="GX123" s="22">
        <f t="shared" si="82"/>
        <v>701.50953369741762</v>
      </c>
      <c r="GY123" s="61">
        <f t="shared" si="83"/>
        <v>994.84286703075099</v>
      </c>
      <c r="GZ123" s="61">
        <f ca="1">AVERAGE(OFFSET($GY$3,0,0,'Données projet'!$E$18+1,1))-AVERAGE(OFFSET($H$3,0,0,'Données projet'!$E$18+1,1))</f>
        <v>502.07782026233912</v>
      </c>
      <c r="HA123" s="61">
        <f t="shared" si="106"/>
        <v>285.83623046025156</v>
      </c>
      <c r="HB123" s="16">
        <f>IF(ISNA(VLOOKUP(A123,'Données projet'!$A$269:$I$289,3,0)),0,VLOOKUP(A123,'Données projet'!$A$269:$I$289,3,0))</f>
        <v>10</v>
      </c>
      <c r="HC123" s="16">
        <f>IF(ISNA(VLOOKUP(A123,'Données projet'!$A$269:$I$289,4,0)),0,VLOOKUP(A123,'Données projet'!$A$269:$I$289,4,0))</f>
        <v>35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0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0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245.3817599999995</v>
      </c>
      <c r="P124" s="14">
        <f t="shared" si="87"/>
        <v>59.595943661626663</v>
      </c>
      <c r="Q124" s="22">
        <f t="shared" si="107"/>
        <v>531.16950054399888</v>
      </c>
      <c r="R124" s="61">
        <f t="shared" si="55"/>
        <v>824.50283387733225</v>
      </c>
      <c r="S124" s="61">
        <f ca="1">AVERAGE(OFFSET($R$3,0,0,'Données projet'!$E$9+1,1))-AVERAGE(OFFSET($H$3,0,0,'Données projet'!$E$9+1,1))</f>
        <v>428.8489304403459</v>
      </c>
      <c r="T124" s="61">
        <f t="shared" si="88"/>
        <v>247.01165577562966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1">
        <f t="shared" si="59"/>
        <v>887.07687356967608</v>
      </c>
      <c r="AN124" s="61">
        <f ca="1">AVERAGE(OFFSET($AM$3,0,0,'Données projet'!$E$10+1,1))-AVERAGE(OFFSET($H$3,0,0,'Données projet'!$E$10+1,1))</f>
        <v>475.47920969424894</v>
      </c>
      <c r="AO124" s="61">
        <f t="shared" si="90"/>
        <v>271.73544012419364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-3.4106051316484809E-13</v>
      </c>
      <c r="BE124" s="14">
        <f>BD124*VLOOKUP('Données projet'!$B$11,Paramètres!$A$1:$I$89,3,0)*VLOOKUP('Données projet'!$B$11,Paramètres!$A$1:$I$89,5,0)</f>
        <v>-1.9065282685915009E-13</v>
      </c>
      <c r="BF124" s="14" t="e">
        <f t="shared" si="91"/>
        <v>#NUM!</v>
      </c>
      <c r="BG124" s="22" t="e">
        <f t="shared" si="61"/>
        <v>#NUM!</v>
      </c>
      <c r="BH124" s="61" t="e">
        <f t="shared" si="62"/>
        <v>#NUM!</v>
      </c>
      <c r="BI124" s="61">
        <f ca="1">AVERAGE(OFFSET($BH$3,0,0,'Données projet'!$E$11+1,1))-AVERAGE(OFFSET($H$3,0,0,'Données projet'!$E$11+1,1))</f>
        <v>374.79806286316051</v>
      </c>
      <c r="BJ124" s="61">
        <f t="shared" si="92"/>
        <v>350.01856672839466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1.7863220788851919</v>
      </c>
      <c r="BR124" s="23">
        <f>EXP(-LN(2)/2)*BR123+(1-EXP(-LN(2)/2))/(LN(2)/2)*BL124*BO124*VLOOKUP('Données projet'!$B$11,Paramètres!$A$1:$I$89,3,0)*0.475*44/12</f>
        <v>2.2122539520502238E-13</v>
      </c>
      <c r="BS124" s="24">
        <f t="shared" si="63"/>
        <v>1.7863220788854131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>
        <f>VLOOKUP(A124,'Données projet'!$A$113:$I$133,2,0)</f>
        <v>417.60769230769228</v>
      </c>
      <c r="BW124" s="13">
        <f>VLOOKUP(A124,'Données projet'!$A$113:$I$133,9,0)</f>
        <v>7.0884615384615346</v>
      </c>
      <c r="BX124" s="13">
        <f t="array" ref="BX124">INDEX(BW:BW,MIN(IF(ISNUMBER(BW124:BW320),ROW(BW124:BW320),"")))</f>
        <v>7.0884615384615346</v>
      </c>
      <c r="BY124" s="13">
        <f>IF('Données projet'!$A$114&gt;35,BY123+BX124-CG123,IF(A124&lt;'Données projet'!$A$114,$BV$205^A124,IF(A124='Données projet'!$A$114,'Données projet'!$B$114,BY123+BX124-CG123)))</f>
        <v>417.60769230769273</v>
      </c>
      <c r="BZ124" s="14">
        <f>BY124*VLOOKUP('Données projet'!$B$12,Paramètres!$A$1:$I$89,3,0)*VLOOKUP('Données projet'!$B$12,Paramètres!$A$1:$I$89,5,0)</f>
        <v>195.44040000000018</v>
      </c>
      <c r="CA124" s="14">
        <f t="shared" si="93"/>
        <v>48.740764653053319</v>
      </c>
      <c r="CB124" s="22">
        <f t="shared" si="64"/>
        <v>425.28219510406808</v>
      </c>
      <c r="CC124" s="61">
        <f t="shared" si="65"/>
        <v>718.61552843740139</v>
      </c>
      <c r="CD124" s="61">
        <f ca="1">AVERAGE(OFFSET($CC$3,0,0,'Données projet'!$E$12+1,1))-AVERAGE(OFFSET($H$3,0,0,'Données projet'!$E$12+1,1))</f>
        <v>285.59863510278109</v>
      </c>
      <c r="CE124" s="61">
        <f t="shared" si="94"/>
        <v>190.4880882944471</v>
      </c>
      <c r="CF124" s="16">
        <f>IF(ISNA(VLOOKUP(A124,'Données projet'!$A$113:$I$133,3,0)),0,VLOOKUP(A124,'Données projet'!$A$113:$I$133,3,0))</f>
        <v>7</v>
      </c>
      <c r="CG124" s="16">
        <f>IF(ISNA(VLOOKUP(A124,'Données projet'!$A$113:$I$133,4,0)),0,VLOOKUP(A124,'Données projet'!$A$113:$I$133,4,0))</f>
        <v>207.07692307692307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5.4683368944097308E-14</v>
      </c>
      <c r="CV124" s="14">
        <f t="shared" si="95"/>
        <v>8.8129432816788268E-13</v>
      </c>
      <c r="CW124" s="22">
        <f t="shared" si="67"/>
        <v>1.6301611558033651E-12</v>
      </c>
      <c r="CX124" s="61">
        <f t="shared" si="68"/>
        <v>293.33333333333496</v>
      </c>
      <c r="CY124" s="61">
        <f ca="1">AVERAGE(OFFSET($CX$3,0,0,'Données projet'!$E$13+1,1))-AVERAGE(OFFSET($H$3,0,0,'Données projet'!$E$13+1,1))</f>
        <v>273.72618036666552</v>
      </c>
      <c r="CZ124" s="61">
        <f t="shared" si="96"/>
        <v>157.67999791700714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1.7053025658242404E-13</v>
      </c>
      <c r="DP124" s="18">
        <f>DO124*VLOOKUP('Données projet'!$B$14,Paramètres!$A$1:$I$89,3,0)*VLOOKUP('Données projet'!$B$14,Paramètres!$A$1:$I$89,5,0)</f>
        <v>1.1439169611549005E-13</v>
      </c>
      <c r="DQ124" s="14">
        <f t="shared" si="97"/>
        <v>1.6918016515029816E-12</v>
      </c>
      <c r="DR124" s="22">
        <f t="shared" si="70"/>
        <v>3.1457867471021712E-12</v>
      </c>
      <c r="DS124" s="61">
        <f t="shared" si="71"/>
        <v>293.33333333333644</v>
      </c>
      <c r="DT124" s="61">
        <f ca="1">AVERAGE(OFFSET($DS$3,0,0,'Données projet'!$E$14+1,1))-AVERAGE(OFFSET($H$3,0,0,'Données projet'!$E$14+1,1))</f>
        <v>312.06797204903796</v>
      </c>
      <c r="DU124" s="61">
        <f t="shared" si="98"/>
        <v>258.20189001775151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1.4210854715202004E-13</v>
      </c>
      <c r="EK124" s="18">
        <f>EJ124*VLOOKUP('Données projet'!$B$15,Paramètres!$A$1:$I$89,3,0)*VLOOKUP('Données projet'!$B$15,Paramètres!$A$1:$I$89,5,0)</f>
        <v>1.1527845344971866E-13</v>
      </c>
      <c r="EL124" s="14">
        <f t="shared" si="99"/>
        <v>1.7033846239409443E-12</v>
      </c>
      <c r="EM124" s="22">
        <f t="shared" si="73"/>
        <v>3.1675048597887374E-12</v>
      </c>
      <c r="EN124" s="61">
        <f t="shared" si="74"/>
        <v>293.3333333333365</v>
      </c>
      <c r="EO124" s="61">
        <f ca="1">AVERAGE(OFFSET($EN$3,0,0,'Données projet'!$E$15+1,1))-AVERAGE(OFFSET($H$3,0,0,'Données projet'!$E$15+1,1))</f>
        <v>222.15256609836689</v>
      </c>
      <c r="EP124" s="61">
        <f t="shared" si="100"/>
        <v>221.10360210521077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1.1368683772161603E-13</v>
      </c>
      <c r="FF124" s="18">
        <f>FE124*VLOOKUP('Données projet'!$B$16,Paramètres!$A$1:$I$89,3,0)*VLOOKUP('Données projet'!$B$16,Paramètres!$A$1:$I$89,5,0)</f>
        <v>8.8675733422860506E-14</v>
      </c>
      <c r="FG124" s="14">
        <f t="shared" si="101"/>
        <v>1.3509285393066301E-12</v>
      </c>
      <c r="FH124" s="22">
        <f t="shared" si="76"/>
        <v>2.5073107750038623E-12</v>
      </c>
      <c r="FI124" s="61">
        <f t="shared" si="77"/>
        <v>293.33333333333582</v>
      </c>
      <c r="FJ124" s="61">
        <f ca="1">AVERAGE(OFFSET($FI$3,0,0,'Données projet'!$E$16+1,1))-AVERAGE(OFFSET($H$3,0,0,'Données projet'!$E$16+1,1))</f>
        <v>292.57482726862594</v>
      </c>
      <c r="FK124" s="61">
        <f t="shared" si="102"/>
        <v>283.48738729114024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3.2</v>
      </c>
      <c r="FZ124" s="13">
        <f>IF('Données projet'!$A$244&gt;35,FZ123+FY124-GH123,IF(A124&lt;'Données projet'!$A$244,$FW$205^A124,IF(A124='Données projet'!$A$244,'Données projet'!$B$244,FZ123+FY124-GH123)))</f>
        <v>271.19999999999948</v>
      </c>
      <c r="GA124" s="18">
        <f>FZ124*VLOOKUP('Données projet'!$B$17,Paramètres!$A$1:$I$89,3,0)*VLOOKUP('Données projet'!$B$17,Paramètres!$A$1:$I$89,5,0)</f>
        <v>262.30463999999949</v>
      </c>
      <c r="GB124" s="14">
        <f t="shared" si="103"/>
        <v>63.213381472055985</v>
      </c>
      <c r="GC124" s="22">
        <f t="shared" si="79"/>
        <v>566.94388739716328</v>
      </c>
      <c r="GD124" s="61">
        <f t="shared" si="80"/>
        <v>860.27722073049654</v>
      </c>
      <c r="GE124" s="61">
        <f ca="1">AVERAGE(OFFSET($GD$3,0,0,'Données projet'!$E$17+1,1))-AVERAGE(OFFSET($H$3,0,0,'Données projet'!$E$17+1,1))</f>
        <v>455.50822833641354</v>
      </c>
      <c r="GF124" s="61">
        <f t="shared" si="104"/>
        <v>261.14722581688039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0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0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3.2</v>
      </c>
      <c r="GU124" s="13">
        <f>IF('Données projet'!$A$270&gt;35,GU123+GT124-HC123,IF(A124&lt;'Données projet'!$A$270,$GR$205^A124,IF(A124='Données projet'!$A$270,'Données projet'!$B$270,GU123+GT124-HC123)))</f>
        <v>271.19999999999948</v>
      </c>
      <c r="GV124" s="18">
        <f>GU124*VLOOKUP('Données projet'!$B$18,Paramètres!$A$1:$I$89,3,0)*VLOOKUP('Données projet'!$B$18,Paramètres!$A$1:$I$89,5,0)</f>
        <v>291.9196799999994</v>
      </c>
      <c r="GW124" s="14">
        <f t="shared" si="105"/>
        <v>69.47983563531173</v>
      </c>
      <c r="GX124" s="22">
        <f t="shared" si="82"/>
        <v>629.43748973150025</v>
      </c>
      <c r="GY124" s="61">
        <f t="shared" si="83"/>
        <v>922.77082306483362</v>
      </c>
      <c r="GZ124" s="61">
        <f ca="1">AVERAGE(OFFSET($GY$3,0,0,'Données projet'!$E$18+1,1))-AVERAGE(OFFSET($H$3,0,0,'Données projet'!$E$18+1,1))</f>
        <v>502.07782026233912</v>
      </c>
      <c r="HA124" s="61">
        <f t="shared" si="106"/>
        <v>285.83623046025156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0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0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248.27711999999951</v>
      </c>
      <c r="P125" s="14">
        <f t="shared" si="87"/>
        <v>60.216863677580257</v>
      </c>
      <c r="Q125" s="22">
        <f t="shared" si="107"/>
        <v>537.29368823845141</v>
      </c>
      <c r="R125" s="61">
        <f t="shared" si="55"/>
        <v>830.62702157178478</v>
      </c>
      <c r="S125" s="61">
        <f ca="1">AVERAGE(OFFSET($R$3,0,0,'Données projet'!$E$9+1,1))-AVERAGE(OFFSET($H$3,0,0,'Données projet'!$E$9+1,1))</f>
        <v>428.8489304403459</v>
      </c>
      <c r="T125" s="61">
        <f t="shared" si="88"/>
        <v>247.01165577562966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1">
        <f t="shared" si="59"/>
        <v>893.92421921427581</v>
      </c>
      <c r="AN125" s="61">
        <f ca="1">AVERAGE(OFFSET($AM$3,0,0,'Données projet'!$E$10+1,1))-AVERAGE(OFFSET($H$3,0,0,'Données projet'!$E$10+1,1))</f>
        <v>475.47920969424894</v>
      </c>
      <c r="AO125" s="61">
        <f t="shared" si="90"/>
        <v>271.73544012419364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-3.4106051316484809E-13</v>
      </c>
      <c r="BE125" s="14">
        <f>BD125*VLOOKUP('Données projet'!$B$11,Paramètres!$A$1:$I$89,3,0)*VLOOKUP('Données projet'!$B$11,Paramètres!$A$1:$I$89,5,0)</f>
        <v>-1.9065282685915009E-13</v>
      </c>
      <c r="BF125" s="14" t="e">
        <f t="shared" si="91"/>
        <v>#NUM!</v>
      </c>
      <c r="BG125" s="22" t="e">
        <f t="shared" si="61"/>
        <v>#NUM!</v>
      </c>
      <c r="BH125" s="61" t="e">
        <f t="shared" si="62"/>
        <v>#NUM!</v>
      </c>
      <c r="BI125" s="61">
        <f ca="1">AVERAGE(OFFSET($BH$3,0,0,'Données projet'!$E$11+1,1))-AVERAGE(OFFSET($H$3,0,0,'Données projet'!$E$11+1,1))</f>
        <v>374.79806286316051</v>
      </c>
      <c r="BJ125" s="61">
        <f t="shared" si="92"/>
        <v>350.01856672839466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1.7374750076994809</v>
      </c>
      <c r="BR125" s="23">
        <f>EXP(-LN(2)/2)*BR124+(1-EXP(-LN(2)/2))/(LN(2)/2)*BL125*BO125*VLOOKUP('Données projet'!$B$11,Paramètres!$A$1:$I$89,3,0)*0.475*44/12</f>
        <v>1.5642997712014528E-13</v>
      </c>
      <c r="BS125" s="24">
        <f t="shared" si="63"/>
        <v>1.7374750076996373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4.9084615384615375</v>
      </c>
      <c r="BY125" s="13">
        <f>IF('Données projet'!$A$114&gt;35,BY124+BX125-CG124,IF(A125&lt;'Données projet'!$A$114,$BV$205^A125,IF(A125='Données projet'!$A$114,'Données projet'!$B$114,BY124+BX125-CG124)))</f>
        <v>215.43923076923122</v>
      </c>
      <c r="BZ125" s="14">
        <f>BY125*VLOOKUP('Données projet'!$B$12,Paramètres!$A$1:$I$89,3,0)*VLOOKUP('Données projet'!$B$12,Paramètres!$A$1:$I$89,5,0)</f>
        <v>100.82556000000021</v>
      </c>
      <c r="CA125" s="14">
        <f t="shared" si="93"/>
        <v>27.158581624033953</v>
      </c>
      <c r="CB125" s="22">
        <f t="shared" si="64"/>
        <v>222.90571332852619</v>
      </c>
      <c r="CC125" s="61">
        <f t="shared" si="65"/>
        <v>516.23904666185945</v>
      </c>
      <c r="CD125" s="61">
        <f ca="1">AVERAGE(OFFSET($CC$3,0,0,'Données projet'!$E$12+1,1))-AVERAGE(OFFSET($H$3,0,0,'Données projet'!$E$12+1,1))</f>
        <v>285.59863510278109</v>
      </c>
      <c r="CE125" s="61">
        <f t="shared" si="94"/>
        <v>190.4880882944471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5.4683368944097308E-14</v>
      </c>
      <c r="CV125" s="14">
        <f t="shared" si="95"/>
        <v>8.8129432816788268E-13</v>
      </c>
      <c r="CW125" s="22">
        <f t="shared" si="67"/>
        <v>1.6301611558033651E-12</v>
      </c>
      <c r="CX125" s="61">
        <f t="shared" si="68"/>
        <v>293.33333333333496</v>
      </c>
      <c r="CY125" s="61">
        <f ca="1">AVERAGE(OFFSET($CX$3,0,0,'Données projet'!$E$13+1,1))-AVERAGE(OFFSET($H$3,0,0,'Données projet'!$E$13+1,1))</f>
        <v>273.72618036666552</v>
      </c>
      <c r="CZ125" s="61">
        <f t="shared" si="96"/>
        <v>157.67999791700714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1.7053025658242404E-13</v>
      </c>
      <c r="DP125" s="18">
        <f>DO125*VLOOKUP('Données projet'!$B$14,Paramètres!$A$1:$I$89,3,0)*VLOOKUP('Données projet'!$B$14,Paramètres!$A$1:$I$89,5,0)</f>
        <v>1.1439169611549005E-13</v>
      </c>
      <c r="DQ125" s="14">
        <f t="shared" si="97"/>
        <v>1.6918016515029816E-12</v>
      </c>
      <c r="DR125" s="22">
        <f t="shared" si="70"/>
        <v>3.1457867471021712E-12</v>
      </c>
      <c r="DS125" s="61">
        <f t="shared" si="71"/>
        <v>293.33333333333644</v>
      </c>
      <c r="DT125" s="61">
        <f ca="1">AVERAGE(OFFSET($DS$3,0,0,'Données projet'!$E$14+1,1))-AVERAGE(OFFSET($H$3,0,0,'Données projet'!$E$14+1,1))</f>
        <v>312.06797204903796</v>
      </c>
      <c r="DU125" s="61">
        <f t="shared" si="98"/>
        <v>258.20189001775151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1.4210854715202004E-13</v>
      </c>
      <c r="EK125" s="18">
        <f>EJ125*VLOOKUP('Données projet'!$B$15,Paramètres!$A$1:$I$89,3,0)*VLOOKUP('Données projet'!$B$15,Paramètres!$A$1:$I$89,5,0)</f>
        <v>1.1527845344971866E-13</v>
      </c>
      <c r="EL125" s="14">
        <f t="shared" si="99"/>
        <v>1.7033846239409443E-12</v>
      </c>
      <c r="EM125" s="22">
        <f t="shared" si="73"/>
        <v>3.1675048597887374E-12</v>
      </c>
      <c r="EN125" s="61">
        <f t="shared" si="74"/>
        <v>293.3333333333365</v>
      </c>
      <c r="EO125" s="61">
        <f ca="1">AVERAGE(OFFSET($EN$3,0,0,'Données projet'!$E$15+1,1))-AVERAGE(OFFSET($H$3,0,0,'Données projet'!$E$15+1,1))</f>
        <v>222.15256609836689</v>
      </c>
      <c r="EP125" s="61">
        <f t="shared" si="100"/>
        <v>221.10360210521077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1.1368683772161603E-13</v>
      </c>
      <c r="FF125" s="18">
        <f>FE125*VLOOKUP('Données projet'!$B$16,Paramètres!$A$1:$I$89,3,0)*VLOOKUP('Données projet'!$B$16,Paramètres!$A$1:$I$89,5,0)</f>
        <v>8.8675733422860506E-14</v>
      </c>
      <c r="FG125" s="14">
        <f t="shared" si="101"/>
        <v>1.3509285393066301E-12</v>
      </c>
      <c r="FH125" s="22">
        <f t="shared" si="76"/>
        <v>2.5073107750038623E-12</v>
      </c>
      <c r="FI125" s="61">
        <f t="shared" si="77"/>
        <v>293.33333333333582</v>
      </c>
      <c r="FJ125" s="61">
        <f ca="1">AVERAGE(OFFSET($FI$3,0,0,'Données projet'!$E$16+1,1))-AVERAGE(OFFSET($H$3,0,0,'Données projet'!$E$16+1,1))</f>
        <v>292.57482726862594</v>
      </c>
      <c r="FK125" s="61">
        <f t="shared" si="102"/>
        <v>283.48738729114024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3.2</v>
      </c>
      <c r="FZ125" s="13">
        <f>IF('Données projet'!$A$244&gt;35,FZ124+FY125-GH124,IF(A125&lt;'Données projet'!$A$244,$FW$205^A125,IF(A125='Données projet'!$A$244,'Données projet'!$B$244,FZ124+FY125-GH124)))</f>
        <v>274.39999999999947</v>
      </c>
      <c r="GA125" s="18">
        <f>FZ125*VLOOKUP('Données projet'!$B$17,Paramètres!$A$1:$I$89,3,0)*VLOOKUP('Données projet'!$B$17,Paramètres!$A$1:$I$89,5,0)</f>
        <v>265.39967999999948</v>
      </c>
      <c r="GB125" s="14">
        <f t="shared" si="103"/>
        <v>63.87199095821434</v>
      </c>
      <c r="GC125" s="22">
        <f t="shared" si="79"/>
        <v>573.48149358555565</v>
      </c>
      <c r="GD125" s="61">
        <f t="shared" si="80"/>
        <v>866.81482691888891</v>
      </c>
      <c r="GE125" s="61">
        <f ca="1">AVERAGE(OFFSET($GD$3,0,0,'Données projet'!$E$17+1,1))-AVERAGE(OFFSET($H$3,0,0,'Données projet'!$E$17+1,1))</f>
        <v>455.50822833641354</v>
      </c>
      <c r="GF125" s="61">
        <f t="shared" si="104"/>
        <v>261.14722581688039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0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0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3.2</v>
      </c>
      <c r="GU125" s="13">
        <f>IF('Données projet'!$A$270&gt;35,GU124+GT125-HC124,IF(A125&lt;'Données projet'!$A$270,$GR$205^A125,IF(A125='Données projet'!$A$270,'Données projet'!$B$270,GU124+GT125-HC124)))</f>
        <v>274.39999999999947</v>
      </c>
      <c r="GV125" s="18">
        <f>GU125*VLOOKUP('Données projet'!$B$18,Paramètres!$A$1:$I$89,3,0)*VLOOKUP('Données projet'!$B$18,Paramètres!$A$1:$I$89,5,0)</f>
        <v>295.3641599999994</v>
      </c>
      <c r="GW125" s="14">
        <f t="shared" si="105"/>
        <v>70.203734243178047</v>
      </c>
      <c r="GX125" s="22">
        <f t="shared" si="82"/>
        <v>636.6974158068673</v>
      </c>
      <c r="GY125" s="61">
        <f t="shared" si="83"/>
        <v>930.03074914020067</v>
      </c>
      <c r="GZ125" s="61">
        <f ca="1">AVERAGE(OFFSET($GY$3,0,0,'Données projet'!$E$18+1,1))-AVERAGE(OFFSET($H$3,0,0,'Données projet'!$E$18+1,1))</f>
        <v>502.07782026233912</v>
      </c>
      <c r="HA125" s="61">
        <f t="shared" si="106"/>
        <v>285.83623046025156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0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0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251.1724799999995</v>
      </c>
      <c r="P126" s="14">
        <f t="shared" si="87"/>
        <v>60.836941386956575</v>
      </c>
      <c r="Q126" s="22">
        <f t="shared" si="107"/>
        <v>543.41640891561519</v>
      </c>
      <c r="R126" s="61">
        <f t="shared" si="55"/>
        <v>836.74974224894845</v>
      </c>
      <c r="S126" s="61">
        <f ca="1">AVERAGE(OFFSET($R$3,0,0,'Données projet'!$E$9+1,1))-AVERAGE(OFFSET($H$3,0,0,'Données projet'!$E$9+1,1))</f>
        <v>428.8489304403459</v>
      </c>
      <c r="T126" s="61">
        <f t="shared" si="88"/>
        <v>247.01165577562966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1">
        <f t="shared" si="59"/>
        <v>900.76994244930756</v>
      </c>
      <c r="AN126" s="61">
        <f ca="1">AVERAGE(OFFSET($AM$3,0,0,'Données projet'!$E$10+1,1))-AVERAGE(OFFSET($H$3,0,0,'Données projet'!$E$10+1,1))</f>
        <v>475.47920969424894</v>
      </c>
      <c r="AO126" s="61">
        <f t="shared" si="90"/>
        <v>271.73544012419364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-3.4106051316484809E-13</v>
      </c>
      <c r="BE126" s="14">
        <f>BD126*VLOOKUP('Données projet'!$B$11,Paramètres!$A$1:$I$89,3,0)*VLOOKUP('Données projet'!$B$11,Paramètres!$A$1:$I$89,5,0)</f>
        <v>-1.9065282685915009E-13</v>
      </c>
      <c r="BF126" s="14" t="e">
        <f t="shared" si="91"/>
        <v>#NUM!</v>
      </c>
      <c r="BG126" s="22" t="e">
        <f t="shared" si="61"/>
        <v>#NUM!</v>
      </c>
      <c r="BH126" s="61" t="e">
        <f t="shared" si="62"/>
        <v>#NUM!</v>
      </c>
      <c r="BI126" s="61">
        <f ca="1">AVERAGE(OFFSET($BH$3,0,0,'Données projet'!$E$11+1,1))-AVERAGE(OFFSET($H$3,0,0,'Données projet'!$E$11+1,1))</f>
        <v>374.79806286316051</v>
      </c>
      <c r="BJ126" s="61">
        <f t="shared" si="92"/>
        <v>350.01856672839466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1.689963662244099</v>
      </c>
      <c r="BR126" s="23">
        <f>EXP(-LN(2)/2)*BR125+(1-EXP(-LN(2)/2))/(LN(2)/2)*BL126*BO126*VLOOKUP('Données projet'!$B$11,Paramètres!$A$1:$I$89,3,0)*0.475*44/12</f>
        <v>1.106126976025112E-13</v>
      </c>
      <c r="BS126" s="24">
        <f t="shared" si="63"/>
        <v>1.6899636622442096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4.9084615384615375</v>
      </c>
      <c r="BY126" s="13">
        <f>IF('Données projet'!$A$114&gt;35,BY125+BX126-CG125,IF(A126&lt;'Données projet'!$A$114,$BV$205^A126,IF(A126='Données projet'!$A$114,'Données projet'!$B$114,BY125+BX126-CG125)))</f>
        <v>220.34769230769274</v>
      </c>
      <c r="BZ126" s="14">
        <f>BY126*VLOOKUP('Données projet'!$B$12,Paramètres!$A$1:$I$89,3,0)*VLOOKUP('Données projet'!$B$12,Paramètres!$A$1:$I$89,5,0)</f>
        <v>103.12272000000021</v>
      </c>
      <c r="CA126" s="14">
        <f t="shared" si="93"/>
        <v>27.7046059215917</v>
      </c>
      <c r="CB126" s="22">
        <f t="shared" si="64"/>
        <v>227.85759264677259</v>
      </c>
      <c r="CC126" s="61">
        <f t="shared" si="65"/>
        <v>521.19092598010593</v>
      </c>
      <c r="CD126" s="61">
        <f ca="1">AVERAGE(OFFSET($CC$3,0,0,'Données projet'!$E$12+1,1))-AVERAGE(OFFSET($H$3,0,0,'Données projet'!$E$12+1,1))</f>
        <v>285.59863510278109</v>
      </c>
      <c r="CE126" s="61">
        <f t="shared" si="94"/>
        <v>190.4880882944471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5.4683368944097308E-14</v>
      </c>
      <c r="CV126" s="14">
        <f t="shared" si="95"/>
        <v>8.8129432816788268E-13</v>
      </c>
      <c r="CW126" s="22">
        <f t="shared" si="67"/>
        <v>1.6301611558033651E-12</v>
      </c>
      <c r="CX126" s="61">
        <f t="shared" si="68"/>
        <v>293.33333333333496</v>
      </c>
      <c r="CY126" s="61">
        <f ca="1">AVERAGE(OFFSET($CX$3,0,0,'Données projet'!$E$13+1,1))-AVERAGE(OFFSET($H$3,0,0,'Données projet'!$E$13+1,1))</f>
        <v>273.72618036666552</v>
      </c>
      <c r="CZ126" s="61">
        <f t="shared" si="96"/>
        <v>157.67999791700714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1.7053025658242404E-13</v>
      </c>
      <c r="DP126" s="18">
        <f>DO126*VLOOKUP('Données projet'!$B$14,Paramètres!$A$1:$I$89,3,0)*VLOOKUP('Données projet'!$B$14,Paramètres!$A$1:$I$89,5,0)</f>
        <v>1.1439169611549005E-13</v>
      </c>
      <c r="DQ126" s="14">
        <f t="shared" si="97"/>
        <v>1.6918016515029816E-12</v>
      </c>
      <c r="DR126" s="22">
        <f t="shared" si="70"/>
        <v>3.1457867471021712E-12</v>
      </c>
      <c r="DS126" s="61">
        <f t="shared" si="71"/>
        <v>293.33333333333644</v>
      </c>
      <c r="DT126" s="61">
        <f ca="1">AVERAGE(OFFSET($DS$3,0,0,'Données projet'!$E$14+1,1))-AVERAGE(OFFSET($H$3,0,0,'Données projet'!$E$14+1,1))</f>
        <v>312.06797204903796</v>
      </c>
      <c r="DU126" s="61">
        <f t="shared" si="98"/>
        <v>258.20189001775151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1.4210854715202004E-13</v>
      </c>
      <c r="EK126" s="18">
        <f>EJ126*VLOOKUP('Données projet'!$B$15,Paramètres!$A$1:$I$89,3,0)*VLOOKUP('Données projet'!$B$15,Paramètres!$A$1:$I$89,5,0)</f>
        <v>1.1527845344971866E-13</v>
      </c>
      <c r="EL126" s="14">
        <f t="shared" si="99"/>
        <v>1.7033846239409443E-12</v>
      </c>
      <c r="EM126" s="22">
        <f t="shared" si="73"/>
        <v>3.1675048597887374E-12</v>
      </c>
      <c r="EN126" s="61">
        <f t="shared" si="74"/>
        <v>293.3333333333365</v>
      </c>
      <c r="EO126" s="61">
        <f ca="1">AVERAGE(OFFSET($EN$3,0,0,'Données projet'!$E$15+1,1))-AVERAGE(OFFSET($H$3,0,0,'Données projet'!$E$15+1,1))</f>
        <v>222.15256609836689</v>
      </c>
      <c r="EP126" s="61">
        <f t="shared" si="100"/>
        <v>221.10360210521077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1.1368683772161603E-13</v>
      </c>
      <c r="FF126" s="18">
        <f>FE126*VLOOKUP('Données projet'!$B$16,Paramètres!$A$1:$I$89,3,0)*VLOOKUP('Données projet'!$B$16,Paramètres!$A$1:$I$89,5,0)</f>
        <v>8.8675733422860506E-14</v>
      </c>
      <c r="FG126" s="14">
        <f t="shared" si="101"/>
        <v>1.3509285393066301E-12</v>
      </c>
      <c r="FH126" s="22">
        <f t="shared" si="76"/>
        <v>2.5073107750038623E-12</v>
      </c>
      <c r="FI126" s="61">
        <f t="shared" si="77"/>
        <v>293.33333333333582</v>
      </c>
      <c r="FJ126" s="61">
        <f ca="1">AVERAGE(OFFSET($FI$3,0,0,'Données projet'!$E$16+1,1))-AVERAGE(OFFSET($H$3,0,0,'Données projet'!$E$16+1,1))</f>
        <v>292.57482726862594</v>
      </c>
      <c r="FK126" s="61">
        <f t="shared" si="102"/>
        <v>283.48738729114024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3.2</v>
      </c>
      <c r="FZ126" s="13">
        <f>IF('Données projet'!$A$244&gt;35,FZ125+FY126-GH125,IF(A126&lt;'Données projet'!$A$244,$FW$205^A126,IF(A126='Données projet'!$A$244,'Données projet'!$B$244,FZ125+FY126-GH125)))</f>
        <v>277.59999999999945</v>
      </c>
      <c r="GA126" s="18">
        <f>FZ126*VLOOKUP('Données projet'!$B$17,Paramètres!$A$1:$I$89,3,0)*VLOOKUP('Données projet'!$B$17,Paramètres!$A$1:$I$89,5,0)</f>
        <v>268.49471999999946</v>
      </c>
      <c r="GB126" s="14">
        <f t="shared" si="103"/>
        <v>64.529707010294615</v>
      </c>
      <c r="GC126" s="22">
        <f t="shared" si="79"/>
        <v>580.01754370959543</v>
      </c>
      <c r="GD126" s="61">
        <f t="shared" si="80"/>
        <v>873.35087704292869</v>
      </c>
      <c r="GE126" s="61">
        <f ca="1">AVERAGE(OFFSET($GD$3,0,0,'Données projet'!$E$17+1,1))-AVERAGE(OFFSET($H$3,0,0,'Données projet'!$E$17+1,1))</f>
        <v>455.50822833641354</v>
      </c>
      <c r="GF126" s="61">
        <f t="shared" si="104"/>
        <v>261.14722581688039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0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0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3.2</v>
      </c>
      <c r="GU126" s="13">
        <f>IF('Données projet'!$A$270&gt;35,GU125+GT126-HC125,IF(A126&lt;'Données projet'!$A$270,$GR$205^A126,IF(A126='Données projet'!$A$270,'Données projet'!$B$270,GU125+GT126-HC125)))</f>
        <v>277.59999999999945</v>
      </c>
      <c r="GV126" s="18">
        <f>GU126*VLOOKUP('Données projet'!$B$18,Paramètres!$A$1:$I$89,3,0)*VLOOKUP('Données projet'!$B$18,Paramètres!$A$1:$I$89,5,0)</f>
        <v>298.8086399999994</v>
      </c>
      <c r="GW126" s="14">
        <f t="shared" si="105"/>
        <v>70.926650849267929</v>
      </c>
      <c r="GX126" s="22">
        <f t="shared" si="82"/>
        <v>643.95563156247397</v>
      </c>
      <c r="GY126" s="61">
        <f t="shared" si="83"/>
        <v>937.28896489580734</v>
      </c>
      <c r="GZ126" s="61">
        <f ca="1">AVERAGE(OFFSET($GY$3,0,0,'Données projet'!$E$18+1,1))-AVERAGE(OFFSET($H$3,0,0,'Données projet'!$E$18+1,1))</f>
        <v>502.07782026233912</v>
      </c>
      <c r="HA126" s="61">
        <f t="shared" si="106"/>
        <v>285.83623046025156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0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0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254.06783999999948</v>
      </c>
      <c r="P127" s="14">
        <f t="shared" si="87"/>
        <v>61.456187622750612</v>
      </c>
      <c r="Q127" s="22">
        <f t="shared" si="107"/>
        <v>549.53768144295634</v>
      </c>
      <c r="R127" s="61">
        <f t="shared" si="55"/>
        <v>842.87101477628971</v>
      </c>
      <c r="S127" s="61">
        <f ca="1">AVERAGE(OFFSET($R$3,0,0,'Données projet'!$E$9+1,1))-AVERAGE(OFFSET($H$3,0,0,'Données projet'!$E$9+1,1))</f>
        <v>428.8489304403459</v>
      </c>
      <c r="T127" s="61">
        <f t="shared" si="88"/>
        <v>247.01165577562966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1">
        <f t="shared" si="59"/>
        <v>907.61406414075418</v>
      </c>
      <c r="AN127" s="61">
        <f ca="1">AVERAGE(OFFSET($AM$3,0,0,'Données projet'!$E$10+1,1))-AVERAGE(OFFSET($H$3,0,0,'Données projet'!$E$10+1,1))</f>
        <v>475.47920969424894</v>
      </c>
      <c r="AO127" s="61">
        <f t="shared" si="90"/>
        <v>271.73544012419364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-3.4106051316484809E-13</v>
      </c>
      <c r="BE127" s="14">
        <f>BD127*VLOOKUP('Données projet'!$B$11,Paramètres!$A$1:$I$89,3,0)*VLOOKUP('Données projet'!$B$11,Paramètres!$A$1:$I$89,5,0)</f>
        <v>-1.9065282685915009E-13</v>
      </c>
      <c r="BF127" s="14" t="e">
        <f t="shared" si="91"/>
        <v>#NUM!</v>
      </c>
      <c r="BG127" s="22" t="e">
        <f t="shared" si="61"/>
        <v>#NUM!</v>
      </c>
      <c r="BH127" s="61" t="e">
        <f t="shared" si="62"/>
        <v>#NUM!</v>
      </c>
      <c r="BI127" s="61">
        <f ca="1">AVERAGE(OFFSET($BH$3,0,0,'Données projet'!$E$11+1,1))-AVERAGE(OFFSET($H$3,0,0,'Données projet'!$E$11+1,1))</f>
        <v>374.79806286316051</v>
      </c>
      <c r="BJ127" s="61">
        <f t="shared" si="92"/>
        <v>350.01856672839466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1.6437515170287076</v>
      </c>
      <c r="BR127" s="23">
        <f>EXP(-LN(2)/2)*BR126+(1-EXP(-LN(2)/2))/(LN(2)/2)*BL127*BO127*VLOOKUP('Données projet'!$B$11,Paramètres!$A$1:$I$89,3,0)*0.475*44/12</f>
        <v>7.8214988560072651E-14</v>
      </c>
      <c r="BS127" s="24">
        <f t="shared" si="63"/>
        <v>1.6437515170287857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4.9084615384615375</v>
      </c>
      <c r="BY127" s="13">
        <f>IF('Données projet'!$A$114&gt;35,BY126+BX127-CG126,IF(A127&lt;'Données projet'!$A$114,$BV$205^A127,IF(A127='Données projet'!$A$114,'Données projet'!$B$114,BY126+BX127-CG126)))</f>
        <v>225.25615384615429</v>
      </c>
      <c r="BZ127" s="14">
        <f>BY127*VLOOKUP('Données projet'!$B$12,Paramètres!$A$1:$I$89,3,0)*VLOOKUP('Données projet'!$B$12,Paramètres!$A$1:$I$89,5,0)</f>
        <v>105.41988000000021</v>
      </c>
      <c r="CA127" s="14">
        <f t="shared" si="93"/>
        <v>28.249216129722367</v>
      </c>
      <c r="CB127" s="22">
        <f t="shared" si="64"/>
        <v>232.80700909260011</v>
      </c>
      <c r="CC127" s="61">
        <f t="shared" si="65"/>
        <v>526.14034242593345</v>
      </c>
      <c r="CD127" s="61">
        <f ca="1">AVERAGE(OFFSET($CC$3,0,0,'Données projet'!$E$12+1,1))-AVERAGE(OFFSET($H$3,0,0,'Données projet'!$E$12+1,1))</f>
        <v>285.59863510278109</v>
      </c>
      <c r="CE127" s="61">
        <f t="shared" si="94"/>
        <v>190.4880882944471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5.4683368944097308E-14</v>
      </c>
      <c r="CV127" s="14">
        <f t="shared" si="95"/>
        <v>8.8129432816788268E-13</v>
      </c>
      <c r="CW127" s="22">
        <f t="shared" si="67"/>
        <v>1.6301611558033651E-12</v>
      </c>
      <c r="CX127" s="61">
        <f t="shared" si="68"/>
        <v>293.33333333333496</v>
      </c>
      <c r="CY127" s="61">
        <f ca="1">AVERAGE(OFFSET($CX$3,0,0,'Données projet'!$E$13+1,1))-AVERAGE(OFFSET($H$3,0,0,'Données projet'!$E$13+1,1))</f>
        <v>273.72618036666552</v>
      </c>
      <c r="CZ127" s="61">
        <f t="shared" si="96"/>
        <v>157.67999791700714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1.7053025658242404E-13</v>
      </c>
      <c r="DP127" s="18">
        <f>DO127*VLOOKUP('Données projet'!$B$14,Paramètres!$A$1:$I$89,3,0)*VLOOKUP('Données projet'!$B$14,Paramètres!$A$1:$I$89,5,0)</f>
        <v>1.1439169611549005E-13</v>
      </c>
      <c r="DQ127" s="14">
        <f t="shared" si="97"/>
        <v>1.6918016515029816E-12</v>
      </c>
      <c r="DR127" s="22">
        <f t="shared" si="70"/>
        <v>3.1457867471021712E-12</v>
      </c>
      <c r="DS127" s="61">
        <f t="shared" si="71"/>
        <v>293.33333333333644</v>
      </c>
      <c r="DT127" s="61">
        <f ca="1">AVERAGE(OFFSET($DS$3,0,0,'Données projet'!$E$14+1,1))-AVERAGE(OFFSET($H$3,0,0,'Données projet'!$E$14+1,1))</f>
        <v>312.06797204903796</v>
      </c>
      <c r="DU127" s="61">
        <f t="shared" si="98"/>
        <v>258.20189001775151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1.4210854715202004E-13</v>
      </c>
      <c r="EK127" s="18">
        <f>EJ127*VLOOKUP('Données projet'!$B$15,Paramètres!$A$1:$I$89,3,0)*VLOOKUP('Données projet'!$B$15,Paramètres!$A$1:$I$89,5,0)</f>
        <v>1.1527845344971866E-13</v>
      </c>
      <c r="EL127" s="14">
        <f t="shared" si="99"/>
        <v>1.7033846239409443E-12</v>
      </c>
      <c r="EM127" s="22">
        <f t="shared" si="73"/>
        <v>3.1675048597887374E-12</v>
      </c>
      <c r="EN127" s="61">
        <f t="shared" si="74"/>
        <v>293.3333333333365</v>
      </c>
      <c r="EO127" s="61">
        <f ca="1">AVERAGE(OFFSET($EN$3,0,0,'Données projet'!$E$15+1,1))-AVERAGE(OFFSET($H$3,0,0,'Données projet'!$E$15+1,1))</f>
        <v>222.15256609836689</v>
      </c>
      <c r="EP127" s="61">
        <f t="shared" si="100"/>
        <v>221.10360210521077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1.1368683772161603E-13</v>
      </c>
      <c r="FF127" s="18">
        <f>FE127*VLOOKUP('Données projet'!$B$16,Paramètres!$A$1:$I$89,3,0)*VLOOKUP('Données projet'!$B$16,Paramètres!$A$1:$I$89,5,0)</f>
        <v>8.8675733422860506E-14</v>
      </c>
      <c r="FG127" s="14">
        <f t="shared" si="101"/>
        <v>1.3509285393066301E-12</v>
      </c>
      <c r="FH127" s="22">
        <f t="shared" si="76"/>
        <v>2.5073107750038623E-12</v>
      </c>
      <c r="FI127" s="61">
        <f t="shared" si="77"/>
        <v>293.33333333333582</v>
      </c>
      <c r="FJ127" s="61">
        <f ca="1">AVERAGE(OFFSET($FI$3,0,0,'Données projet'!$E$16+1,1))-AVERAGE(OFFSET($H$3,0,0,'Données projet'!$E$16+1,1))</f>
        <v>292.57482726862594</v>
      </c>
      <c r="FK127" s="61">
        <f t="shared" si="102"/>
        <v>283.48738729114024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3.2</v>
      </c>
      <c r="FZ127" s="13">
        <f>IF('Données projet'!$A$244&gt;35,FZ126+FY127-GH126,IF(A127&lt;'Données projet'!$A$244,$FW$205^A127,IF(A127='Données projet'!$A$244,'Données projet'!$B$244,FZ126+FY127-GH126)))</f>
        <v>280.79999999999944</v>
      </c>
      <c r="GA127" s="18">
        <f>FZ127*VLOOKUP('Données projet'!$B$17,Paramètres!$A$1:$I$89,3,0)*VLOOKUP('Données projet'!$B$17,Paramètres!$A$1:$I$89,5,0)</f>
        <v>271.5897599999995</v>
      </c>
      <c r="GB127" s="14">
        <f t="shared" si="103"/>
        <v>65.186541118848012</v>
      </c>
      <c r="GC127" s="22">
        <f t="shared" si="79"/>
        <v>586.55205778199274</v>
      </c>
      <c r="GD127" s="61">
        <f t="shared" si="80"/>
        <v>879.885391115326</v>
      </c>
      <c r="GE127" s="61">
        <f ca="1">AVERAGE(OFFSET($GD$3,0,0,'Données projet'!$E$17+1,1))-AVERAGE(OFFSET($H$3,0,0,'Données projet'!$E$17+1,1))</f>
        <v>455.50822833641354</v>
      </c>
      <c r="GF127" s="61">
        <f t="shared" si="104"/>
        <v>261.14722581688039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0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0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3.2</v>
      </c>
      <c r="GU127" s="13">
        <f>IF('Données projet'!$A$270&gt;35,GU126+GT127-HC126,IF(A127&lt;'Données projet'!$A$270,$GR$205^A127,IF(A127='Données projet'!$A$270,'Données projet'!$B$270,GU126+GT127-HC126)))</f>
        <v>280.79999999999944</v>
      </c>
      <c r="GV127" s="18">
        <f>GU127*VLOOKUP('Données projet'!$B$18,Paramètres!$A$1:$I$89,3,0)*VLOOKUP('Données projet'!$B$18,Paramètres!$A$1:$I$89,5,0)</f>
        <v>302.2531199999994</v>
      </c>
      <c r="GW127" s="14">
        <f t="shared" si="105"/>
        <v>71.648598083211283</v>
      </c>
      <c r="GX127" s="22">
        <f t="shared" si="82"/>
        <v>651.21215899492529</v>
      </c>
      <c r="GY127" s="61">
        <f t="shared" si="83"/>
        <v>944.54549232825866</v>
      </c>
      <c r="GZ127" s="61">
        <f ca="1">AVERAGE(OFFSET($GY$3,0,0,'Données projet'!$E$18+1,1))-AVERAGE(OFFSET($H$3,0,0,'Données projet'!$E$18+1,1))</f>
        <v>502.07782026233912</v>
      </c>
      <c r="HA127" s="61">
        <f t="shared" si="106"/>
        <v>285.83623046025156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0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0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256.96319999999946</v>
      </c>
      <c r="P128" s="14">
        <f t="shared" si="87"/>
        <v>62.07461295683791</v>
      </c>
      <c r="Q128" s="22">
        <f t="shared" si="107"/>
        <v>555.65752423315837</v>
      </c>
      <c r="R128" s="61">
        <f t="shared" si="55"/>
        <v>848.99085756649174</v>
      </c>
      <c r="S128" s="61">
        <f ca="1">AVERAGE(OFFSET($R$3,0,0,'Données projet'!$E$9+1,1))-AVERAGE(OFFSET($H$3,0,0,'Données projet'!$E$9+1,1))</f>
        <v>428.8489304403459</v>
      </c>
      <c r="T128" s="61">
        <f t="shared" si="88"/>
        <v>247.01165577562966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1">
        <f t="shared" si="59"/>
        <v>914.45660465164383</v>
      </c>
      <c r="AN128" s="61">
        <f ca="1">AVERAGE(OFFSET($AM$3,0,0,'Données projet'!$E$10+1,1))-AVERAGE(OFFSET($H$3,0,0,'Données projet'!$E$10+1,1))</f>
        <v>475.47920969424894</v>
      </c>
      <c r="AO128" s="61">
        <f t="shared" si="90"/>
        <v>271.73544012419364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-3.4106051316484809E-13</v>
      </c>
      <c r="BE128" s="14">
        <f>BD128*VLOOKUP('Données projet'!$B$11,Paramètres!$A$1:$I$89,3,0)*VLOOKUP('Données projet'!$B$11,Paramètres!$A$1:$I$89,5,0)</f>
        <v>-1.9065282685915009E-13</v>
      </c>
      <c r="BF128" s="14" t="e">
        <f t="shared" si="91"/>
        <v>#NUM!</v>
      </c>
      <c r="BG128" s="22" t="e">
        <f t="shared" si="61"/>
        <v>#NUM!</v>
      </c>
      <c r="BH128" s="61" t="e">
        <f t="shared" si="62"/>
        <v>#NUM!</v>
      </c>
      <c r="BI128" s="61">
        <f ca="1">AVERAGE(OFFSET($BH$3,0,0,'Données projet'!$E$11+1,1))-AVERAGE(OFFSET($H$3,0,0,'Données projet'!$E$11+1,1))</f>
        <v>374.79806286316051</v>
      </c>
      <c r="BJ128" s="61">
        <f t="shared" si="92"/>
        <v>350.01856672839466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1.5988030453544222</v>
      </c>
      <c r="BR128" s="23">
        <f>EXP(-LN(2)/2)*BR127+(1-EXP(-LN(2)/2))/(LN(2)/2)*BL128*BO128*VLOOKUP('Données projet'!$B$11,Paramètres!$A$1:$I$89,3,0)*0.475*44/12</f>
        <v>5.5306348801255615E-14</v>
      </c>
      <c r="BS128" s="24">
        <f t="shared" si="63"/>
        <v>1.5988030453544775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4.9084615384615375</v>
      </c>
      <c r="BY128" s="13">
        <f>IF('Données projet'!$A$114&gt;35,BY127+BX128-CG127,IF(A128&lt;'Données projet'!$A$114,$BV$205^A128,IF(A128='Données projet'!$A$114,'Données projet'!$B$114,BY127+BX128-CG127)))</f>
        <v>230.16461538461584</v>
      </c>
      <c r="BZ128" s="14">
        <f>BY128*VLOOKUP('Données projet'!$B$12,Paramètres!$A$1:$I$89,3,0)*VLOOKUP('Données projet'!$B$12,Paramètres!$A$1:$I$89,5,0)</f>
        <v>107.71704000000021</v>
      </c>
      <c r="CA128" s="14">
        <f t="shared" si="93"/>
        <v>28.792446610882166</v>
      </c>
      <c r="CB128" s="22">
        <f t="shared" si="64"/>
        <v>237.75402251395349</v>
      </c>
      <c r="CC128" s="61">
        <f t="shared" si="65"/>
        <v>531.08735584728674</v>
      </c>
      <c r="CD128" s="61">
        <f ca="1">AVERAGE(OFFSET($CC$3,0,0,'Données projet'!$E$12+1,1))-AVERAGE(OFFSET($H$3,0,0,'Données projet'!$E$12+1,1))</f>
        <v>285.59863510278109</v>
      </c>
      <c r="CE128" s="61">
        <f t="shared" si="94"/>
        <v>190.4880882944471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5.4683368944097308E-14</v>
      </c>
      <c r="CV128" s="14">
        <f t="shared" si="95"/>
        <v>8.8129432816788268E-13</v>
      </c>
      <c r="CW128" s="22">
        <f t="shared" si="67"/>
        <v>1.6301611558033651E-12</v>
      </c>
      <c r="CX128" s="61">
        <f t="shared" si="68"/>
        <v>293.33333333333496</v>
      </c>
      <c r="CY128" s="61">
        <f ca="1">AVERAGE(OFFSET($CX$3,0,0,'Données projet'!$E$13+1,1))-AVERAGE(OFFSET($H$3,0,0,'Données projet'!$E$13+1,1))</f>
        <v>273.72618036666552</v>
      </c>
      <c r="CZ128" s="61">
        <f t="shared" si="96"/>
        <v>157.67999791700714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1.7053025658242404E-13</v>
      </c>
      <c r="DP128" s="18">
        <f>DO128*VLOOKUP('Données projet'!$B$14,Paramètres!$A$1:$I$89,3,0)*VLOOKUP('Données projet'!$B$14,Paramètres!$A$1:$I$89,5,0)</f>
        <v>1.1439169611549005E-13</v>
      </c>
      <c r="DQ128" s="14">
        <f t="shared" si="97"/>
        <v>1.6918016515029816E-12</v>
      </c>
      <c r="DR128" s="22">
        <f t="shared" si="70"/>
        <v>3.1457867471021712E-12</v>
      </c>
      <c r="DS128" s="61">
        <f t="shared" si="71"/>
        <v>293.33333333333644</v>
      </c>
      <c r="DT128" s="61">
        <f ca="1">AVERAGE(OFFSET($DS$3,0,0,'Données projet'!$E$14+1,1))-AVERAGE(OFFSET($H$3,0,0,'Données projet'!$E$14+1,1))</f>
        <v>312.06797204903796</v>
      </c>
      <c r="DU128" s="61">
        <f t="shared" si="98"/>
        <v>258.20189001775151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1.4210854715202004E-13</v>
      </c>
      <c r="EK128" s="18">
        <f>EJ128*VLOOKUP('Données projet'!$B$15,Paramètres!$A$1:$I$89,3,0)*VLOOKUP('Données projet'!$B$15,Paramètres!$A$1:$I$89,5,0)</f>
        <v>1.1527845344971866E-13</v>
      </c>
      <c r="EL128" s="14">
        <f t="shared" si="99"/>
        <v>1.7033846239409443E-12</v>
      </c>
      <c r="EM128" s="22">
        <f t="shared" si="73"/>
        <v>3.1675048597887374E-12</v>
      </c>
      <c r="EN128" s="61">
        <f t="shared" si="74"/>
        <v>293.3333333333365</v>
      </c>
      <c r="EO128" s="61">
        <f ca="1">AVERAGE(OFFSET($EN$3,0,0,'Données projet'!$E$15+1,1))-AVERAGE(OFFSET($H$3,0,0,'Données projet'!$E$15+1,1))</f>
        <v>222.15256609836689</v>
      </c>
      <c r="EP128" s="61">
        <f t="shared" si="100"/>
        <v>221.10360210521077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1.1368683772161603E-13</v>
      </c>
      <c r="FF128" s="18">
        <f>FE128*VLOOKUP('Données projet'!$B$16,Paramètres!$A$1:$I$89,3,0)*VLOOKUP('Données projet'!$B$16,Paramètres!$A$1:$I$89,5,0)</f>
        <v>8.8675733422860506E-14</v>
      </c>
      <c r="FG128" s="14">
        <f t="shared" si="101"/>
        <v>1.3509285393066301E-12</v>
      </c>
      <c r="FH128" s="22">
        <f t="shared" si="76"/>
        <v>2.5073107750038623E-12</v>
      </c>
      <c r="FI128" s="61">
        <f t="shared" si="77"/>
        <v>293.33333333333582</v>
      </c>
      <c r="FJ128" s="61">
        <f ca="1">AVERAGE(OFFSET($FI$3,0,0,'Données projet'!$E$16+1,1))-AVERAGE(OFFSET($H$3,0,0,'Données projet'!$E$16+1,1))</f>
        <v>292.57482726862594</v>
      </c>
      <c r="FK128" s="61">
        <f t="shared" si="102"/>
        <v>283.48738729114024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3.2</v>
      </c>
      <c r="FZ128" s="13">
        <f>IF('Données projet'!$A$244&gt;35,FZ127+FY128-GH127,IF(A128&lt;'Données projet'!$A$244,$FW$205^A128,IF(A128='Données projet'!$A$244,'Données projet'!$B$244,FZ127+FY128-GH127)))</f>
        <v>283.99999999999943</v>
      </c>
      <c r="GA128" s="18">
        <f>FZ128*VLOOKUP('Données projet'!$B$17,Paramètres!$A$1:$I$89,3,0)*VLOOKUP('Données projet'!$B$17,Paramètres!$A$1:$I$89,5,0)</f>
        <v>274.68479999999943</v>
      </c>
      <c r="GB128" s="14">
        <f t="shared" si="103"/>
        <v>65.842504497456545</v>
      </c>
      <c r="GC128" s="22">
        <f t="shared" si="79"/>
        <v>593.08505533306914</v>
      </c>
      <c r="GD128" s="61">
        <f t="shared" si="80"/>
        <v>886.41838866640251</v>
      </c>
      <c r="GE128" s="61">
        <f ca="1">AVERAGE(OFFSET($GD$3,0,0,'Données projet'!$E$17+1,1))-AVERAGE(OFFSET($H$3,0,0,'Données projet'!$E$17+1,1))</f>
        <v>455.50822833641354</v>
      </c>
      <c r="GF128" s="61">
        <f t="shared" si="104"/>
        <v>261.14722581688039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0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0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3.2</v>
      </c>
      <c r="GU128" s="13">
        <f>IF('Données projet'!$A$270&gt;35,GU127+GT128-HC127,IF(A128&lt;'Données projet'!$A$270,$GR$205^A128,IF(A128='Données projet'!$A$270,'Données projet'!$B$270,GU127+GT128-HC127)))</f>
        <v>283.99999999999943</v>
      </c>
      <c r="GV128" s="18">
        <f>GU128*VLOOKUP('Données projet'!$B$18,Paramètres!$A$1:$I$89,3,0)*VLOOKUP('Données projet'!$B$18,Paramètres!$A$1:$I$89,5,0)</f>
        <v>305.69759999999934</v>
      </c>
      <c r="GW128" s="14">
        <f t="shared" si="105"/>
        <v>72.369588270212233</v>
      </c>
      <c r="GX128" s="22">
        <f t="shared" si="82"/>
        <v>658.46701957061839</v>
      </c>
      <c r="GY128" s="61">
        <f t="shared" si="83"/>
        <v>951.80035290395176</v>
      </c>
      <c r="GZ128" s="61">
        <f ca="1">AVERAGE(OFFSET($GY$3,0,0,'Données projet'!$E$18+1,1))-AVERAGE(OFFSET($H$3,0,0,'Données projet'!$E$18+1,1))</f>
        <v>502.07782026233912</v>
      </c>
      <c r="HA128" s="61">
        <f t="shared" si="106"/>
        <v>285.83623046025156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0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0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259.85855999999944</v>
      </c>
      <c r="P129" s="14">
        <f t="shared" si="87"/>
        <v>62.692227709138365</v>
      </c>
      <c r="Q129" s="22">
        <f t="shared" si="107"/>
        <v>561.77595526008167</v>
      </c>
      <c r="R129" s="61">
        <f t="shared" si="55"/>
        <v>855.10928859341493</v>
      </c>
      <c r="S129" s="61">
        <f ca="1">AVERAGE(OFFSET($R$3,0,0,'Données projet'!$E$9+1,1))-AVERAGE(OFFSET($H$3,0,0,'Données projet'!$E$9+1,1))</f>
        <v>428.8489304403459</v>
      </c>
      <c r="T129" s="61">
        <f t="shared" si="88"/>
        <v>247.01165577562966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1">
        <f t="shared" si="59"/>
        <v>921.29758385969899</v>
      </c>
      <c r="AN129" s="61">
        <f ca="1">AVERAGE(OFFSET($AM$3,0,0,'Données projet'!$E$10+1,1))-AVERAGE(OFFSET($H$3,0,0,'Données projet'!$E$10+1,1))</f>
        <v>475.47920969424894</v>
      </c>
      <c r="AO129" s="61">
        <f t="shared" si="90"/>
        <v>271.73544012419364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-3.4106051316484809E-13</v>
      </c>
      <c r="BE129" s="14">
        <f>BD129*VLOOKUP('Données projet'!$B$11,Paramètres!$A$1:$I$89,3,0)*VLOOKUP('Données projet'!$B$11,Paramètres!$A$1:$I$89,5,0)</f>
        <v>-1.9065282685915009E-13</v>
      </c>
      <c r="BF129" s="14" t="e">
        <f t="shared" si="91"/>
        <v>#NUM!</v>
      </c>
      <c r="BG129" s="22" t="e">
        <f t="shared" si="61"/>
        <v>#NUM!</v>
      </c>
      <c r="BH129" s="61" t="e">
        <f t="shared" si="62"/>
        <v>#NUM!</v>
      </c>
      <c r="BI129" s="61">
        <f ca="1">AVERAGE(OFFSET($BH$3,0,0,'Données projet'!$E$11+1,1))-AVERAGE(OFFSET($H$3,0,0,'Données projet'!$E$11+1,1))</f>
        <v>374.79806286316051</v>
      </c>
      <c r="BJ129" s="61">
        <f t="shared" si="92"/>
        <v>350.01856672839466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1.5550836920018074</v>
      </c>
      <c r="BR129" s="23">
        <f>EXP(-LN(2)/2)*BR128+(1-EXP(-LN(2)/2))/(LN(2)/2)*BL129*BO129*VLOOKUP('Données projet'!$B$11,Paramètres!$A$1:$I$89,3,0)*0.475*44/12</f>
        <v>3.9107494280036332E-14</v>
      </c>
      <c r="BS129" s="24">
        <f t="shared" si="63"/>
        <v>1.5550836920018465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4.9084615384615375</v>
      </c>
      <c r="BY129" s="13">
        <f>IF('Données projet'!$A$114&gt;35,BY128+BX129-CG128,IF(A129&lt;'Données projet'!$A$114,$BV$205^A129,IF(A129='Données projet'!$A$114,'Données projet'!$B$114,BY128+BX129-CG128)))</f>
        <v>235.07307692307739</v>
      </c>
      <c r="BZ129" s="14">
        <f>BY129*VLOOKUP('Données projet'!$B$12,Paramètres!$A$1:$I$89,3,0)*VLOOKUP('Données projet'!$B$12,Paramètres!$A$1:$I$89,5,0)</f>
        <v>110.01420000000023</v>
      </c>
      <c r="CA129" s="14">
        <f t="shared" si="93"/>
        <v>29.334330178180171</v>
      </c>
      <c r="CB129" s="22">
        <f t="shared" si="64"/>
        <v>242.69869006033085</v>
      </c>
      <c r="CC129" s="61">
        <f t="shared" si="65"/>
        <v>536.03202339366419</v>
      </c>
      <c r="CD129" s="61">
        <f ca="1">AVERAGE(OFFSET($CC$3,0,0,'Données projet'!$E$12+1,1))-AVERAGE(OFFSET($H$3,0,0,'Données projet'!$E$12+1,1))</f>
        <v>285.59863510278109</v>
      </c>
      <c r="CE129" s="61">
        <f t="shared" si="94"/>
        <v>190.4880882944471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5.4683368944097308E-14</v>
      </c>
      <c r="CV129" s="14">
        <f t="shared" si="95"/>
        <v>8.8129432816788268E-13</v>
      </c>
      <c r="CW129" s="22">
        <f t="shared" si="67"/>
        <v>1.6301611558033651E-12</v>
      </c>
      <c r="CX129" s="61">
        <f t="shared" si="68"/>
        <v>293.33333333333496</v>
      </c>
      <c r="CY129" s="61">
        <f ca="1">AVERAGE(OFFSET($CX$3,0,0,'Données projet'!$E$13+1,1))-AVERAGE(OFFSET($H$3,0,0,'Données projet'!$E$13+1,1))</f>
        <v>273.72618036666552</v>
      </c>
      <c r="CZ129" s="61">
        <f t="shared" si="96"/>
        <v>157.67999791700714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1.7053025658242404E-13</v>
      </c>
      <c r="DP129" s="18">
        <f>DO129*VLOOKUP('Données projet'!$B$14,Paramètres!$A$1:$I$89,3,0)*VLOOKUP('Données projet'!$B$14,Paramètres!$A$1:$I$89,5,0)</f>
        <v>1.1439169611549005E-13</v>
      </c>
      <c r="DQ129" s="14">
        <f t="shared" si="97"/>
        <v>1.6918016515029816E-12</v>
      </c>
      <c r="DR129" s="22">
        <f t="shared" si="70"/>
        <v>3.1457867471021712E-12</v>
      </c>
      <c r="DS129" s="61">
        <f t="shared" si="71"/>
        <v>293.33333333333644</v>
      </c>
      <c r="DT129" s="61">
        <f ca="1">AVERAGE(OFFSET($DS$3,0,0,'Données projet'!$E$14+1,1))-AVERAGE(OFFSET($H$3,0,0,'Données projet'!$E$14+1,1))</f>
        <v>312.06797204903796</v>
      </c>
      <c r="DU129" s="61">
        <f t="shared" si="98"/>
        <v>258.20189001775151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1.4210854715202004E-13</v>
      </c>
      <c r="EK129" s="18">
        <f>EJ129*VLOOKUP('Données projet'!$B$15,Paramètres!$A$1:$I$89,3,0)*VLOOKUP('Données projet'!$B$15,Paramètres!$A$1:$I$89,5,0)</f>
        <v>1.1527845344971866E-13</v>
      </c>
      <c r="EL129" s="14">
        <f t="shared" si="99"/>
        <v>1.7033846239409443E-12</v>
      </c>
      <c r="EM129" s="22">
        <f t="shared" si="73"/>
        <v>3.1675048597887374E-12</v>
      </c>
      <c r="EN129" s="61">
        <f t="shared" si="74"/>
        <v>293.3333333333365</v>
      </c>
      <c r="EO129" s="61">
        <f ca="1">AVERAGE(OFFSET($EN$3,0,0,'Données projet'!$E$15+1,1))-AVERAGE(OFFSET($H$3,0,0,'Données projet'!$E$15+1,1))</f>
        <v>222.15256609836689</v>
      </c>
      <c r="EP129" s="61">
        <f t="shared" si="100"/>
        <v>221.10360210521077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1.1368683772161603E-13</v>
      </c>
      <c r="FF129" s="18">
        <f>FE129*VLOOKUP('Données projet'!$B$16,Paramètres!$A$1:$I$89,3,0)*VLOOKUP('Données projet'!$B$16,Paramètres!$A$1:$I$89,5,0)</f>
        <v>8.8675733422860506E-14</v>
      </c>
      <c r="FG129" s="14">
        <f t="shared" si="101"/>
        <v>1.3509285393066301E-12</v>
      </c>
      <c r="FH129" s="22">
        <f t="shared" si="76"/>
        <v>2.5073107750038623E-12</v>
      </c>
      <c r="FI129" s="61">
        <f t="shared" si="77"/>
        <v>293.33333333333582</v>
      </c>
      <c r="FJ129" s="61">
        <f ca="1">AVERAGE(OFFSET($FI$3,0,0,'Données projet'!$E$16+1,1))-AVERAGE(OFFSET($H$3,0,0,'Données projet'!$E$16+1,1))</f>
        <v>292.57482726862594</v>
      </c>
      <c r="FK129" s="61">
        <f t="shared" si="102"/>
        <v>283.48738729114024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3.2</v>
      </c>
      <c r="FZ129" s="13">
        <f>IF('Données projet'!$A$244&gt;35,FZ128+FY129-GH128,IF(A129&lt;'Données projet'!$A$244,$FW$205^A129,IF(A129='Données projet'!$A$244,'Données projet'!$B$244,FZ128+FY129-GH128)))</f>
        <v>287.19999999999942</v>
      </c>
      <c r="GA129" s="18">
        <f>FZ129*VLOOKUP('Données projet'!$B$17,Paramètres!$A$1:$I$89,3,0)*VLOOKUP('Données projet'!$B$17,Paramètres!$A$1:$I$89,5,0)</f>
        <v>277.77983999999947</v>
      </c>
      <c r="GB129" s="14">
        <f t="shared" si="103"/>
        <v>66.497608092453063</v>
      </c>
      <c r="GC129" s="22">
        <f t="shared" si="79"/>
        <v>599.61655542768813</v>
      </c>
      <c r="GD129" s="61">
        <f t="shared" si="80"/>
        <v>892.94988876102138</v>
      </c>
      <c r="GE129" s="61">
        <f ca="1">AVERAGE(OFFSET($GD$3,0,0,'Données projet'!$E$17+1,1))-AVERAGE(OFFSET($H$3,0,0,'Données projet'!$E$17+1,1))</f>
        <v>455.50822833641354</v>
      </c>
      <c r="GF129" s="61">
        <f t="shared" si="104"/>
        <v>261.14722581688039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0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0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3.2</v>
      </c>
      <c r="GU129" s="13">
        <f>IF('Données projet'!$A$270&gt;35,GU128+GT129-HC128,IF(A129&lt;'Données projet'!$A$270,$GR$205^A129,IF(A129='Données projet'!$A$270,'Données projet'!$B$270,GU128+GT129-HC128)))</f>
        <v>287.19999999999942</v>
      </c>
      <c r="GV129" s="18">
        <f>GU129*VLOOKUP('Données projet'!$B$18,Paramètres!$A$1:$I$89,3,0)*VLOOKUP('Données projet'!$B$18,Paramètres!$A$1:$I$89,5,0)</f>
        <v>309.14207999999934</v>
      </c>
      <c r="GW129" s="14">
        <f t="shared" si="105"/>
        <v>73.089633441733085</v>
      </c>
      <c r="GX129" s="22">
        <f t="shared" si="82"/>
        <v>665.72023424435065</v>
      </c>
      <c r="GY129" s="61">
        <f t="shared" si="83"/>
        <v>959.05356757768391</v>
      </c>
      <c r="GZ129" s="61">
        <f ca="1">AVERAGE(OFFSET($GY$3,0,0,'Données projet'!$E$18+1,1))-AVERAGE(OFFSET($H$3,0,0,'Données projet'!$E$18+1,1))</f>
        <v>502.07782026233912</v>
      </c>
      <c r="HA129" s="61">
        <f t="shared" si="106"/>
        <v>285.83623046025156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0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0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262.75391999999948</v>
      </c>
      <c r="P130" s="14">
        <f t="shared" si="87"/>
        <v>63.309041956360211</v>
      </c>
      <c r="Q130" s="22">
        <f t="shared" si="107"/>
        <v>567.89299207399313</v>
      </c>
      <c r="R130" s="61">
        <f t="shared" si="55"/>
        <v>861.22632540732639</v>
      </c>
      <c r="S130" s="61">
        <f ca="1">AVERAGE(OFFSET($R$3,0,0,'Données projet'!$E$9+1,1))-AVERAGE(OFFSET($H$3,0,0,'Données projet'!$E$9+1,1))</f>
        <v>428.8489304403459</v>
      </c>
      <c r="T130" s="61">
        <f t="shared" si="88"/>
        <v>247.01165577562966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1">
        <f t="shared" si="59"/>
        <v>928.13702117418029</v>
      </c>
      <c r="AN130" s="61">
        <f ca="1">AVERAGE(OFFSET($AM$3,0,0,'Données projet'!$E$10+1,1))-AVERAGE(OFFSET($H$3,0,0,'Données projet'!$E$10+1,1))</f>
        <v>475.47920969424894</v>
      </c>
      <c r="AO130" s="61">
        <f t="shared" si="90"/>
        <v>271.73544012419364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-3.4106051316484809E-13</v>
      </c>
      <c r="BE130" s="14">
        <f>BD130*VLOOKUP('Données projet'!$B$11,Paramètres!$A$1:$I$89,3,0)*VLOOKUP('Données projet'!$B$11,Paramètres!$A$1:$I$89,5,0)</f>
        <v>-1.9065282685915009E-13</v>
      </c>
      <c r="BF130" s="14" t="e">
        <f t="shared" si="91"/>
        <v>#NUM!</v>
      </c>
      <c r="BG130" s="22" t="e">
        <f t="shared" si="61"/>
        <v>#NUM!</v>
      </c>
      <c r="BH130" s="61" t="e">
        <f t="shared" si="62"/>
        <v>#NUM!</v>
      </c>
      <c r="BI130" s="61">
        <f ca="1">AVERAGE(OFFSET($BH$3,0,0,'Données projet'!$E$11+1,1))-AVERAGE(OFFSET($H$3,0,0,'Données projet'!$E$11+1,1))</f>
        <v>374.79806286316051</v>
      </c>
      <c r="BJ130" s="61">
        <f t="shared" si="92"/>
        <v>350.01856672839466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1.5125598466657209</v>
      </c>
      <c r="BR130" s="23">
        <f>EXP(-LN(2)/2)*BR129+(1-EXP(-LN(2)/2))/(LN(2)/2)*BL130*BO130*VLOOKUP('Données projet'!$B$11,Paramètres!$A$1:$I$89,3,0)*0.475*44/12</f>
        <v>2.7653174400627811E-14</v>
      </c>
      <c r="BS130" s="24">
        <f t="shared" si="63"/>
        <v>1.5125598466657486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4.9084615384615375</v>
      </c>
      <c r="BY130" s="13">
        <f>IF('Données projet'!$A$114&gt;35,BY129+BX130-CG129,IF(A130&lt;'Données projet'!$A$114,$BV$205^A130,IF(A130='Données projet'!$A$114,'Données projet'!$B$114,BY129+BX130-CG129)))</f>
        <v>239.98153846153895</v>
      </c>
      <c r="BZ130" s="14">
        <f>BY130*VLOOKUP('Données projet'!$B$12,Paramètres!$A$1:$I$89,3,0)*VLOOKUP('Données projet'!$B$12,Paramètres!$A$1:$I$89,5,0)</f>
        <v>112.31136000000022</v>
      </c>
      <c r="CA130" s="14">
        <f t="shared" si="93"/>
        <v>29.874898196104585</v>
      </c>
      <c r="CB130" s="22">
        <f t="shared" si="64"/>
        <v>247.64106635821585</v>
      </c>
      <c r="CC130" s="61">
        <f t="shared" si="65"/>
        <v>540.97439969154914</v>
      </c>
      <c r="CD130" s="61">
        <f ca="1">AVERAGE(OFFSET($CC$3,0,0,'Données projet'!$E$12+1,1))-AVERAGE(OFFSET($H$3,0,0,'Données projet'!$E$12+1,1))</f>
        <v>285.59863510278109</v>
      </c>
      <c r="CE130" s="61">
        <f t="shared" si="94"/>
        <v>190.4880882944471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5.4683368944097308E-14</v>
      </c>
      <c r="CV130" s="14">
        <f t="shared" si="95"/>
        <v>8.8129432816788268E-13</v>
      </c>
      <c r="CW130" s="22">
        <f t="shared" si="67"/>
        <v>1.6301611558033651E-12</v>
      </c>
      <c r="CX130" s="61">
        <f t="shared" si="68"/>
        <v>293.33333333333496</v>
      </c>
      <c r="CY130" s="61">
        <f ca="1">AVERAGE(OFFSET($CX$3,0,0,'Données projet'!$E$13+1,1))-AVERAGE(OFFSET($H$3,0,0,'Données projet'!$E$13+1,1))</f>
        <v>273.72618036666552</v>
      </c>
      <c r="CZ130" s="61">
        <f t="shared" si="96"/>
        <v>157.67999791700714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1.7053025658242404E-13</v>
      </c>
      <c r="DP130" s="18">
        <f>DO130*VLOOKUP('Données projet'!$B$14,Paramètres!$A$1:$I$89,3,0)*VLOOKUP('Données projet'!$B$14,Paramètres!$A$1:$I$89,5,0)</f>
        <v>1.1439169611549005E-13</v>
      </c>
      <c r="DQ130" s="14">
        <f t="shared" si="97"/>
        <v>1.6918016515029816E-12</v>
      </c>
      <c r="DR130" s="22">
        <f t="shared" si="70"/>
        <v>3.1457867471021712E-12</v>
      </c>
      <c r="DS130" s="61">
        <f t="shared" si="71"/>
        <v>293.33333333333644</v>
      </c>
      <c r="DT130" s="61">
        <f ca="1">AVERAGE(OFFSET($DS$3,0,0,'Données projet'!$E$14+1,1))-AVERAGE(OFFSET($H$3,0,0,'Données projet'!$E$14+1,1))</f>
        <v>312.06797204903796</v>
      </c>
      <c r="DU130" s="61">
        <f t="shared" si="98"/>
        <v>258.20189001775151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1.4210854715202004E-13</v>
      </c>
      <c r="EK130" s="18">
        <f>EJ130*VLOOKUP('Données projet'!$B$15,Paramètres!$A$1:$I$89,3,0)*VLOOKUP('Données projet'!$B$15,Paramètres!$A$1:$I$89,5,0)</f>
        <v>1.1527845344971866E-13</v>
      </c>
      <c r="EL130" s="14">
        <f t="shared" si="99"/>
        <v>1.7033846239409443E-12</v>
      </c>
      <c r="EM130" s="22">
        <f t="shared" si="73"/>
        <v>3.1675048597887374E-12</v>
      </c>
      <c r="EN130" s="61">
        <f t="shared" si="74"/>
        <v>293.3333333333365</v>
      </c>
      <c r="EO130" s="61">
        <f ca="1">AVERAGE(OFFSET($EN$3,0,0,'Données projet'!$E$15+1,1))-AVERAGE(OFFSET($H$3,0,0,'Données projet'!$E$15+1,1))</f>
        <v>222.15256609836689</v>
      </c>
      <c r="EP130" s="61">
        <f t="shared" si="100"/>
        <v>221.10360210521077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1.1368683772161603E-13</v>
      </c>
      <c r="FF130" s="18">
        <f>FE130*VLOOKUP('Données projet'!$B$16,Paramètres!$A$1:$I$89,3,0)*VLOOKUP('Données projet'!$B$16,Paramètres!$A$1:$I$89,5,0)</f>
        <v>8.8675733422860506E-14</v>
      </c>
      <c r="FG130" s="14">
        <f t="shared" si="101"/>
        <v>1.3509285393066301E-12</v>
      </c>
      <c r="FH130" s="22">
        <f t="shared" si="76"/>
        <v>2.5073107750038623E-12</v>
      </c>
      <c r="FI130" s="61">
        <f t="shared" si="77"/>
        <v>293.33333333333582</v>
      </c>
      <c r="FJ130" s="61">
        <f ca="1">AVERAGE(OFFSET($FI$3,0,0,'Données projet'!$E$16+1,1))-AVERAGE(OFFSET($H$3,0,0,'Données projet'!$E$16+1,1))</f>
        <v>292.57482726862594</v>
      </c>
      <c r="FK130" s="61">
        <f t="shared" si="102"/>
        <v>283.48738729114024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3.2</v>
      </c>
      <c r="FZ130" s="13">
        <f>IF('Données projet'!$A$244&gt;35,FZ129+FY130-GH129,IF(A130&lt;'Données projet'!$A$244,$FW$205^A130,IF(A130='Données projet'!$A$244,'Données projet'!$B$244,FZ129+FY130-GH129)))</f>
        <v>290.39999999999941</v>
      </c>
      <c r="GA130" s="18">
        <f>FZ130*VLOOKUP('Données projet'!$B$17,Paramètres!$A$1:$I$89,3,0)*VLOOKUP('Données projet'!$B$17,Paramètres!$A$1:$I$89,5,0)</f>
        <v>280.87487999999945</v>
      </c>
      <c r="GB130" s="14">
        <f t="shared" si="103"/>
        <v>67.151862592195727</v>
      </c>
      <c r="GC130" s="22">
        <f t="shared" si="79"/>
        <v>606.1465766814066</v>
      </c>
      <c r="GD130" s="61">
        <f t="shared" si="80"/>
        <v>899.47991001473997</v>
      </c>
      <c r="GE130" s="61">
        <f ca="1">AVERAGE(OFFSET($GD$3,0,0,'Données projet'!$E$17+1,1))-AVERAGE(OFFSET($H$3,0,0,'Données projet'!$E$17+1,1))</f>
        <v>455.50822833641354</v>
      </c>
      <c r="GF130" s="61">
        <f t="shared" si="104"/>
        <v>261.14722581688039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0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0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3.2</v>
      </c>
      <c r="GU130" s="13">
        <f>IF('Données projet'!$A$270&gt;35,GU129+GT130-HC129,IF(A130&lt;'Données projet'!$A$270,$GR$205^A130,IF(A130='Données projet'!$A$270,'Données projet'!$B$270,GU129+GT130-HC129)))</f>
        <v>290.39999999999941</v>
      </c>
      <c r="GV130" s="18">
        <f>GU130*VLOOKUP('Données projet'!$B$18,Paramètres!$A$1:$I$89,3,0)*VLOOKUP('Données projet'!$B$18,Paramètres!$A$1:$I$89,5,0)</f>
        <v>312.58655999999934</v>
      </c>
      <c r="GW130" s="14">
        <f t="shared" si="105"/>
        <v>73.808745345687839</v>
      </c>
      <c r="GX130" s="22">
        <f t="shared" si="82"/>
        <v>672.97182347707178</v>
      </c>
      <c r="GY130" s="61">
        <f t="shared" si="83"/>
        <v>966.30515681040515</v>
      </c>
      <c r="GZ130" s="61">
        <f ca="1">AVERAGE(OFFSET($GY$3,0,0,'Données projet'!$E$18+1,1))-AVERAGE(OFFSET($H$3,0,0,'Données projet'!$E$18+1,1))</f>
        <v>502.07782026233912</v>
      </c>
      <c r="HA130" s="61">
        <f t="shared" si="106"/>
        <v>285.83623046025156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0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0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265.64927999999946</v>
      </c>
      <c r="P131" s="14">
        <f t="shared" si="87"/>
        <v>63.925065540346907</v>
      </c>
      <c r="Q131" s="22">
        <f t="shared" ref="Q131:Q153" si="108">(O131+P131)*0.475*44/12</f>
        <v>574.00865181610322</v>
      </c>
      <c r="R131" s="61">
        <f t="shared" ref="R131:R194" si="109">Q131+(I131+J131)*44/12</f>
        <v>867.3419851494366</v>
      </c>
      <c r="S131" s="61">
        <f ca="1">AVERAGE(OFFSET($R$3,0,0,'Données projet'!$E$9+1,1))-AVERAGE(OFFSET($H$3,0,0,'Données projet'!$E$9+1,1))</f>
        <v>428.8489304403459</v>
      </c>
      <c r="T131" s="61">
        <f t="shared" si="88"/>
        <v>247.01165577562966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1">
        <f t="shared" si="59"/>
        <v>934.9749355519632</v>
      </c>
      <c r="AN131" s="61">
        <f ca="1">AVERAGE(OFFSET($AM$3,0,0,'Données projet'!$E$10+1,1))-AVERAGE(OFFSET($H$3,0,0,'Données projet'!$E$10+1,1))</f>
        <v>475.47920969424894</v>
      </c>
      <c r="AO131" s="61">
        <f t="shared" si="90"/>
        <v>271.73544012419364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-3.4106051316484809E-13</v>
      </c>
      <c r="BE131" s="14">
        <f>BD131*VLOOKUP('Données projet'!$B$11,Paramètres!$A$1:$I$89,3,0)*VLOOKUP('Données projet'!$B$11,Paramètres!$A$1:$I$89,5,0)</f>
        <v>-1.9065282685915009E-13</v>
      </c>
      <c r="BF131" s="14" t="e">
        <f t="shared" si="91"/>
        <v>#NUM!</v>
      </c>
      <c r="BG131" s="22" t="e">
        <f t="shared" si="61"/>
        <v>#NUM!</v>
      </c>
      <c r="BH131" s="61" t="e">
        <f t="shared" si="62"/>
        <v>#NUM!</v>
      </c>
      <c r="BI131" s="61">
        <f ca="1">AVERAGE(OFFSET($BH$3,0,0,'Données projet'!$E$11+1,1))-AVERAGE(OFFSET($H$3,0,0,'Données projet'!$E$11+1,1))</f>
        <v>374.79806286316051</v>
      </c>
      <c r="BJ131" s="61">
        <f t="shared" si="92"/>
        <v>350.01856672839466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1.4711988181165814</v>
      </c>
      <c r="BR131" s="23">
        <f>EXP(-LN(2)/2)*BR130+(1-EXP(-LN(2)/2))/(LN(2)/2)*BL131*BO131*VLOOKUP('Données projet'!$B$11,Paramètres!$A$1:$I$89,3,0)*0.475*44/12</f>
        <v>1.9553747140018169E-14</v>
      </c>
      <c r="BS131" s="24">
        <f t="shared" si="63"/>
        <v>1.4711988181166009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4.9084615384615375</v>
      </c>
      <c r="BY131" s="13">
        <f>IF('Données projet'!$A$114&gt;35,BY130+BX131-CG130,IF(A131&lt;'Données projet'!$A$114,$BV$205^A131,IF(A131='Données projet'!$A$114,'Données projet'!$B$114,BY130+BX131-CG130)))</f>
        <v>244.8900000000005</v>
      </c>
      <c r="BZ131" s="14">
        <f>BY131*VLOOKUP('Données projet'!$B$12,Paramètres!$A$1:$I$89,3,0)*VLOOKUP('Données projet'!$B$12,Paramètres!$A$1:$I$89,5,0)</f>
        <v>114.60852000000024</v>
      </c>
      <c r="CA131" s="14">
        <f t="shared" si="93"/>
        <v>30.414180672775675</v>
      </c>
      <c r="CB131" s="22">
        <f t="shared" si="64"/>
        <v>252.58120367175138</v>
      </c>
      <c r="CC131" s="61">
        <f t="shared" si="65"/>
        <v>545.91453700508464</v>
      </c>
      <c r="CD131" s="61">
        <f ca="1">AVERAGE(OFFSET($CC$3,0,0,'Données projet'!$E$12+1,1))-AVERAGE(OFFSET($H$3,0,0,'Données projet'!$E$12+1,1))</f>
        <v>285.59863510278109</v>
      </c>
      <c r="CE131" s="61">
        <f t="shared" si="94"/>
        <v>190.4880882944471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5.4683368944097308E-14</v>
      </c>
      <c r="CV131" s="14">
        <f t="shared" si="95"/>
        <v>8.8129432816788268E-13</v>
      </c>
      <c r="CW131" s="22">
        <f t="shared" si="67"/>
        <v>1.6301611558033651E-12</v>
      </c>
      <c r="CX131" s="61">
        <f t="shared" si="68"/>
        <v>293.33333333333496</v>
      </c>
      <c r="CY131" s="61">
        <f ca="1">AVERAGE(OFFSET($CX$3,0,0,'Données projet'!$E$13+1,1))-AVERAGE(OFFSET($H$3,0,0,'Données projet'!$E$13+1,1))</f>
        <v>273.72618036666552</v>
      </c>
      <c r="CZ131" s="61">
        <f t="shared" si="96"/>
        <v>157.67999791700714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1.7053025658242404E-13</v>
      </c>
      <c r="DP131" s="18">
        <f>DO131*VLOOKUP('Données projet'!$B$14,Paramètres!$A$1:$I$89,3,0)*VLOOKUP('Données projet'!$B$14,Paramètres!$A$1:$I$89,5,0)</f>
        <v>1.1439169611549005E-13</v>
      </c>
      <c r="DQ131" s="14">
        <f t="shared" si="97"/>
        <v>1.6918016515029816E-12</v>
      </c>
      <c r="DR131" s="22">
        <f t="shared" si="70"/>
        <v>3.1457867471021712E-12</v>
      </c>
      <c r="DS131" s="61">
        <f t="shared" si="71"/>
        <v>293.33333333333644</v>
      </c>
      <c r="DT131" s="61">
        <f ca="1">AVERAGE(OFFSET($DS$3,0,0,'Données projet'!$E$14+1,1))-AVERAGE(OFFSET($H$3,0,0,'Données projet'!$E$14+1,1))</f>
        <v>312.06797204903796</v>
      </c>
      <c r="DU131" s="61">
        <f t="shared" si="98"/>
        <v>258.20189001775151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1.4210854715202004E-13</v>
      </c>
      <c r="EK131" s="18">
        <f>EJ131*VLOOKUP('Données projet'!$B$15,Paramètres!$A$1:$I$89,3,0)*VLOOKUP('Données projet'!$B$15,Paramètres!$A$1:$I$89,5,0)</f>
        <v>1.1527845344971866E-13</v>
      </c>
      <c r="EL131" s="14">
        <f t="shared" si="99"/>
        <v>1.7033846239409443E-12</v>
      </c>
      <c r="EM131" s="22">
        <f t="shared" si="73"/>
        <v>3.1675048597887374E-12</v>
      </c>
      <c r="EN131" s="61">
        <f t="shared" si="74"/>
        <v>293.3333333333365</v>
      </c>
      <c r="EO131" s="61">
        <f ca="1">AVERAGE(OFFSET($EN$3,0,0,'Données projet'!$E$15+1,1))-AVERAGE(OFFSET($H$3,0,0,'Données projet'!$E$15+1,1))</f>
        <v>222.15256609836689</v>
      </c>
      <c r="EP131" s="61">
        <f t="shared" si="100"/>
        <v>221.10360210521077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1.1368683772161603E-13</v>
      </c>
      <c r="FF131" s="18">
        <f>FE131*VLOOKUP('Données projet'!$B$16,Paramètres!$A$1:$I$89,3,0)*VLOOKUP('Données projet'!$B$16,Paramètres!$A$1:$I$89,5,0)</f>
        <v>8.8675733422860506E-14</v>
      </c>
      <c r="FG131" s="14">
        <f t="shared" si="101"/>
        <v>1.3509285393066301E-12</v>
      </c>
      <c r="FH131" s="22">
        <f t="shared" si="76"/>
        <v>2.5073107750038623E-12</v>
      </c>
      <c r="FI131" s="61">
        <f t="shared" si="77"/>
        <v>293.33333333333582</v>
      </c>
      <c r="FJ131" s="61">
        <f ca="1">AVERAGE(OFFSET($FI$3,0,0,'Données projet'!$E$16+1,1))-AVERAGE(OFFSET($H$3,0,0,'Données projet'!$E$16+1,1))</f>
        <v>292.57482726862594</v>
      </c>
      <c r="FK131" s="61">
        <f t="shared" si="102"/>
        <v>283.48738729114024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3.2</v>
      </c>
      <c r="FZ131" s="13">
        <f>IF('Données projet'!$A$244&gt;35,FZ130+FY131-GH130,IF(A131&lt;'Données projet'!$A$244,$FW$205^A131,IF(A131='Données projet'!$A$244,'Données projet'!$B$244,FZ130+FY131-GH130)))</f>
        <v>293.5999999999994</v>
      </c>
      <c r="GA131" s="18">
        <f>FZ131*VLOOKUP('Données projet'!$B$17,Paramètres!$A$1:$I$89,3,0)*VLOOKUP('Données projet'!$B$17,Paramètres!$A$1:$I$89,5,0)</f>
        <v>283.96991999999943</v>
      </c>
      <c r="GB131" s="14">
        <f t="shared" si="103"/>
        <v>67.805278435922148</v>
      </c>
      <c r="GC131" s="22">
        <f t="shared" si="79"/>
        <v>612.67513727589676</v>
      </c>
      <c r="GD131" s="61">
        <f t="shared" si="80"/>
        <v>906.00847060923002</v>
      </c>
      <c r="GE131" s="61">
        <f ca="1">AVERAGE(OFFSET($GD$3,0,0,'Données projet'!$E$17+1,1))-AVERAGE(OFFSET($H$3,0,0,'Données projet'!$E$17+1,1))</f>
        <v>455.50822833641354</v>
      </c>
      <c r="GF131" s="61">
        <f t="shared" si="104"/>
        <v>261.14722581688039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0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0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3.2</v>
      </c>
      <c r="GU131" s="13">
        <f>IF('Données projet'!$A$270&gt;35,GU130+GT131-HC130,IF(A131&lt;'Données projet'!$A$270,$GR$205^A131,IF(A131='Données projet'!$A$270,'Données projet'!$B$270,GU130+GT131-HC130)))</f>
        <v>293.5999999999994</v>
      </c>
      <c r="GV131" s="18">
        <f>GU131*VLOOKUP('Données projet'!$B$18,Paramètres!$A$1:$I$89,3,0)*VLOOKUP('Données projet'!$B$18,Paramètres!$A$1:$I$89,5,0)</f>
        <v>316.03103999999934</v>
      </c>
      <c r="GW131" s="14">
        <f t="shared" si="105"/>
        <v>74.526935456174002</v>
      </c>
      <c r="GX131" s="22">
        <f t="shared" si="82"/>
        <v>680.22180725283522</v>
      </c>
      <c r="GY131" s="61">
        <f t="shared" si="83"/>
        <v>973.55514058616859</v>
      </c>
      <c r="GZ131" s="61">
        <f ca="1">AVERAGE(OFFSET($GY$3,0,0,'Données projet'!$E$18+1,1))-AVERAGE(OFFSET($H$3,0,0,'Données projet'!$E$18+1,1))</f>
        <v>502.07782026233912</v>
      </c>
      <c r="HA131" s="61">
        <f t="shared" si="106"/>
        <v>285.83623046025156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0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0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268.54463999999945</v>
      </c>
      <c r="P132" s="14">
        <f t="shared" si="87"/>
        <v>64.540308076050593</v>
      </c>
      <c r="Q132" s="22">
        <f t="shared" si="108"/>
        <v>580.12295123245383</v>
      </c>
      <c r="R132" s="61">
        <f t="shared" si="109"/>
        <v>873.4562845657872</v>
      </c>
      <c r="S132" s="61">
        <f ca="1">AVERAGE(OFFSET($R$3,0,0,'Données projet'!$E$9+1,1))-AVERAGE(OFFSET($H$3,0,0,'Données projet'!$E$9+1,1))</f>
        <v>428.8489304403459</v>
      </c>
      <c r="T132" s="61">
        <f t="shared" si="88"/>
        <v>247.01165577562966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1">
        <f t="shared" ref="AM132:AM195" si="113">AL132+(AD132+AE132)*44/12</f>
        <v>941.81134551289711</v>
      </c>
      <c r="AN132" s="61">
        <f ca="1">AVERAGE(OFFSET($AM$3,0,0,'Données projet'!$E$10+1,1))-AVERAGE(OFFSET($H$3,0,0,'Données projet'!$E$10+1,1))</f>
        <v>475.47920969424894</v>
      </c>
      <c r="AO132" s="61">
        <f t="shared" si="90"/>
        <v>271.73544012419364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-3.4106051316484809E-13</v>
      </c>
      <c r="BE132" s="14">
        <f>BD132*VLOOKUP('Données projet'!$B$11,Paramètres!$A$1:$I$89,3,0)*VLOOKUP('Données projet'!$B$11,Paramètres!$A$1:$I$89,5,0)</f>
        <v>-1.9065282685915009E-13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1" t="e">
        <f t="shared" ref="BH132:BH195" si="116">BG132+(AY132+AZ132)*44/12</f>
        <v>#NUM!</v>
      </c>
      <c r="BI132" s="61">
        <f ca="1">AVERAGE(OFFSET($BH$3,0,0,'Données projet'!$E$11+1,1))-AVERAGE(OFFSET($H$3,0,0,'Données projet'!$E$11+1,1))</f>
        <v>374.79806286316051</v>
      </c>
      <c r="BJ132" s="61">
        <f t="shared" si="92"/>
        <v>350.01856672839466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1.4309688090682</v>
      </c>
      <c r="BR132" s="23">
        <f>EXP(-LN(2)/2)*BR131+(1-EXP(-LN(2)/2))/(LN(2)/2)*BL132*BO132*VLOOKUP('Données projet'!$B$11,Paramètres!$A$1:$I$89,3,0)*0.475*44/12</f>
        <v>1.3826587200313908E-14</v>
      </c>
      <c r="BS132" s="24">
        <f t="shared" ref="BS132:BS153" si="117">SUM(BP132:BR132)</f>
        <v>1.4309688090682138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4.9084615384615375</v>
      </c>
      <c r="BY132" s="13">
        <f>IF('Données projet'!$A$114&gt;35,BY131+BX132-CG131,IF(A132&lt;'Données projet'!$A$114,$BV$205^A132,IF(A132='Données projet'!$A$114,'Données projet'!$B$114,BY131+BX132-CG131)))</f>
        <v>249.79846153846205</v>
      </c>
      <c r="BZ132" s="14">
        <f>BY132*VLOOKUP('Données projet'!$B$12,Paramètres!$A$1:$I$89,3,0)*VLOOKUP('Données projet'!$B$12,Paramètres!$A$1:$I$89,5,0)</f>
        <v>116.90568000000023</v>
      </c>
      <c r="CA132" s="14">
        <f t="shared" si="93"/>
        <v>30.952206344593453</v>
      </c>
      <c r="CB132" s="22">
        <f t="shared" ref="CB132:CB153" si="118">(BZ132+CA132)*0.475*44/12</f>
        <v>257.51915205016729</v>
      </c>
      <c r="CC132" s="61">
        <f t="shared" ref="CC132:CC195" si="119">CB132+(BT132+BU132)*44/12</f>
        <v>550.85248538350061</v>
      </c>
      <c r="CD132" s="61">
        <f ca="1">AVERAGE(OFFSET($CC$3,0,0,'Données projet'!$E$12+1,1))-AVERAGE(OFFSET($H$3,0,0,'Données projet'!$E$12+1,1))</f>
        <v>285.59863510278109</v>
      </c>
      <c r="CE132" s="61">
        <f t="shared" si="94"/>
        <v>190.4880882944471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5.4683368944097308E-14</v>
      </c>
      <c r="CV132" s="14">
        <f t="shared" si="95"/>
        <v>8.8129432816788268E-13</v>
      </c>
      <c r="CW132" s="22">
        <f t="shared" ref="CW132:CW153" si="121">(CU132+CV132)*0.475*44/12</f>
        <v>1.6301611558033651E-12</v>
      </c>
      <c r="CX132" s="61">
        <f t="shared" ref="CX132:CX195" si="122">CW132+(CO132+CP132)*44/12</f>
        <v>293.33333333333496</v>
      </c>
      <c r="CY132" s="61">
        <f ca="1">AVERAGE(OFFSET($CX$3,0,0,'Données projet'!$E$13+1,1))-AVERAGE(OFFSET($H$3,0,0,'Données projet'!$E$13+1,1))</f>
        <v>273.72618036666552</v>
      </c>
      <c r="CZ132" s="61">
        <f t="shared" si="96"/>
        <v>157.67999791700714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1.7053025658242404E-13</v>
      </c>
      <c r="DP132" s="18">
        <f>DO132*VLOOKUP('Données projet'!$B$14,Paramètres!$A$1:$I$89,3,0)*VLOOKUP('Données projet'!$B$14,Paramètres!$A$1:$I$89,5,0)</f>
        <v>1.1439169611549005E-13</v>
      </c>
      <c r="DQ132" s="14">
        <f t="shared" si="97"/>
        <v>1.6918016515029816E-12</v>
      </c>
      <c r="DR132" s="22">
        <f t="shared" ref="DR132:DR153" si="124">(DP132+DQ132)*0.475*44/12</f>
        <v>3.1457867471021712E-12</v>
      </c>
      <c r="DS132" s="61">
        <f t="shared" ref="DS132:DS195" si="125">DR132+(DJ132+DK132)*44/12</f>
        <v>293.33333333333644</v>
      </c>
      <c r="DT132" s="61">
        <f ca="1">AVERAGE(OFFSET($DS$3,0,0,'Données projet'!$E$14+1,1))-AVERAGE(OFFSET($H$3,0,0,'Données projet'!$E$14+1,1))</f>
        <v>312.06797204903796</v>
      </c>
      <c r="DU132" s="61">
        <f t="shared" si="98"/>
        <v>258.20189001775151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1.4210854715202004E-13</v>
      </c>
      <c r="EK132" s="18">
        <f>EJ132*VLOOKUP('Données projet'!$B$15,Paramètres!$A$1:$I$89,3,0)*VLOOKUP('Données projet'!$B$15,Paramètres!$A$1:$I$89,5,0)</f>
        <v>1.1527845344971866E-13</v>
      </c>
      <c r="EL132" s="14">
        <f t="shared" si="99"/>
        <v>1.7033846239409443E-12</v>
      </c>
      <c r="EM132" s="22">
        <f t="shared" ref="EM132:EM153" si="127">(EK132+EL132)*0.475*44/12</f>
        <v>3.1675048597887374E-12</v>
      </c>
      <c r="EN132" s="61">
        <f t="shared" ref="EN132:EN195" si="128">EM132+(EE132+EF132)*44/12</f>
        <v>293.3333333333365</v>
      </c>
      <c r="EO132" s="61">
        <f ca="1">AVERAGE(OFFSET($EN$3,0,0,'Données projet'!$E$15+1,1))-AVERAGE(OFFSET($H$3,0,0,'Données projet'!$E$15+1,1))</f>
        <v>222.15256609836689</v>
      </c>
      <c r="EP132" s="61">
        <f t="shared" si="100"/>
        <v>221.10360210521077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1.1368683772161603E-13</v>
      </c>
      <c r="FF132" s="18">
        <f>FE132*VLOOKUP('Données projet'!$B$16,Paramètres!$A$1:$I$89,3,0)*VLOOKUP('Données projet'!$B$16,Paramètres!$A$1:$I$89,5,0)</f>
        <v>8.8675733422860506E-14</v>
      </c>
      <c r="FG132" s="14">
        <f t="shared" si="101"/>
        <v>1.3509285393066301E-12</v>
      </c>
      <c r="FH132" s="22">
        <f t="shared" ref="FH132:FH153" si="130">(FF132+FG132)*0.475*44/12</f>
        <v>2.5073107750038623E-12</v>
      </c>
      <c r="FI132" s="61">
        <f t="shared" ref="FI132:FI195" si="131">FH132+(EZ132+FA132)*44/12</f>
        <v>293.33333333333582</v>
      </c>
      <c r="FJ132" s="61">
        <f ca="1">AVERAGE(OFFSET($FI$3,0,0,'Données projet'!$E$16+1,1))-AVERAGE(OFFSET($H$3,0,0,'Données projet'!$E$16+1,1))</f>
        <v>292.57482726862594</v>
      </c>
      <c r="FK132" s="61">
        <f t="shared" si="102"/>
        <v>283.48738729114024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3.2</v>
      </c>
      <c r="FZ132" s="13">
        <f>IF('Données projet'!$A$244&gt;35,FZ131+FY132-GH131,IF(A132&lt;'Données projet'!$A$244,$FW$205^A132,IF(A132='Données projet'!$A$244,'Données projet'!$B$244,FZ131+FY132-GH131)))</f>
        <v>296.79999999999939</v>
      </c>
      <c r="GA132" s="18">
        <f>FZ132*VLOOKUP('Données projet'!$B$17,Paramètres!$A$1:$I$89,3,0)*VLOOKUP('Données projet'!$B$17,Paramètres!$A$1:$I$89,5,0)</f>
        <v>287.06495999999942</v>
      </c>
      <c r="GB132" s="14">
        <f t="shared" si="103"/>
        <v>68.457865822206202</v>
      </c>
      <c r="GC132" s="22">
        <f t="shared" ref="GC132:GC153" si="133">(GA132+GB132)*0.475*44/12</f>
        <v>619.20225497367471</v>
      </c>
      <c r="GD132" s="61">
        <f t="shared" ref="GD132:GD195" si="134">GC132+(FU132+FV132)*44/12</f>
        <v>912.53558830700808</v>
      </c>
      <c r="GE132" s="61">
        <f ca="1">AVERAGE(OFFSET($GD$3,0,0,'Données projet'!$E$17+1,1))-AVERAGE(OFFSET($H$3,0,0,'Données projet'!$E$17+1,1))</f>
        <v>455.50822833641354</v>
      </c>
      <c r="GF132" s="61">
        <f t="shared" si="104"/>
        <v>261.14722581688039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0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0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3.2</v>
      </c>
      <c r="GU132" s="13">
        <f>IF('Données projet'!$A$270&gt;35,GU131+GT132-HC131,IF(A132&lt;'Données projet'!$A$270,$GR$205^A132,IF(A132='Données projet'!$A$270,'Données projet'!$B$270,GU131+GT132-HC131)))</f>
        <v>296.79999999999939</v>
      </c>
      <c r="GV132" s="18">
        <f>GU132*VLOOKUP('Données projet'!$B$18,Paramètres!$A$1:$I$89,3,0)*VLOOKUP('Données projet'!$B$18,Paramètres!$A$1:$I$89,5,0)</f>
        <v>319.47551999999928</v>
      </c>
      <c r="GW132" s="14">
        <f t="shared" si="105"/>
        <v>75.244214982768113</v>
      </c>
      <c r="GX132" s="22">
        <f t="shared" ref="GX132:GX153" si="136">(GV132+GW132)*0.475*44/12</f>
        <v>687.47020509498645</v>
      </c>
      <c r="GY132" s="61">
        <f t="shared" ref="GY132:GY195" si="137">GX132+(GP132+GQ132)*44/12</f>
        <v>980.80353842831983</v>
      </c>
      <c r="GZ132" s="61">
        <f ca="1">AVERAGE(OFFSET($GY$3,0,0,'Données projet'!$E$18+1,1))-AVERAGE(OFFSET($H$3,0,0,'Données projet'!$E$18+1,1))</f>
        <v>502.07782026233912</v>
      </c>
      <c r="HA132" s="61">
        <f t="shared" si="106"/>
        <v>285.83623046025156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0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0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271.43999999999943</v>
      </c>
      <c r="P133" s="14">
        <f t="shared" ref="P133:P196" si="141">EXP(-1.0587+0.8836*LN(O133)+0.284)</f>
        <v>65.154778959151116</v>
      </c>
      <c r="Q133" s="22">
        <f t="shared" si="108"/>
        <v>586.23590668718714</v>
      </c>
      <c r="R133" s="61">
        <f t="shared" si="109"/>
        <v>879.56924002052051</v>
      </c>
      <c r="S133" s="61">
        <f ca="1">AVERAGE(OFFSET($R$3,0,0,'Données projet'!$E$9+1,1))-AVERAGE(OFFSET($H$3,0,0,'Données projet'!$E$9+1,1))</f>
        <v>428.8489304403459</v>
      </c>
      <c r="T133" s="61">
        <f t="shared" ref="T133:T196" si="142">$T$3</f>
        <v>247.01165577562966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1">
        <f t="shared" si="113"/>
        <v>948.6462691544782</v>
      </c>
      <c r="AN133" s="61">
        <f ca="1">AVERAGE(OFFSET($AM$3,0,0,'Données projet'!$E$10+1,1))-AVERAGE(OFFSET($H$3,0,0,'Données projet'!$E$10+1,1))</f>
        <v>475.47920969424894</v>
      </c>
      <c r="AO133" s="61">
        <f t="shared" ref="AO133:AO196" si="144">$AO$3</f>
        <v>271.73544012419364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-3.4106051316484809E-13</v>
      </c>
      <c r="BE133" s="14">
        <f>BD133*VLOOKUP('Données projet'!$B$11,Paramètres!$A$1:$I$89,3,0)*VLOOKUP('Données projet'!$B$11,Paramètres!$A$1:$I$89,5,0)</f>
        <v>-1.9065282685915009E-13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1" t="e">
        <f t="shared" si="116"/>
        <v>#NUM!</v>
      </c>
      <c r="BI133" s="61">
        <f ca="1">AVERAGE(OFFSET($BH$3,0,0,'Données projet'!$E$11+1,1))-AVERAGE(OFFSET($H$3,0,0,'Données projet'!$E$11+1,1))</f>
        <v>374.79806286316051</v>
      </c>
      <c r="BJ133" s="61">
        <f t="shared" ref="BJ133:BJ196" si="146">$BJ$3</f>
        <v>350.01856672839466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1.391838891732851</v>
      </c>
      <c r="BR133" s="23">
        <f>EXP(-LN(2)/2)*BR132+(1-EXP(-LN(2)/2))/(LN(2)/2)*BL133*BO133*VLOOKUP('Données projet'!$B$11,Paramètres!$A$1:$I$89,3,0)*0.475*44/12</f>
        <v>9.7768735700090861E-15</v>
      </c>
      <c r="BS133" s="24">
        <f t="shared" si="117"/>
        <v>1.3918388917328608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4.9084615384615375</v>
      </c>
      <c r="BY133" s="13">
        <f>IF('Données projet'!$A$114&gt;35,BY132+BX133-CG132,IF(A133&lt;'Données projet'!$A$114,$BV$205^A133,IF(A133='Données projet'!$A$114,'Données projet'!$B$114,BY132+BX133-CG132)))</f>
        <v>254.7069230769236</v>
      </c>
      <c r="BZ133" s="14">
        <f>BY133*VLOOKUP('Données projet'!$B$12,Paramètres!$A$1:$I$89,3,0)*VLOOKUP('Données projet'!$B$12,Paramètres!$A$1:$I$89,5,0)</f>
        <v>119.20284000000025</v>
      </c>
      <c r="CA133" s="14">
        <f t="shared" ref="CA133:CA153" si="147">EXP(-1.0587+0.8836*LN(BZ133)+0.284)</f>
        <v>31.489002754044058</v>
      </c>
      <c r="CB133" s="22">
        <f t="shared" si="118"/>
        <v>262.45495946329385</v>
      </c>
      <c r="CC133" s="61">
        <f t="shared" si="119"/>
        <v>555.78829279662716</v>
      </c>
      <c r="CD133" s="61">
        <f ca="1">AVERAGE(OFFSET($CC$3,0,0,'Données projet'!$E$12+1,1))-AVERAGE(OFFSET($H$3,0,0,'Données projet'!$E$12+1,1))</f>
        <v>285.59863510278109</v>
      </c>
      <c r="CE133" s="61">
        <f t="shared" ref="CE133:CE196" si="148">$CE$3</f>
        <v>190.4880882944471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5.4683368944097308E-14</v>
      </c>
      <c r="CV133" s="14">
        <f t="shared" ref="CV133:CV153" si="149">EXP(-1.0587+0.8836*LN(CU133)+0.284)</f>
        <v>8.8129432816788268E-13</v>
      </c>
      <c r="CW133" s="22">
        <f t="shared" si="121"/>
        <v>1.6301611558033651E-12</v>
      </c>
      <c r="CX133" s="61">
        <f t="shared" si="122"/>
        <v>293.33333333333496</v>
      </c>
      <c r="CY133" s="61">
        <f ca="1">AVERAGE(OFFSET($CX$3,0,0,'Données projet'!$E$13+1,1))-AVERAGE(OFFSET($H$3,0,0,'Données projet'!$E$13+1,1))</f>
        <v>273.72618036666552</v>
      </c>
      <c r="CZ133" s="61">
        <f t="shared" ref="CZ133:CZ196" si="150">$CZ$3</f>
        <v>157.67999791700714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1.7053025658242404E-13</v>
      </c>
      <c r="DP133" s="18">
        <f>DO133*VLOOKUP('Données projet'!$B$14,Paramètres!$A$1:$I$89,3,0)*VLOOKUP('Données projet'!$B$14,Paramètres!$A$1:$I$89,5,0)</f>
        <v>1.1439169611549005E-13</v>
      </c>
      <c r="DQ133" s="14">
        <f t="shared" ref="DQ133:DQ153" si="151">EXP(-1.0587+0.8836*LN(DP133)+0.284)</f>
        <v>1.6918016515029816E-12</v>
      </c>
      <c r="DR133" s="22">
        <f t="shared" si="124"/>
        <v>3.1457867471021712E-12</v>
      </c>
      <c r="DS133" s="61">
        <f t="shared" si="125"/>
        <v>293.33333333333644</v>
      </c>
      <c r="DT133" s="61">
        <f ca="1">AVERAGE(OFFSET($DS$3,0,0,'Données projet'!$E$14+1,1))-AVERAGE(OFFSET($H$3,0,0,'Données projet'!$E$14+1,1))</f>
        <v>312.06797204903796</v>
      </c>
      <c r="DU133" s="61">
        <f t="shared" ref="DU133:DU196" si="152">$DU$3</f>
        <v>258.20189001775151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1.4210854715202004E-13</v>
      </c>
      <c r="EK133" s="18">
        <f>EJ133*VLOOKUP('Données projet'!$B$15,Paramètres!$A$1:$I$89,3,0)*VLOOKUP('Données projet'!$B$15,Paramètres!$A$1:$I$89,5,0)</f>
        <v>1.1527845344971866E-13</v>
      </c>
      <c r="EL133" s="14">
        <f t="shared" ref="EL133:EL153" si="153">EXP(-1.0587+0.8836*LN(EK133)+0.284)</f>
        <v>1.7033846239409443E-12</v>
      </c>
      <c r="EM133" s="22">
        <f t="shared" si="127"/>
        <v>3.1675048597887374E-12</v>
      </c>
      <c r="EN133" s="61">
        <f t="shared" si="128"/>
        <v>293.3333333333365</v>
      </c>
      <c r="EO133" s="61">
        <f ca="1">AVERAGE(OFFSET($EN$3,0,0,'Données projet'!$E$15+1,1))-AVERAGE(OFFSET($H$3,0,0,'Données projet'!$E$15+1,1))</f>
        <v>222.15256609836689</v>
      </c>
      <c r="EP133" s="61">
        <f t="shared" ref="EP133:EP196" si="154">$EP$3</f>
        <v>221.10360210521077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1.1368683772161603E-13</v>
      </c>
      <c r="FF133" s="18">
        <f>FE133*VLOOKUP('Données projet'!$B$16,Paramètres!$A$1:$I$89,3,0)*VLOOKUP('Données projet'!$B$16,Paramètres!$A$1:$I$89,5,0)</f>
        <v>8.8675733422860506E-14</v>
      </c>
      <c r="FG133" s="14">
        <f t="shared" ref="FG133:FG153" si="155">EXP(-1.0587+0.8836*LN(FF133)+0.284)</f>
        <v>1.3509285393066301E-12</v>
      </c>
      <c r="FH133" s="22">
        <f t="shared" si="130"/>
        <v>2.5073107750038623E-12</v>
      </c>
      <c r="FI133" s="61">
        <f t="shared" si="131"/>
        <v>293.33333333333582</v>
      </c>
      <c r="FJ133" s="61">
        <f ca="1">AVERAGE(OFFSET($FI$3,0,0,'Données projet'!$E$16+1,1))-AVERAGE(OFFSET($H$3,0,0,'Données projet'!$E$16+1,1))</f>
        <v>292.57482726862594</v>
      </c>
      <c r="FK133" s="61">
        <f t="shared" ref="FK133:FK196" si="156">$FK$3</f>
        <v>283.48738729114024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>
        <f>VLOOKUP(A133,'Données projet'!$A$243:$I$263,2,0)</f>
        <v>300</v>
      </c>
      <c r="FX133" s="13">
        <f>VLOOKUP(A133,'Données projet'!$A$243:$I$263,9,0)</f>
        <v>3.2</v>
      </c>
      <c r="FY133" s="13">
        <f t="array" ref="FY133">INDEX(FX:FX,MIN(IF(ISNUMBER(FX133:FX329),ROW(FX133:FX329),"")))</f>
        <v>3.2</v>
      </c>
      <c r="FZ133" s="13">
        <f>IF('Données projet'!$A$244&gt;35,FZ132+FY133-GH132,IF(A133&lt;'Données projet'!$A$244,$FW$205^A133,IF(A133='Données projet'!$A$244,'Données projet'!$B$244,FZ132+FY133-GH132)))</f>
        <v>299.99999999999937</v>
      </c>
      <c r="GA133" s="18">
        <f>FZ133*VLOOKUP('Données projet'!$B$17,Paramètres!$A$1:$I$89,3,0)*VLOOKUP('Données projet'!$B$17,Paramètres!$A$1:$I$89,5,0)</f>
        <v>290.1599999999994</v>
      </c>
      <c r="GB133" s="14">
        <f t="shared" ref="GB133:GB153" si="157">EXP(-1.0587+0.8836*LN(GA133)+0.284)</f>
        <v>69.10963471703981</v>
      </c>
      <c r="GC133" s="22">
        <f t="shared" si="133"/>
        <v>625.72794713217661</v>
      </c>
      <c r="GD133" s="61">
        <f t="shared" si="134"/>
        <v>919.06128046550998</v>
      </c>
      <c r="GE133" s="61">
        <f ca="1">AVERAGE(OFFSET($GD$3,0,0,'Données projet'!$E$17+1,1))-AVERAGE(OFFSET($H$3,0,0,'Données projet'!$E$17+1,1))</f>
        <v>455.50822833641354</v>
      </c>
      <c r="GF133" s="61">
        <f t="shared" ref="GF133:GF196" si="158">$GF$3</f>
        <v>261.14722581688039</v>
      </c>
      <c r="GG133" s="16">
        <f>IF(ISNA(VLOOKUP(A133,'Données projet'!$A$243:$I$263,3,0)),0,VLOOKUP(A133,'Données projet'!$A$243:$I$263,3,0))</f>
        <v>11</v>
      </c>
      <c r="GH133" s="16">
        <f>IF(ISNA(VLOOKUP(A133,'Données projet'!$A$243:$I$263,4,0)),0,VLOOKUP(A133,'Données projet'!$A$243:$I$263,4,0))</f>
        <v>31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0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0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>
        <f>VLOOKUP(A133,'Données projet'!$A$269:$I$289,2,0)</f>
        <v>300</v>
      </c>
      <c r="GS133" s="13">
        <f>VLOOKUP(A133,'Données projet'!$A$269:$I$289,9,0)</f>
        <v>3.2</v>
      </c>
      <c r="GT133" s="13">
        <f t="array" ref="GT133">INDEX(GS:GS,MIN(IF(ISNUMBER(GS133:GS329),ROW(GS133:GS329),"")))</f>
        <v>3.2</v>
      </c>
      <c r="GU133" s="13">
        <f>IF('Données projet'!$A$270&gt;35,GU132+GT133-HC132,IF(A133&lt;'Données projet'!$A$270,$GR$205^A133,IF(A133='Données projet'!$A$270,'Données projet'!$B$270,GU132+GT133-HC132)))</f>
        <v>299.99999999999937</v>
      </c>
      <c r="GV133" s="18">
        <f>GU133*VLOOKUP('Données projet'!$B$18,Paramètres!$A$1:$I$89,3,0)*VLOOKUP('Données projet'!$B$18,Paramètres!$A$1:$I$89,5,0)</f>
        <v>322.91999999999928</v>
      </c>
      <c r="GW133" s="14">
        <f t="shared" ref="GW133:GW153" si="159">EXP(-1.0587+0.8836*LN(GV133)+0.284)</f>
        <v>75.960594879408617</v>
      </c>
      <c r="GX133" s="22">
        <f t="shared" si="136"/>
        <v>694.71703608163534</v>
      </c>
      <c r="GY133" s="61">
        <f t="shared" si="137"/>
        <v>988.0503694149686</v>
      </c>
      <c r="GZ133" s="61">
        <f ca="1">AVERAGE(OFFSET($GY$3,0,0,'Données projet'!$E$18+1,1))-AVERAGE(OFFSET($H$3,0,0,'Données projet'!$E$18+1,1))</f>
        <v>502.07782026233912</v>
      </c>
      <c r="HA133" s="61">
        <f t="shared" ref="HA133:HA196" si="160">$HA$3</f>
        <v>285.83623046025156</v>
      </c>
      <c r="HB133" s="16">
        <f>IF(ISNA(VLOOKUP(A133,'Données projet'!$A$269:$I$289,3,0)),0,VLOOKUP(A133,'Données projet'!$A$269:$I$289,3,0))</f>
        <v>11</v>
      </c>
      <c r="HC133" s="16">
        <f>IF(ISNA(VLOOKUP(A133,'Données projet'!$A$269:$I$289,4,0)),0,VLOOKUP(A133,'Données projet'!$A$269:$I$289,4,0))</f>
        <v>31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0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0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245.8341599999994</v>
      </c>
      <c r="P134" s="14">
        <f t="shared" si="141"/>
        <v>59.693018383856675</v>
      </c>
      <c r="Q134" s="22">
        <f t="shared" si="108"/>
        <v>532.12650235188266</v>
      </c>
      <c r="R134" s="61">
        <f t="shared" si="109"/>
        <v>825.45983568521592</v>
      </c>
      <c r="S134" s="61">
        <f ca="1">AVERAGE(OFFSET($R$3,0,0,'Données projet'!$E$9+1,1))-AVERAGE(OFFSET($H$3,0,0,'Données projet'!$E$9+1,1))</f>
        <v>428.8489304403459</v>
      </c>
      <c r="T134" s="61">
        <f t="shared" si="142"/>
        <v>247.01165577562966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1">
        <f t="shared" si="113"/>
        <v>888.14687913280409</v>
      </c>
      <c r="AN134" s="61">
        <f ca="1">AVERAGE(OFFSET($AM$3,0,0,'Données projet'!$E$10+1,1))-AVERAGE(OFFSET($H$3,0,0,'Données projet'!$E$10+1,1))</f>
        <v>475.47920969424894</v>
      </c>
      <c r="AO134" s="61">
        <f t="shared" si="144"/>
        <v>271.73544012419364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-3.4106051316484809E-13</v>
      </c>
      <c r="BE134" s="14">
        <f>BD134*VLOOKUP('Données projet'!$B$11,Paramètres!$A$1:$I$89,3,0)*VLOOKUP('Données projet'!$B$11,Paramètres!$A$1:$I$89,5,0)</f>
        <v>-1.9065282685915009E-13</v>
      </c>
      <c r="BF134" s="14" t="e">
        <f t="shared" si="145"/>
        <v>#NUM!</v>
      </c>
      <c r="BG134" s="22" t="e">
        <f t="shared" si="115"/>
        <v>#NUM!</v>
      </c>
      <c r="BH134" s="61" t="e">
        <f t="shared" si="116"/>
        <v>#NUM!</v>
      </c>
      <c r="BI134" s="61">
        <f ca="1">AVERAGE(OFFSET($BH$3,0,0,'Données projet'!$E$11+1,1))-AVERAGE(OFFSET($H$3,0,0,'Données projet'!$E$11+1,1))</f>
        <v>374.79806286316051</v>
      </c>
      <c r="BJ134" s="61">
        <f t="shared" si="146"/>
        <v>350.01856672839466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1.35377898404479</v>
      </c>
      <c r="BR134" s="23">
        <f>EXP(-LN(2)/2)*BR133+(1-EXP(-LN(2)/2))/(LN(2)/2)*BL134*BO134*VLOOKUP('Données projet'!$B$11,Paramètres!$A$1:$I$89,3,0)*0.475*44/12</f>
        <v>6.913293600156955E-15</v>
      </c>
      <c r="BS134" s="24">
        <f t="shared" si="117"/>
        <v>1.3537789840447969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>
        <f>VLOOKUP(A134,'Données projet'!$A$113:$I$133,2,0)</f>
        <v>259.61538461538458</v>
      </c>
      <c r="BW134" s="13">
        <f>VLOOKUP(A134,'Données projet'!$A$113:$I$133,9,0)</f>
        <v>4.9084615384615375</v>
      </c>
      <c r="BX134" s="13">
        <f t="array" ref="BX134">INDEX(BW:BW,MIN(IF(ISNUMBER(BW134:BW330),ROW(BW134:BW330),"")))</f>
        <v>4.9084615384615375</v>
      </c>
      <c r="BY134" s="13">
        <f>IF('Données projet'!$A$114&gt;35,BY133+BX134-CG133,IF(A134&lt;'Données projet'!$A$114,$BV$205^A134,IF(A134='Données projet'!$A$114,'Données projet'!$B$114,BY133+BX134-CG133)))</f>
        <v>259.61538461538515</v>
      </c>
      <c r="BZ134" s="14">
        <f>BY134*VLOOKUP('Données projet'!$B$12,Paramètres!$A$1:$I$89,3,0)*VLOOKUP('Données projet'!$B$12,Paramètres!$A$1:$I$89,5,0)</f>
        <v>121.50000000000026</v>
      </c>
      <c r="CA134" s="14">
        <f t="shared" si="147"/>
        <v>32.024596321339139</v>
      </c>
      <c r="CB134" s="22">
        <f t="shared" si="118"/>
        <v>267.38867192633279</v>
      </c>
      <c r="CC134" s="61">
        <f t="shared" si="119"/>
        <v>560.72200525966605</v>
      </c>
      <c r="CD134" s="61">
        <f ca="1">AVERAGE(OFFSET($CC$3,0,0,'Données projet'!$E$12+1,1))-AVERAGE(OFFSET($H$3,0,0,'Données projet'!$E$12+1,1))</f>
        <v>285.59863510278109</v>
      </c>
      <c r="CE134" s="61">
        <f t="shared" si="148"/>
        <v>190.4880882944471</v>
      </c>
      <c r="CF134" s="16">
        <f>IF(ISNA(VLOOKUP(A134,'Données projet'!$A$113:$I$133,3,0)),0,VLOOKUP(A134,'Données projet'!$A$113:$I$133,3,0))</f>
        <v>8</v>
      </c>
      <c r="CG134" s="16">
        <f>IF(ISNA(VLOOKUP(A134,'Données projet'!$A$113:$I$133,4,0)),0,VLOOKUP(A134,'Données projet'!$A$113:$I$133,4,0))</f>
        <v>259.61538461538458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5.4683368944097308E-14</v>
      </c>
      <c r="CV134" s="14">
        <f t="shared" si="149"/>
        <v>8.8129432816788268E-13</v>
      </c>
      <c r="CW134" s="22">
        <f t="shared" si="121"/>
        <v>1.6301611558033651E-12</v>
      </c>
      <c r="CX134" s="61">
        <f t="shared" si="122"/>
        <v>293.33333333333496</v>
      </c>
      <c r="CY134" s="61">
        <f ca="1">AVERAGE(OFFSET($CX$3,0,0,'Données projet'!$E$13+1,1))-AVERAGE(OFFSET($H$3,0,0,'Données projet'!$E$13+1,1))</f>
        <v>273.72618036666552</v>
      </c>
      <c r="CZ134" s="61">
        <f t="shared" si="150"/>
        <v>157.67999791700714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1.7053025658242404E-13</v>
      </c>
      <c r="DP134" s="18">
        <f>DO134*VLOOKUP('Données projet'!$B$14,Paramètres!$A$1:$I$89,3,0)*VLOOKUP('Données projet'!$B$14,Paramètres!$A$1:$I$89,5,0)</f>
        <v>1.1439169611549005E-13</v>
      </c>
      <c r="DQ134" s="14">
        <f t="shared" si="151"/>
        <v>1.6918016515029816E-12</v>
      </c>
      <c r="DR134" s="22">
        <f t="shared" si="124"/>
        <v>3.1457867471021712E-12</v>
      </c>
      <c r="DS134" s="61">
        <f t="shared" si="125"/>
        <v>293.33333333333644</v>
      </c>
      <c r="DT134" s="61">
        <f ca="1">AVERAGE(OFFSET($DS$3,0,0,'Données projet'!$E$14+1,1))-AVERAGE(OFFSET($H$3,0,0,'Données projet'!$E$14+1,1))</f>
        <v>312.06797204903796</v>
      </c>
      <c r="DU134" s="61">
        <f t="shared" si="152"/>
        <v>258.20189001775151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1.4210854715202004E-13</v>
      </c>
      <c r="EK134" s="18">
        <f>EJ134*VLOOKUP('Données projet'!$B$15,Paramètres!$A$1:$I$89,3,0)*VLOOKUP('Données projet'!$B$15,Paramètres!$A$1:$I$89,5,0)</f>
        <v>1.1527845344971866E-13</v>
      </c>
      <c r="EL134" s="14">
        <f t="shared" si="153"/>
        <v>1.7033846239409443E-12</v>
      </c>
      <c r="EM134" s="22">
        <f t="shared" si="127"/>
        <v>3.1675048597887374E-12</v>
      </c>
      <c r="EN134" s="61">
        <f t="shared" si="128"/>
        <v>293.3333333333365</v>
      </c>
      <c r="EO134" s="61">
        <f ca="1">AVERAGE(OFFSET($EN$3,0,0,'Données projet'!$E$15+1,1))-AVERAGE(OFFSET($H$3,0,0,'Données projet'!$E$15+1,1))</f>
        <v>222.15256609836689</v>
      </c>
      <c r="EP134" s="61">
        <f t="shared" si="154"/>
        <v>221.10360210521077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1.1368683772161603E-13</v>
      </c>
      <c r="FF134" s="18">
        <f>FE134*VLOOKUP('Données projet'!$B$16,Paramètres!$A$1:$I$89,3,0)*VLOOKUP('Données projet'!$B$16,Paramètres!$A$1:$I$89,5,0)</f>
        <v>8.8675733422860506E-14</v>
      </c>
      <c r="FG134" s="14">
        <f t="shared" si="155"/>
        <v>1.3509285393066301E-12</v>
      </c>
      <c r="FH134" s="22">
        <f t="shared" si="130"/>
        <v>2.5073107750038623E-12</v>
      </c>
      <c r="FI134" s="61">
        <f t="shared" si="131"/>
        <v>293.33333333333582</v>
      </c>
      <c r="FJ134" s="61">
        <f ca="1">AVERAGE(OFFSET($FI$3,0,0,'Données projet'!$E$16+1,1))-AVERAGE(OFFSET($H$3,0,0,'Données projet'!$E$16+1,1))</f>
        <v>292.57482726862594</v>
      </c>
      <c r="FK134" s="61">
        <f t="shared" si="156"/>
        <v>283.48738729114024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2.7</v>
      </c>
      <c r="FZ134" s="13">
        <f>IF('Données projet'!$A$244&gt;35,FZ133+FY134-GH133,IF(A134&lt;'Données projet'!$A$244,$FW$205^A134,IF(A134='Données projet'!$A$244,'Données projet'!$B$244,FZ133+FY134-GH133)))</f>
        <v>271.69999999999936</v>
      </c>
      <c r="GA134" s="18">
        <f>FZ134*VLOOKUP('Données projet'!$B$17,Paramètres!$A$1:$I$89,3,0)*VLOOKUP('Données projet'!$B$17,Paramètres!$A$1:$I$89,5,0)</f>
        <v>262.7882399999994</v>
      </c>
      <c r="GB134" s="14">
        <f t="shared" si="157"/>
        <v>63.316348571334714</v>
      </c>
      <c r="GC134" s="22">
        <f t="shared" si="133"/>
        <v>567.96549176174028</v>
      </c>
      <c r="GD134" s="61">
        <f t="shared" si="134"/>
        <v>861.29882509507365</v>
      </c>
      <c r="GE134" s="61">
        <f ca="1">AVERAGE(OFFSET($GD$3,0,0,'Données projet'!$E$17+1,1))-AVERAGE(OFFSET($H$3,0,0,'Données projet'!$E$17+1,1))</f>
        <v>455.50822833641354</v>
      </c>
      <c r="GF134" s="61">
        <f t="shared" si="158"/>
        <v>261.14722581688039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0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0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2.7</v>
      </c>
      <c r="GU134" s="13">
        <f>IF('Données projet'!$A$270&gt;35,GU133+GT134-HC133,IF(A134&lt;'Données projet'!$A$270,$GR$205^A134,IF(A134='Données projet'!$A$270,'Données projet'!$B$270,GU133+GT134-HC133)))</f>
        <v>271.69999999999936</v>
      </c>
      <c r="GV134" s="18">
        <f>GU134*VLOOKUP('Données projet'!$B$18,Paramètres!$A$1:$I$89,3,0)*VLOOKUP('Données projet'!$B$18,Paramètres!$A$1:$I$89,5,0)</f>
        <v>292.45787999999931</v>
      </c>
      <c r="GW134" s="14">
        <f t="shared" si="159"/>
        <v>69.59301004501954</v>
      </c>
      <c r="GX134" s="22">
        <f t="shared" si="136"/>
        <v>630.57196682840777</v>
      </c>
      <c r="GY134" s="61">
        <f t="shared" si="137"/>
        <v>923.90530016174102</v>
      </c>
      <c r="GZ134" s="61">
        <f ca="1">AVERAGE(OFFSET($GY$3,0,0,'Données projet'!$E$18+1,1))-AVERAGE(OFFSET($H$3,0,0,'Données projet'!$E$18+1,1))</f>
        <v>502.07782026233912</v>
      </c>
      <c r="HA134" s="61">
        <f t="shared" si="160"/>
        <v>285.83623046025156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0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0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248.2771199999994</v>
      </c>
      <c r="P135" s="14">
        <f t="shared" si="141"/>
        <v>60.216863677580257</v>
      </c>
      <c r="Q135" s="22">
        <f t="shared" si="108"/>
        <v>537.29368823845118</v>
      </c>
      <c r="R135" s="61">
        <f t="shared" si="109"/>
        <v>830.62702157178455</v>
      </c>
      <c r="S135" s="61">
        <f ca="1">AVERAGE(OFFSET($R$3,0,0,'Données projet'!$E$9+1,1))-AVERAGE(OFFSET($H$3,0,0,'Données projet'!$E$9+1,1))</f>
        <v>428.8489304403459</v>
      </c>
      <c r="T135" s="61">
        <f t="shared" si="142"/>
        <v>247.01165577562966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1">
        <f t="shared" si="113"/>
        <v>893.92421921427535</v>
      </c>
      <c r="AN135" s="61">
        <f ca="1">AVERAGE(OFFSET($AM$3,0,0,'Données projet'!$E$10+1,1))-AVERAGE(OFFSET($H$3,0,0,'Données projet'!$E$10+1,1))</f>
        <v>475.47920969424894</v>
      </c>
      <c r="AO135" s="61">
        <f t="shared" si="144"/>
        <v>271.73544012419364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-3.4106051316484809E-13</v>
      </c>
      <c r="BE135" s="14">
        <f>BD135*VLOOKUP('Données projet'!$B$11,Paramètres!$A$1:$I$89,3,0)*VLOOKUP('Données projet'!$B$11,Paramètres!$A$1:$I$89,5,0)</f>
        <v>-1.9065282685915009E-13</v>
      </c>
      <c r="BF135" s="14" t="e">
        <f t="shared" si="145"/>
        <v>#NUM!</v>
      </c>
      <c r="BG135" s="22" t="e">
        <f t="shared" si="115"/>
        <v>#NUM!</v>
      </c>
      <c r="BH135" s="61" t="e">
        <f t="shared" si="116"/>
        <v>#NUM!</v>
      </c>
      <c r="BI135" s="61">
        <f ca="1">AVERAGE(OFFSET($BH$3,0,0,'Données projet'!$E$11+1,1))-AVERAGE(OFFSET($H$3,0,0,'Données projet'!$E$11+1,1))</f>
        <v>374.79806286316051</v>
      </c>
      <c r="BJ135" s="61">
        <f t="shared" si="146"/>
        <v>350.01856672839466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1.3167598265339426</v>
      </c>
      <c r="BR135" s="23">
        <f>EXP(-LN(2)/2)*BR134+(1-EXP(-LN(2)/2))/(LN(2)/2)*BL135*BO135*VLOOKUP('Données projet'!$B$11,Paramètres!$A$1:$I$89,3,0)*0.475*44/12</f>
        <v>4.8884367850045438E-15</v>
      </c>
      <c r="BS135" s="24">
        <f t="shared" si="117"/>
        <v>1.3167598265339475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5.6843418860808015E-13</v>
      </c>
      <c r="BZ135" s="14">
        <f>BY135*VLOOKUP('Données projet'!$B$12,Paramètres!$A$1:$I$89,3,0)*VLOOKUP('Données projet'!$B$12,Paramètres!$A$1:$I$89,5,0)</f>
        <v>2.6602720026858149E-13</v>
      </c>
      <c r="CA135" s="14">
        <f t="shared" si="147"/>
        <v>3.5662905043956649E-12</v>
      </c>
      <c r="CB135" s="22">
        <f t="shared" si="118"/>
        <v>6.6746200022902298E-12</v>
      </c>
      <c r="CC135" s="61">
        <f t="shared" si="119"/>
        <v>293.33333333333997</v>
      </c>
      <c r="CD135" s="61">
        <f ca="1">AVERAGE(OFFSET($CC$3,0,0,'Données projet'!$E$12+1,1))-AVERAGE(OFFSET($H$3,0,0,'Données projet'!$E$12+1,1))</f>
        <v>285.59863510278109</v>
      </c>
      <c r="CE135" s="61">
        <f t="shared" si="148"/>
        <v>190.4880882944471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5.4683368944097308E-14</v>
      </c>
      <c r="CV135" s="14">
        <f t="shared" si="149"/>
        <v>8.8129432816788268E-13</v>
      </c>
      <c r="CW135" s="22">
        <f t="shared" si="121"/>
        <v>1.6301611558033651E-12</v>
      </c>
      <c r="CX135" s="61">
        <f t="shared" si="122"/>
        <v>293.33333333333496</v>
      </c>
      <c r="CY135" s="61">
        <f ca="1">AVERAGE(OFFSET($CX$3,0,0,'Données projet'!$E$13+1,1))-AVERAGE(OFFSET($H$3,0,0,'Données projet'!$E$13+1,1))</f>
        <v>273.72618036666552</v>
      </c>
      <c r="CZ135" s="61">
        <f t="shared" si="150"/>
        <v>157.67999791700714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1.7053025658242404E-13</v>
      </c>
      <c r="DP135" s="18">
        <f>DO135*VLOOKUP('Données projet'!$B$14,Paramètres!$A$1:$I$89,3,0)*VLOOKUP('Données projet'!$B$14,Paramètres!$A$1:$I$89,5,0)</f>
        <v>1.1439169611549005E-13</v>
      </c>
      <c r="DQ135" s="14">
        <f t="shared" si="151"/>
        <v>1.6918016515029816E-12</v>
      </c>
      <c r="DR135" s="22">
        <f t="shared" si="124"/>
        <v>3.1457867471021712E-12</v>
      </c>
      <c r="DS135" s="61">
        <f t="shared" si="125"/>
        <v>293.33333333333644</v>
      </c>
      <c r="DT135" s="61">
        <f ca="1">AVERAGE(OFFSET($DS$3,0,0,'Données projet'!$E$14+1,1))-AVERAGE(OFFSET($H$3,0,0,'Données projet'!$E$14+1,1))</f>
        <v>312.06797204903796</v>
      </c>
      <c r="DU135" s="61">
        <f t="shared" si="152"/>
        <v>258.20189001775151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1.4210854715202004E-13</v>
      </c>
      <c r="EK135" s="18">
        <f>EJ135*VLOOKUP('Données projet'!$B$15,Paramètres!$A$1:$I$89,3,0)*VLOOKUP('Données projet'!$B$15,Paramètres!$A$1:$I$89,5,0)</f>
        <v>1.1527845344971866E-13</v>
      </c>
      <c r="EL135" s="14">
        <f t="shared" si="153"/>
        <v>1.7033846239409443E-12</v>
      </c>
      <c r="EM135" s="22">
        <f t="shared" si="127"/>
        <v>3.1675048597887374E-12</v>
      </c>
      <c r="EN135" s="61">
        <f t="shared" si="128"/>
        <v>293.3333333333365</v>
      </c>
      <c r="EO135" s="61">
        <f ca="1">AVERAGE(OFFSET($EN$3,0,0,'Données projet'!$E$15+1,1))-AVERAGE(OFFSET($H$3,0,0,'Données projet'!$E$15+1,1))</f>
        <v>222.15256609836689</v>
      </c>
      <c r="EP135" s="61">
        <f t="shared" si="154"/>
        <v>221.10360210521077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1.1368683772161603E-13</v>
      </c>
      <c r="FF135" s="18">
        <f>FE135*VLOOKUP('Données projet'!$B$16,Paramètres!$A$1:$I$89,3,0)*VLOOKUP('Données projet'!$B$16,Paramètres!$A$1:$I$89,5,0)</f>
        <v>8.8675733422860506E-14</v>
      </c>
      <c r="FG135" s="14">
        <f t="shared" si="155"/>
        <v>1.3509285393066301E-12</v>
      </c>
      <c r="FH135" s="22">
        <f t="shared" si="130"/>
        <v>2.5073107750038623E-12</v>
      </c>
      <c r="FI135" s="61">
        <f t="shared" si="131"/>
        <v>293.33333333333582</v>
      </c>
      <c r="FJ135" s="61">
        <f ca="1">AVERAGE(OFFSET($FI$3,0,0,'Données projet'!$E$16+1,1))-AVERAGE(OFFSET($H$3,0,0,'Données projet'!$E$16+1,1))</f>
        <v>292.57482726862594</v>
      </c>
      <c r="FK135" s="61">
        <f t="shared" si="156"/>
        <v>283.48738729114024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2.7</v>
      </c>
      <c r="FZ135" s="13">
        <f>IF('Données projet'!$A$244&gt;35,FZ134+FY135-GH134,IF(A135&lt;'Données projet'!$A$244,$FW$205^A135,IF(A135='Données projet'!$A$244,'Données projet'!$B$244,FZ134+FY135-GH134)))</f>
        <v>274.39999999999935</v>
      </c>
      <c r="GA135" s="18">
        <f>FZ135*VLOOKUP('Données projet'!$B$17,Paramètres!$A$1:$I$89,3,0)*VLOOKUP('Données projet'!$B$17,Paramètres!$A$1:$I$89,5,0)</f>
        <v>265.39967999999936</v>
      </c>
      <c r="GB135" s="14">
        <f t="shared" si="157"/>
        <v>63.87199095821434</v>
      </c>
      <c r="GC135" s="22">
        <f t="shared" si="133"/>
        <v>573.48149358555554</v>
      </c>
      <c r="GD135" s="61">
        <f t="shared" si="134"/>
        <v>866.81482691888891</v>
      </c>
      <c r="GE135" s="61">
        <f ca="1">AVERAGE(OFFSET($GD$3,0,0,'Données projet'!$E$17+1,1))-AVERAGE(OFFSET($H$3,0,0,'Données projet'!$E$17+1,1))</f>
        <v>455.50822833641354</v>
      </c>
      <c r="GF135" s="61">
        <f t="shared" si="158"/>
        <v>261.14722581688039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0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0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2.7</v>
      </c>
      <c r="GU135" s="13">
        <f>IF('Données projet'!$A$270&gt;35,GU134+GT135-HC134,IF(A135&lt;'Données projet'!$A$270,$GR$205^A135,IF(A135='Données projet'!$A$270,'Données projet'!$B$270,GU134+GT135-HC134)))</f>
        <v>274.39999999999935</v>
      </c>
      <c r="GV135" s="18">
        <f>GU135*VLOOKUP('Données projet'!$B$18,Paramètres!$A$1:$I$89,3,0)*VLOOKUP('Données projet'!$B$18,Paramètres!$A$1:$I$89,5,0)</f>
        <v>295.36415999999929</v>
      </c>
      <c r="GW135" s="14">
        <f t="shared" si="159"/>
        <v>70.203734243177976</v>
      </c>
      <c r="GX135" s="22">
        <f t="shared" si="136"/>
        <v>636.69741580686696</v>
      </c>
      <c r="GY135" s="61">
        <f t="shared" si="137"/>
        <v>930.03074914020021</v>
      </c>
      <c r="GZ135" s="61">
        <f ca="1">AVERAGE(OFFSET($GY$3,0,0,'Données projet'!$E$18+1,1))-AVERAGE(OFFSET($H$3,0,0,'Données projet'!$E$18+1,1))</f>
        <v>502.07782026233912</v>
      </c>
      <c r="HA135" s="61">
        <f t="shared" si="160"/>
        <v>285.83623046025156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0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0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250.72007999999943</v>
      </c>
      <c r="P136" s="14">
        <f t="shared" si="141"/>
        <v>60.740109326032709</v>
      </c>
      <c r="Q136" s="22">
        <f t="shared" si="108"/>
        <v>542.45982974283925</v>
      </c>
      <c r="R136" s="61">
        <f t="shared" si="109"/>
        <v>835.7931630761725</v>
      </c>
      <c r="S136" s="61">
        <f ca="1">AVERAGE(OFFSET($R$3,0,0,'Données projet'!$E$9+1,1))-AVERAGE(OFFSET($H$3,0,0,'Données projet'!$E$9+1,1))</f>
        <v>428.8489304403459</v>
      </c>
      <c r="T136" s="61">
        <f t="shared" si="142"/>
        <v>247.01165577562966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1">
        <f t="shared" si="113"/>
        <v>899.70040428847096</v>
      </c>
      <c r="AN136" s="61">
        <f ca="1">AVERAGE(OFFSET($AM$3,0,0,'Données projet'!$E$10+1,1))-AVERAGE(OFFSET($H$3,0,0,'Données projet'!$E$10+1,1))</f>
        <v>475.47920969424894</v>
      </c>
      <c r="AO136" s="61">
        <f t="shared" si="144"/>
        <v>271.73544012419364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-3.4106051316484809E-13</v>
      </c>
      <c r="BE136" s="14">
        <f>BD136*VLOOKUP('Données projet'!$B$11,Paramètres!$A$1:$I$89,3,0)*VLOOKUP('Données projet'!$B$11,Paramètres!$A$1:$I$89,5,0)</f>
        <v>-1.9065282685915009E-13</v>
      </c>
      <c r="BF136" s="14" t="e">
        <f t="shared" si="145"/>
        <v>#NUM!</v>
      </c>
      <c r="BG136" s="22" t="e">
        <f t="shared" si="115"/>
        <v>#NUM!</v>
      </c>
      <c r="BH136" s="61" t="e">
        <f t="shared" si="116"/>
        <v>#NUM!</v>
      </c>
      <c r="BI136" s="61">
        <f ca="1">AVERAGE(OFFSET($BH$3,0,0,'Données projet'!$E$11+1,1))-AVERAGE(OFFSET($H$3,0,0,'Données projet'!$E$11+1,1))</f>
        <v>374.79806286316051</v>
      </c>
      <c r="BJ136" s="61">
        <f t="shared" si="146"/>
        <v>350.01856672839466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1.2807529598319822</v>
      </c>
      <c r="BR136" s="23">
        <f>EXP(-LN(2)/2)*BR135+(1-EXP(-LN(2)/2))/(LN(2)/2)*BL136*BO136*VLOOKUP('Données projet'!$B$11,Paramètres!$A$1:$I$89,3,0)*0.475*44/12</f>
        <v>3.4566468000784779E-15</v>
      </c>
      <c r="BS136" s="24">
        <f t="shared" si="117"/>
        <v>1.2807529598319858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5.6843418860808015E-13</v>
      </c>
      <c r="BZ136" s="14">
        <f>BY136*VLOOKUP('Données projet'!$B$12,Paramètres!$A$1:$I$89,3,0)*VLOOKUP('Données projet'!$B$12,Paramètres!$A$1:$I$89,5,0)</f>
        <v>2.6602720026858149E-13</v>
      </c>
      <c r="CA136" s="14">
        <f t="shared" si="147"/>
        <v>3.5662905043956649E-12</v>
      </c>
      <c r="CB136" s="22">
        <f t="shared" si="118"/>
        <v>6.6746200022902298E-12</v>
      </c>
      <c r="CC136" s="61">
        <f t="shared" si="119"/>
        <v>293.33333333333997</v>
      </c>
      <c r="CD136" s="61">
        <f ca="1">AVERAGE(OFFSET($CC$3,0,0,'Données projet'!$E$12+1,1))-AVERAGE(OFFSET($H$3,0,0,'Données projet'!$E$12+1,1))</f>
        <v>285.59863510278109</v>
      </c>
      <c r="CE136" s="61">
        <f t="shared" si="148"/>
        <v>190.4880882944471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5.4683368944097308E-14</v>
      </c>
      <c r="CV136" s="14">
        <f t="shared" si="149"/>
        <v>8.8129432816788268E-13</v>
      </c>
      <c r="CW136" s="22">
        <f t="shared" si="121"/>
        <v>1.6301611558033651E-12</v>
      </c>
      <c r="CX136" s="61">
        <f t="shared" si="122"/>
        <v>293.33333333333496</v>
      </c>
      <c r="CY136" s="61">
        <f ca="1">AVERAGE(OFFSET($CX$3,0,0,'Données projet'!$E$13+1,1))-AVERAGE(OFFSET($H$3,0,0,'Données projet'!$E$13+1,1))</f>
        <v>273.72618036666552</v>
      </c>
      <c r="CZ136" s="61">
        <f t="shared" si="150"/>
        <v>157.67999791700714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1.7053025658242404E-13</v>
      </c>
      <c r="DP136" s="18">
        <f>DO136*VLOOKUP('Données projet'!$B$14,Paramètres!$A$1:$I$89,3,0)*VLOOKUP('Données projet'!$B$14,Paramètres!$A$1:$I$89,5,0)</f>
        <v>1.1439169611549005E-13</v>
      </c>
      <c r="DQ136" s="14">
        <f t="shared" si="151"/>
        <v>1.6918016515029816E-12</v>
      </c>
      <c r="DR136" s="22">
        <f t="shared" si="124"/>
        <v>3.1457867471021712E-12</v>
      </c>
      <c r="DS136" s="61">
        <f t="shared" si="125"/>
        <v>293.33333333333644</v>
      </c>
      <c r="DT136" s="61">
        <f ca="1">AVERAGE(OFFSET($DS$3,0,0,'Données projet'!$E$14+1,1))-AVERAGE(OFFSET($H$3,0,0,'Données projet'!$E$14+1,1))</f>
        <v>312.06797204903796</v>
      </c>
      <c r="DU136" s="61">
        <f t="shared" si="152"/>
        <v>258.20189001775151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1.4210854715202004E-13</v>
      </c>
      <c r="EK136" s="18">
        <f>EJ136*VLOOKUP('Données projet'!$B$15,Paramètres!$A$1:$I$89,3,0)*VLOOKUP('Données projet'!$B$15,Paramètres!$A$1:$I$89,5,0)</f>
        <v>1.1527845344971866E-13</v>
      </c>
      <c r="EL136" s="14">
        <f t="shared" si="153"/>
        <v>1.7033846239409443E-12</v>
      </c>
      <c r="EM136" s="22">
        <f t="shared" si="127"/>
        <v>3.1675048597887374E-12</v>
      </c>
      <c r="EN136" s="61">
        <f t="shared" si="128"/>
        <v>293.3333333333365</v>
      </c>
      <c r="EO136" s="61">
        <f ca="1">AVERAGE(OFFSET($EN$3,0,0,'Données projet'!$E$15+1,1))-AVERAGE(OFFSET($H$3,0,0,'Données projet'!$E$15+1,1))</f>
        <v>222.15256609836689</v>
      </c>
      <c r="EP136" s="61">
        <f t="shared" si="154"/>
        <v>221.10360210521077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1.1368683772161603E-13</v>
      </c>
      <c r="FF136" s="18">
        <f>FE136*VLOOKUP('Données projet'!$B$16,Paramètres!$A$1:$I$89,3,0)*VLOOKUP('Données projet'!$B$16,Paramètres!$A$1:$I$89,5,0)</f>
        <v>8.8675733422860506E-14</v>
      </c>
      <c r="FG136" s="14">
        <f t="shared" si="155"/>
        <v>1.3509285393066301E-12</v>
      </c>
      <c r="FH136" s="22">
        <f t="shared" si="130"/>
        <v>2.5073107750038623E-12</v>
      </c>
      <c r="FI136" s="61">
        <f t="shared" si="131"/>
        <v>293.33333333333582</v>
      </c>
      <c r="FJ136" s="61">
        <f ca="1">AVERAGE(OFFSET($FI$3,0,0,'Données projet'!$E$16+1,1))-AVERAGE(OFFSET($H$3,0,0,'Données projet'!$E$16+1,1))</f>
        <v>292.57482726862594</v>
      </c>
      <c r="FK136" s="61">
        <f t="shared" si="156"/>
        <v>283.48738729114024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2.7</v>
      </c>
      <c r="FZ136" s="13">
        <f>IF('Données projet'!$A$244&gt;35,FZ135+FY136-GH135,IF(A136&lt;'Données projet'!$A$244,$FW$205^A136,IF(A136='Données projet'!$A$244,'Données projet'!$B$244,FZ135+FY136-GH135)))</f>
        <v>277.09999999999934</v>
      </c>
      <c r="GA136" s="18">
        <f>FZ136*VLOOKUP('Données projet'!$B$17,Paramètres!$A$1:$I$89,3,0)*VLOOKUP('Données projet'!$B$17,Paramètres!$A$1:$I$89,5,0)</f>
        <v>268.01111999999938</v>
      </c>
      <c r="GB136" s="14">
        <f t="shared" si="157"/>
        <v>64.426997301716739</v>
      </c>
      <c r="GC136" s="22">
        <f t="shared" si="133"/>
        <v>578.99638763382234</v>
      </c>
      <c r="GD136" s="61">
        <f t="shared" si="134"/>
        <v>872.32972096715571</v>
      </c>
      <c r="GE136" s="61">
        <f ca="1">AVERAGE(OFFSET($GD$3,0,0,'Données projet'!$E$17+1,1))-AVERAGE(OFFSET($H$3,0,0,'Données projet'!$E$17+1,1))</f>
        <v>455.50822833641354</v>
      </c>
      <c r="GF136" s="61">
        <f t="shared" si="158"/>
        <v>261.14722581688039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0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0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2.7</v>
      </c>
      <c r="GU136" s="13">
        <f>IF('Données projet'!$A$270&gt;35,GU135+GT136-HC135,IF(A136&lt;'Données projet'!$A$270,$GR$205^A136,IF(A136='Données projet'!$A$270,'Données projet'!$B$270,GU135+GT136-HC135)))</f>
        <v>277.09999999999934</v>
      </c>
      <c r="GV136" s="18">
        <f>GU136*VLOOKUP('Données projet'!$B$18,Paramètres!$A$1:$I$89,3,0)*VLOOKUP('Données projet'!$B$18,Paramètres!$A$1:$I$89,5,0)</f>
        <v>298.27043999999927</v>
      </c>
      <c r="GW136" s="14">
        <f t="shared" si="159"/>
        <v>70.813759345855843</v>
      </c>
      <c r="GX136" s="22">
        <f t="shared" si="136"/>
        <v>642.8216471940309</v>
      </c>
      <c r="GY136" s="61">
        <f t="shared" si="137"/>
        <v>936.15498052736416</v>
      </c>
      <c r="GZ136" s="61">
        <f ca="1">AVERAGE(OFFSET($GY$3,0,0,'Données projet'!$E$18+1,1))-AVERAGE(OFFSET($H$3,0,0,'Données projet'!$E$18+1,1))</f>
        <v>502.07782026233912</v>
      </c>
      <c r="HA136" s="61">
        <f t="shared" si="160"/>
        <v>285.83623046025156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0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0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253.16303999999937</v>
      </c>
      <c r="P137" s="14">
        <f t="shared" si="141"/>
        <v>61.262761848634923</v>
      </c>
      <c r="Q137" s="22">
        <f t="shared" si="108"/>
        <v>547.62493821970475</v>
      </c>
      <c r="R137" s="61">
        <f t="shared" si="109"/>
        <v>840.958271553038</v>
      </c>
      <c r="S137" s="61">
        <f ca="1">AVERAGE(OFFSET($R$3,0,0,'Données projet'!$E$9+1,1))-AVERAGE(OFFSET($H$3,0,0,'Données projet'!$E$9+1,1))</f>
        <v>428.8489304403459</v>
      </c>
      <c r="T137" s="61">
        <f t="shared" si="142"/>
        <v>247.01165577562966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1">
        <f t="shared" si="113"/>
        <v>905.47544691277926</v>
      </c>
      <c r="AN137" s="61">
        <f ca="1">AVERAGE(OFFSET($AM$3,0,0,'Données projet'!$E$10+1,1))-AVERAGE(OFFSET($H$3,0,0,'Données projet'!$E$10+1,1))</f>
        <v>475.47920969424894</v>
      </c>
      <c r="AO137" s="61">
        <f t="shared" si="144"/>
        <v>271.73544012419364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-3.4106051316484809E-13</v>
      </c>
      <c r="BE137" s="14">
        <f>BD137*VLOOKUP('Données projet'!$B$11,Paramètres!$A$1:$I$89,3,0)*VLOOKUP('Données projet'!$B$11,Paramètres!$A$1:$I$89,5,0)</f>
        <v>-1.9065282685915009E-13</v>
      </c>
      <c r="BF137" s="14" t="e">
        <f t="shared" si="145"/>
        <v>#NUM!</v>
      </c>
      <c r="BG137" s="22" t="e">
        <f t="shared" si="115"/>
        <v>#NUM!</v>
      </c>
      <c r="BH137" s="61" t="e">
        <f t="shared" si="116"/>
        <v>#NUM!</v>
      </c>
      <c r="BI137" s="61">
        <f ca="1">AVERAGE(OFFSET($BH$3,0,0,'Données projet'!$E$11+1,1))-AVERAGE(OFFSET($H$3,0,0,'Données projet'!$E$11+1,1))</f>
        <v>374.79806286316051</v>
      </c>
      <c r="BJ137" s="61">
        <f t="shared" si="146"/>
        <v>350.01856672839466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1.2457307027935056</v>
      </c>
      <c r="BR137" s="23">
        <f>EXP(-LN(2)/2)*BR136+(1-EXP(-LN(2)/2))/(LN(2)/2)*BL137*BO137*VLOOKUP('Données projet'!$B$11,Paramètres!$A$1:$I$89,3,0)*0.475*44/12</f>
        <v>2.4442183925022723E-15</v>
      </c>
      <c r="BS137" s="24">
        <f t="shared" si="117"/>
        <v>1.2457307027935081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5.6843418860808015E-13</v>
      </c>
      <c r="BZ137" s="14">
        <f>BY137*VLOOKUP('Données projet'!$B$12,Paramètres!$A$1:$I$89,3,0)*VLOOKUP('Données projet'!$B$12,Paramètres!$A$1:$I$89,5,0)</f>
        <v>2.6602720026858149E-13</v>
      </c>
      <c r="CA137" s="14">
        <f t="shared" si="147"/>
        <v>3.5662905043956649E-12</v>
      </c>
      <c r="CB137" s="22">
        <f t="shared" si="118"/>
        <v>6.6746200022902298E-12</v>
      </c>
      <c r="CC137" s="61">
        <f t="shared" si="119"/>
        <v>293.33333333333997</v>
      </c>
      <c r="CD137" s="61">
        <f ca="1">AVERAGE(OFFSET($CC$3,0,0,'Données projet'!$E$12+1,1))-AVERAGE(OFFSET($H$3,0,0,'Données projet'!$E$12+1,1))</f>
        <v>285.59863510278109</v>
      </c>
      <c r="CE137" s="61">
        <f t="shared" si="148"/>
        <v>190.4880882944471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5.4683368944097308E-14</v>
      </c>
      <c r="CV137" s="14">
        <f t="shared" si="149"/>
        <v>8.8129432816788268E-13</v>
      </c>
      <c r="CW137" s="22">
        <f t="shared" si="121"/>
        <v>1.6301611558033651E-12</v>
      </c>
      <c r="CX137" s="61">
        <f t="shared" si="122"/>
        <v>293.33333333333496</v>
      </c>
      <c r="CY137" s="61">
        <f ca="1">AVERAGE(OFFSET($CX$3,0,0,'Données projet'!$E$13+1,1))-AVERAGE(OFFSET($H$3,0,0,'Données projet'!$E$13+1,1))</f>
        <v>273.72618036666552</v>
      </c>
      <c r="CZ137" s="61">
        <f t="shared" si="150"/>
        <v>157.67999791700714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1.7053025658242404E-13</v>
      </c>
      <c r="DP137" s="18">
        <f>DO137*VLOOKUP('Données projet'!$B$14,Paramètres!$A$1:$I$89,3,0)*VLOOKUP('Données projet'!$B$14,Paramètres!$A$1:$I$89,5,0)</f>
        <v>1.1439169611549005E-13</v>
      </c>
      <c r="DQ137" s="14">
        <f t="shared" si="151"/>
        <v>1.6918016515029816E-12</v>
      </c>
      <c r="DR137" s="22">
        <f t="shared" si="124"/>
        <v>3.1457867471021712E-12</v>
      </c>
      <c r="DS137" s="61">
        <f t="shared" si="125"/>
        <v>293.33333333333644</v>
      </c>
      <c r="DT137" s="61">
        <f ca="1">AVERAGE(OFFSET($DS$3,0,0,'Données projet'!$E$14+1,1))-AVERAGE(OFFSET($H$3,0,0,'Données projet'!$E$14+1,1))</f>
        <v>312.06797204903796</v>
      </c>
      <c r="DU137" s="61">
        <f t="shared" si="152"/>
        <v>258.20189001775151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1.4210854715202004E-13</v>
      </c>
      <c r="EK137" s="18">
        <f>EJ137*VLOOKUP('Données projet'!$B$15,Paramètres!$A$1:$I$89,3,0)*VLOOKUP('Données projet'!$B$15,Paramètres!$A$1:$I$89,5,0)</f>
        <v>1.1527845344971866E-13</v>
      </c>
      <c r="EL137" s="14">
        <f t="shared" si="153"/>
        <v>1.7033846239409443E-12</v>
      </c>
      <c r="EM137" s="22">
        <f t="shared" si="127"/>
        <v>3.1675048597887374E-12</v>
      </c>
      <c r="EN137" s="61">
        <f t="shared" si="128"/>
        <v>293.3333333333365</v>
      </c>
      <c r="EO137" s="61">
        <f ca="1">AVERAGE(OFFSET($EN$3,0,0,'Données projet'!$E$15+1,1))-AVERAGE(OFFSET($H$3,0,0,'Données projet'!$E$15+1,1))</f>
        <v>222.15256609836689</v>
      </c>
      <c r="EP137" s="61">
        <f t="shared" si="154"/>
        <v>221.10360210521077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1.1368683772161603E-13</v>
      </c>
      <c r="FF137" s="18">
        <f>FE137*VLOOKUP('Données projet'!$B$16,Paramètres!$A$1:$I$89,3,0)*VLOOKUP('Données projet'!$B$16,Paramètres!$A$1:$I$89,5,0)</f>
        <v>8.8675733422860506E-14</v>
      </c>
      <c r="FG137" s="14">
        <f t="shared" si="155"/>
        <v>1.3509285393066301E-12</v>
      </c>
      <c r="FH137" s="22">
        <f t="shared" si="130"/>
        <v>2.5073107750038623E-12</v>
      </c>
      <c r="FI137" s="61">
        <f t="shared" si="131"/>
        <v>293.33333333333582</v>
      </c>
      <c r="FJ137" s="61">
        <f ca="1">AVERAGE(OFFSET($FI$3,0,0,'Données projet'!$E$16+1,1))-AVERAGE(OFFSET($H$3,0,0,'Données projet'!$E$16+1,1))</f>
        <v>292.57482726862594</v>
      </c>
      <c r="FK137" s="61">
        <f t="shared" si="156"/>
        <v>283.48738729114024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2.7</v>
      </c>
      <c r="FZ137" s="13">
        <f>IF('Données projet'!$A$244&gt;35,FZ136+FY137-GH136,IF(A137&lt;'Données projet'!$A$244,$FW$205^A137,IF(A137='Données projet'!$A$244,'Données projet'!$B$244,FZ136+FY137-GH136)))</f>
        <v>279.79999999999933</v>
      </c>
      <c r="GA137" s="18">
        <f>FZ137*VLOOKUP('Données projet'!$B$17,Paramètres!$A$1:$I$89,3,0)*VLOOKUP('Données projet'!$B$17,Paramètres!$A$1:$I$89,5,0)</f>
        <v>270.62255999999934</v>
      </c>
      <c r="GB137" s="14">
        <f t="shared" si="157"/>
        <v>64.981374516987898</v>
      </c>
      <c r="GC137" s="22">
        <f t="shared" si="133"/>
        <v>584.51018595041944</v>
      </c>
      <c r="GD137" s="61">
        <f t="shared" si="134"/>
        <v>877.84351928375281</v>
      </c>
      <c r="GE137" s="61">
        <f ca="1">AVERAGE(OFFSET($GD$3,0,0,'Données projet'!$E$17+1,1))-AVERAGE(OFFSET($H$3,0,0,'Données projet'!$E$17+1,1))</f>
        <v>455.50822833641354</v>
      </c>
      <c r="GF137" s="61">
        <f t="shared" si="158"/>
        <v>261.14722581688039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0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0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2.7</v>
      </c>
      <c r="GU137" s="13">
        <f>IF('Données projet'!$A$270&gt;35,GU136+GT137-HC136,IF(A137&lt;'Données projet'!$A$270,$GR$205^A137,IF(A137='Données projet'!$A$270,'Données projet'!$B$270,GU136+GT137-HC136)))</f>
        <v>279.79999999999933</v>
      </c>
      <c r="GV137" s="18">
        <f>GU137*VLOOKUP('Données projet'!$B$18,Paramètres!$A$1:$I$89,3,0)*VLOOKUP('Données projet'!$B$18,Paramètres!$A$1:$I$89,5,0)</f>
        <v>301.17671999999925</v>
      </c>
      <c r="GW137" s="14">
        <f t="shared" si="159"/>
        <v>71.423092953709514</v>
      </c>
      <c r="GX137" s="22">
        <f t="shared" si="136"/>
        <v>648.94467422770936</v>
      </c>
      <c r="GY137" s="61">
        <f t="shared" si="137"/>
        <v>942.27800756104261</v>
      </c>
      <c r="GZ137" s="61">
        <f ca="1">AVERAGE(OFFSET($GY$3,0,0,'Données projet'!$E$18+1,1))-AVERAGE(OFFSET($H$3,0,0,'Données projet'!$E$18+1,1))</f>
        <v>502.07782026233912</v>
      </c>
      <c r="HA137" s="61">
        <f t="shared" si="160"/>
        <v>285.83623046025156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0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0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255.60599999999937</v>
      </c>
      <c r="P138" s="14">
        <f t="shared" si="141"/>
        <v>61.784827631732192</v>
      </c>
      <c r="Q138" s="22">
        <f t="shared" si="108"/>
        <v>552.78902479193243</v>
      </c>
      <c r="R138" s="61">
        <f t="shared" si="109"/>
        <v>846.12235812526569</v>
      </c>
      <c r="S138" s="61">
        <f ca="1">AVERAGE(OFFSET($R$3,0,0,'Données projet'!$E$9+1,1))-AVERAGE(OFFSET($H$3,0,0,'Données projet'!$E$9+1,1))</f>
        <v>428.8489304403459</v>
      </c>
      <c r="T138" s="61">
        <f t="shared" si="142"/>
        <v>247.01165577562966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1">
        <f t="shared" si="113"/>
        <v>911.24935938826479</v>
      </c>
      <c r="AN138" s="61">
        <f ca="1">AVERAGE(OFFSET($AM$3,0,0,'Données projet'!$E$10+1,1))-AVERAGE(OFFSET($H$3,0,0,'Données projet'!$E$10+1,1))</f>
        <v>475.47920969424894</v>
      </c>
      <c r="AO138" s="61">
        <f t="shared" si="144"/>
        <v>271.73544012419364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-3.4106051316484809E-13</v>
      </c>
      <c r="BE138" s="14">
        <f>BD138*VLOOKUP('Données projet'!$B$11,Paramètres!$A$1:$I$89,3,0)*VLOOKUP('Données projet'!$B$11,Paramètres!$A$1:$I$89,5,0)</f>
        <v>-1.9065282685915009E-13</v>
      </c>
      <c r="BF138" s="14" t="e">
        <f t="shared" si="145"/>
        <v>#NUM!</v>
      </c>
      <c r="BG138" s="22" t="e">
        <f t="shared" si="115"/>
        <v>#NUM!</v>
      </c>
      <c r="BH138" s="61" t="e">
        <f t="shared" si="116"/>
        <v>#NUM!</v>
      </c>
      <c r="BI138" s="61">
        <f ca="1">AVERAGE(OFFSET($BH$3,0,0,'Données projet'!$E$11+1,1))-AVERAGE(OFFSET($H$3,0,0,'Données projet'!$E$11+1,1))</f>
        <v>374.79806286316051</v>
      </c>
      <c r="BJ138" s="61">
        <f t="shared" si="146"/>
        <v>350.01856672839466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1.2116661312154866</v>
      </c>
      <c r="BR138" s="23">
        <f>EXP(-LN(2)/2)*BR137+(1-EXP(-LN(2)/2))/(LN(2)/2)*BL138*BO138*VLOOKUP('Données projet'!$B$11,Paramètres!$A$1:$I$89,3,0)*0.475*44/12</f>
        <v>1.7283234000392393E-15</v>
      </c>
      <c r="BS138" s="24">
        <f t="shared" si="117"/>
        <v>1.2116661312154884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5.6843418860808015E-13</v>
      </c>
      <c r="BZ138" s="14">
        <f>BY138*VLOOKUP('Données projet'!$B$12,Paramètres!$A$1:$I$89,3,0)*VLOOKUP('Données projet'!$B$12,Paramètres!$A$1:$I$89,5,0)</f>
        <v>2.6602720026858149E-13</v>
      </c>
      <c r="CA138" s="14">
        <f t="shared" si="147"/>
        <v>3.5662905043956649E-12</v>
      </c>
      <c r="CB138" s="22">
        <f t="shared" si="118"/>
        <v>6.6746200022902298E-12</v>
      </c>
      <c r="CC138" s="61">
        <f t="shared" si="119"/>
        <v>293.33333333333997</v>
      </c>
      <c r="CD138" s="61">
        <f ca="1">AVERAGE(OFFSET($CC$3,0,0,'Données projet'!$E$12+1,1))-AVERAGE(OFFSET($H$3,0,0,'Données projet'!$E$12+1,1))</f>
        <v>285.59863510278109</v>
      </c>
      <c r="CE138" s="61">
        <f t="shared" si="148"/>
        <v>190.4880882944471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5.4683368944097308E-14</v>
      </c>
      <c r="CV138" s="14">
        <f t="shared" si="149"/>
        <v>8.8129432816788268E-13</v>
      </c>
      <c r="CW138" s="22">
        <f t="shared" si="121"/>
        <v>1.6301611558033651E-12</v>
      </c>
      <c r="CX138" s="61">
        <f t="shared" si="122"/>
        <v>293.33333333333496</v>
      </c>
      <c r="CY138" s="61">
        <f ca="1">AVERAGE(OFFSET($CX$3,0,0,'Données projet'!$E$13+1,1))-AVERAGE(OFFSET($H$3,0,0,'Données projet'!$E$13+1,1))</f>
        <v>273.72618036666552</v>
      </c>
      <c r="CZ138" s="61">
        <f t="shared" si="150"/>
        <v>157.67999791700714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1.7053025658242404E-13</v>
      </c>
      <c r="DP138" s="18">
        <f>DO138*VLOOKUP('Données projet'!$B$14,Paramètres!$A$1:$I$89,3,0)*VLOOKUP('Données projet'!$B$14,Paramètres!$A$1:$I$89,5,0)</f>
        <v>1.1439169611549005E-13</v>
      </c>
      <c r="DQ138" s="14">
        <f t="shared" si="151"/>
        <v>1.6918016515029816E-12</v>
      </c>
      <c r="DR138" s="22">
        <f t="shared" si="124"/>
        <v>3.1457867471021712E-12</v>
      </c>
      <c r="DS138" s="61">
        <f t="shared" si="125"/>
        <v>293.33333333333644</v>
      </c>
      <c r="DT138" s="61">
        <f ca="1">AVERAGE(OFFSET($DS$3,0,0,'Données projet'!$E$14+1,1))-AVERAGE(OFFSET($H$3,0,0,'Données projet'!$E$14+1,1))</f>
        <v>312.06797204903796</v>
      </c>
      <c r="DU138" s="61">
        <f t="shared" si="152"/>
        <v>258.20189001775151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1.4210854715202004E-13</v>
      </c>
      <c r="EK138" s="18">
        <f>EJ138*VLOOKUP('Données projet'!$B$15,Paramètres!$A$1:$I$89,3,0)*VLOOKUP('Données projet'!$B$15,Paramètres!$A$1:$I$89,5,0)</f>
        <v>1.1527845344971866E-13</v>
      </c>
      <c r="EL138" s="14">
        <f t="shared" si="153"/>
        <v>1.7033846239409443E-12</v>
      </c>
      <c r="EM138" s="22">
        <f t="shared" si="127"/>
        <v>3.1675048597887374E-12</v>
      </c>
      <c r="EN138" s="61">
        <f t="shared" si="128"/>
        <v>293.3333333333365</v>
      </c>
      <c r="EO138" s="61">
        <f ca="1">AVERAGE(OFFSET($EN$3,0,0,'Données projet'!$E$15+1,1))-AVERAGE(OFFSET($H$3,0,0,'Données projet'!$E$15+1,1))</f>
        <v>222.15256609836689</v>
      </c>
      <c r="EP138" s="61">
        <f t="shared" si="154"/>
        <v>221.10360210521077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1.1368683772161603E-13</v>
      </c>
      <c r="FF138" s="18">
        <f>FE138*VLOOKUP('Données projet'!$B$16,Paramètres!$A$1:$I$89,3,0)*VLOOKUP('Données projet'!$B$16,Paramètres!$A$1:$I$89,5,0)</f>
        <v>8.8675733422860506E-14</v>
      </c>
      <c r="FG138" s="14">
        <f t="shared" si="155"/>
        <v>1.3509285393066301E-12</v>
      </c>
      <c r="FH138" s="22">
        <f t="shared" si="130"/>
        <v>2.5073107750038623E-12</v>
      </c>
      <c r="FI138" s="61">
        <f t="shared" si="131"/>
        <v>293.33333333333582</v>
      </c>
      <c r="FJ138" s="61">
        <f ca="1">AVERAGE(OFFSET($FI$3,0,0,'Données projet'!$E$16+1,1))-AVERAGE(OFFSET($H$3,0,0,'Données projet'!$E$16+1,1))</f>
        <v>292.57482726862594</v>
      </c>
      <c r="FK138" s="61">
        <f t="shared" si="156"/>
        <v>283.48738729114024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2.7</v>
      </c>
      <c r="FZ138" s="13">
        <f>IF('Données projet'!$A$244&gt;35,FZ137+FY138-GH137,IF(A138&lt;'Données projet'!$A$244,$FW$205^A138,IF(A138='Données projet'!$A$244,'Données projet'!$B$244,FZ137+FY138-GH137)))</f>
        <v>282.49999999999932</v>
      </c>
      <c r="GA138" s="18">
        <f>FZ138*VLOOKUP('Données projet'!$B$17,Paramètres!$A$1:$I$89,3,0)*VLOOKUP('Données projet'!$B$17,Paramètres!$A$1:$I$89,5,0)</f>
        <v>273.23399999999936</v>
      </c>
      <c r="GB138" s="14">
        <f t="shared" si="157"/>
        <v>65.535129378020301</v>
      </c>
      <c r="GC138" s="22">
        <f t="shared" si="133"/>
        <v>590.0229003333842</v>
      </c>
      <c r="GD138" s="61">
        <f t="shared" si="134"/>
        <v>883.35623366671757</v>
      </c>
      <c r="GE138" s="61">
        <f ca="1">AVERAGE(OFFSET($GD$3,0,0,'Données projet'!$E$17+1,1))-AVERAGE(OFFSET($H$3,0,0,'Données projet'!$E$17+1,1))</f>
        <v>455.50822833641354</v>
      </c>
      <c r="GF138" s="61">
        <f t="shared" si="158"/>
        <v>261.14722581688039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0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0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2.7</v>
      </c>
      <c r="GU138" s="13">
        <f>IF('Données projet'!$A$270&gt;35,GU137+GT138-HC137,IF(A138&lt;'Données projet'!$A$270,$GR$205^A138,IF(A138='Données projet'!$A$270,'Données projet'!$B$270,GU137+GT138-HC137)))</f>
        <v>282.49999999999932</v>
      </c>
      <c r="GV138" s="18">
        <f>GU138*VLOOKUP('Données projet'!$B$18,Paramètres!$A$1:$I$89,3,0)*VLOOKUP('Données projet'!$B$18,Paramètres!$A$1:$I$89,5,0)</f>
        <v>304.08299999999929</v>
      </c>
      <c r="GW138" s="14">
        <f t="shared" si="159"/>
        <v>72.031742512249494</v>
      </c>
      <c r="GX138" s="22">
        <f t="shared" si="136"/>
        <v>655.06650987549995</v>
      </c>
      <c r="GY138" s="61">
        <f t="shared" si="137"/>
        <v>948.39984320883332</v>
      </c>
      <c r="GZ138" s="61">
        <f ca="1">AVERAGE(OFFSET($GY$3,0,0,'Données projet'!$E$18+1,1))-AVERAGE(OFFSET($H$3,0,0,'Données projet'!$E$18+1,1))</f>
        <v>502.07782026233912</v>
      </c>
      <c r="HA138" s="61">
        <f t="shared" si="160"/>
        <v>285.83623046025156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0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0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258.0489599999994</v>
      </c>
      <c r="P139" s="14">
        <f t="shared" si="141"/>
        <v>62.306312932555649</v>
      </c>
      <c r="Q139" s="22">
        <f t="shared" si="108"/>
        <v>557.95210035753337</v>
      </c>
      <c r="R139" s="61">
        <f t="shared" si="109"/>
        <v>851.28543369086674</v>
      </c>
      <c r="S139" s="61">
        <f ca="1">AVERAGE(OFFSET($R$3,0,0,'Données projet'!$E$9+1,1))-AVERAGE(OFFSET($H$3,0,0,'Données projet'!$E$9+1,1))</f>
        <v>428.8489304403459</v>
      </c>
      <c r="T139" s="61">
        <f t="shared" si="142"/>
        <v>247.01165577562966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1">
        <f t="shared" si="113"/>
        <v>917.02215376729873</v>
      </c>
      <c r="AN139" s="61">
        <f ca="1">AVERAGE(OFFSET($AM$3,0,0,'Données projet'!$E$10+1,1))-AVERAGE(OFFSET($H$3,0,0,'Données projet'!$E$10+1,1))</f>
        <v>475.47920969424894</v>
      </c>
      <c r="AO139" s="61">
        <f t="shared" si="144"/>
        <v>271.73544012419364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-3.4106051316484809E-13</v>
      </c>
      <c r="BE139" s="14">
        <f>BD139*VLOOKUP('Données projet'!$B$11,Paramètres!$A$1:$I$89,3,0)*VLOOKUP('Données projet'!$B$11,Paramètres!$A$1:$I$89,5,0)</f>
        <v>-1.9065282685915009E-13</v>
      </c>
      <c r="BF139" s="14" t="e">
        <f t="shared" si="145"/>
        <v>#NUM!</v>
      </c>
      <c r="BG139" s="22" t="e">
        <f t="shared" si="115"/>
        <v>#NUM!</v>
      </c>
      <c r="BH139" s="61" t="e">
        <f t="shared" si="116"/>
        <v>#NUM!</v>
      </c>
      <c r="BI139" s="61">
        <f ca="1">AVERAGE(OFFSET($BH$3,0,0,'Données projet'!$E$11+1,1))-AVERAGE(OFFSET($H$3,0,0,'Données projet'!$E$11+1,1))</f>
        <v>374.79806286316051</v>
      </c>
      <c r="BJ139" s="61">
        <f t="shared" si="146"/>
        <v>350.01856672839466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1.1785330571386465</v>
      </c>
      <c r="BR139" s="23">
        <f>EXP(-LN(2)/2)*BR138+(1-EXP(-LN(2)/2))/(LN(2)/2)*BL139*BO139*VLOOKUP('Données projet'!$B$11,Paramètres!$A$1:$I$89,3,0)*0.475*44/12</f>
        <v>1.2221091962511364E-15</v>
      </c>
      <c r="BS139" s="24">
        <f t="shared" si="117"/>
        <v>1.1785330571386479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5.6843418860808015E-13</v>
      </c>
      <c r="BZ139" s="14">
        <f>BY139*VLOOKUP('Données projet'!$B$12,Paramètres!$A$1:$I$89,3,0)*VLOOKUP('Données projet'!$B$12,Paramètres!$A$1:$I$89,5,0)</f>
        <v>2.6602720026858149E-13</v>
      </c>
      <c r="CA139" s="14">
        <f t="shared" si="147"/>
        <v>3.5662905043956649E-12</v>
      </c>
      <c r="CB139" s="22">
        <f t="shared" si="118"/>
        <v>6.6746200022902298E-12</v>
      </c>
      <c r="CC139" s="61">
        <f t="shared" si="119"/>
        <v>293.33333333333997</v>
      </c>
      <c r="CD139" s="61">
        <f ca="1">AVERAGE(OFFSET($CC$3,0,0,'Données projet'!$E$12+1,1))-AVERAGE(OFFSET($H$3,0,0,'Données projet'!$E$12+1,1))</f>
        <v>285.59863510278109</v>
      </c>
      <c r="CE139" s="61">
        <f t="shared" si="148"/>
        <v>190.4880882944471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5.4683368944097308E-14</v>
      </c>
      <c r="CV139" s="14">
        <f t="shared" si="149"/>
        <v>8.8129432816788268E-13</v>
      </c>
      <c r="CW139" s="22">
        <f t="shared" si="121"/>
        <v>1.6301611558033651E-12</v>
      </c>
      <c r="CX139" s="61">
        <f t="shared" si="122"/>
        <v>293.33333333333496</v>
      </c>
      <c r="CY139" s="61">
        <f ca="1">AVERAGE(OFFSET($CX$3,0,0,'Données projet'!$E$13+1,1))-AVERAGE(OFFSET($H$3,0,0,'Données projet'!$E$13+1,1))</f>
        <v>273.72618036666552</v>
      </c>
      <c r="CZ139" s="61">
        <f t="shared" si="150"/>
        <v>157.67999791700714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1.7053025658242404E-13</v>
      </c>
      <c r="DP139" s="18">
        <f>DO139*VLOOKUP('Données projet'!$B$14,Paramètres!$A$1:$I$89,3,0)*VLOOKUP('Données projet'!$B$14,Paramètres!$A$1:$I$89,5,0)</f>
        <v>1.1439169611549005E-13</v>
      </c>
      <c r="DQ139" s="14">
        <f t="shared" si="151"/>
        <v>1.6918016515029816E-12</v>
      </c>
      <c r="DR139" s="22">
        <f t="shared" si="124"/>
        <v>3.1457867471021712E-12</v>
      </c>
      <c r="DS139" s="61">
        <f t="shared" si="125"/>
        <v>293.33333333333644</v>
      </c>
      <c r="DT139" s="61">
        <f ca="1">AVERAGE(OFFSET($DS$3,0,0,'Données projet'!$E$14+1,1))-AVERAGE(OFFSET($H$3,0,0,'Données projet'!$E$14+1,1))</f>
        <v>312.06797204903796</v>
      </c>
      <c r="DU139" s="61">
        <f t="shared" si="152"/>
        <v>258.20189001775151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1.4210854715202004E-13</v>
      </c>
      <c r="EK139" s="18">
        <f>EJ139*VLOOKUP('Données projet'!$B$15,Paramètres!$A$1:$I$89,3,0)*VLOOKUP('Données projet'!$B$15,Paramètres!$A$1:$I$89,5,0)</f>
        <v>1.1527845344971866E-13</v>
      </c>
      <c r="EL139" s="14">
        <f t="shared" si="153"/>
        <v>1.7033846239409443E-12</v>
      </c>
      <c r="EM139" s="22">
        <f t="shared" si="127"/>
        <v>3.1675048597887374E-12</v>
      </c>
      <c r="EN139" s="61">
        <f t="shared" si="128"/>
        <v>293.3333333333365</v>
      </c>
      <c r="EO139" s="61">
        <f ca="1">AVERAGE(OFFSET($EN$3,0,0,'Données projet'!$E$15+1,1))-AVERAGE(OFFSET($H$3,0,0,'Données projet'!$E$15+1,1))</f>
        <v>222.15256609836689</v>
      </c>
      <c r="EP139" s="61">
        <f t="shared" si="154"/>
        <v>221.10360210521077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1.1368683772161603E-13</v>
      </c>
      <c r="FF139" s="18">
        <f>FE139*VLOOKUP('Données projet'!$B$16,Paramètres!$A$1:$I$89,3,0)*VLOOKUP('Données projet'!$B$16,Paramètres!$A$1:$I$89,5,0)</f>
        <v>8.8675733422860506E-14</v>
      </c>
      <c r="FG139" s="14">
        <f t="shared" si="155"/>
        <v>1.3509285393066301E-12</v>
      </c>
      <c r="FH139" s="22">
        <f t="shared" si="130"/>
        <v>2.5073107750038623E-12</v>
      </c>
      <c r="FI139" s="61">
        <f t="shared" si="131"/>
        <v>293.33333333333582</v>
      </c>
      <c r="FJ139" s="61">
        <f ca="1">AVERAGE(OFFSET($FI$3,0,0,'Données projet'!$E$16+1,1))-AVERAGE(OFFSET($H$3,0,0,'Données projet'!$E$16+1,1))</f>
        <v>292.57482726862594</v>
      </c>
      <c r="FK139" s="61">
        <f t="shared" si="156"/>
        <v>283.48738729114024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2.7</v>
      </c>
      <c r="FZ139" s="13">
        <f>IF('Données projet'!$A$244&gt;35,FZ138+FY139-GH138,IF(A139&lt;'Données projet'!$A$244,$FW$205^A139,IF(A139='Données projet'!$A$244,'Données projet'!$B$244,FZ138+FY139-GH138)))</f>
        <v>285.19999999999931</v>
      </c>
      <c r="GA139" s="18">
        <f>FZ139*VLOOKUP('Données projet'!$B$17,Paramètres!$A$1:$I$89,3,0)*VLOOKUP('Données projet'!$B$17,Paramètres!$A$1:$I$89,5,0)</f>
        <v>275.84543999999931</v>
      </c>
      <c r="GB139" s="14">
        <f t="shared" si="157"/>
        <v>66.088268521855113</v>
      </c>
      <c r="GC139" s="22">
        <f t="shared" si="133"/>
        <v>595.53454234222977</v>
      </c>
      <c r="GD139" s="61">
        <f t="shared" si="134"/>
        <v>888.86787567556303</v>
      </c>
      <c r="GE139" s="61">
        <f ca="1">AVERAGE(OFFSET($GD$3,0,0,'Données projet'!$E$17+1,1))-AVERAGE(OFFSET($H$3,0,0,'Données projet'!$E$17+1,1))</f>
        <v>455.50822833641354</v>
      </c>
      <c r="GF139" s="61">
        <f t="shared" si="158"/>
        <v>261.14722581688039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0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0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2.7</v>
      </c>
      <c r="GU139" s="13">
        <f>IF('Données projet'!$A$270&gt;35,GU138+GT139-HC138,IF(A139&lt;'Données projet'!$A$270,$GR$205^A139,IF(A139='Données projet'!$A$270,'Données projet'!$B$270,GU138+GT139-HC138)))</f>
        <v>285.19999999999931</v>
      </c>
      <c r="GV139" s="18">
        <f>GU139*VLOOKUP('Données projet'!$B$18,Paramètres!$A$1:$I$89,3,0)*VLOOKUP('Données projet'!$B$18,Paramètres!$A$1:$I$89,5,0)</f>
        <v>306.98927999999921</v>
      </c>
      <c r="GW139" s="14">
        <f t="shared" si="159"/>
        <v>72.639715316458506</v>
      </c>
      <c r="GX139" s="22">
        <f t="shared" si="136"/>
        <v>661.18716684283038</v>
      </c>
      <c r="GY139" s="61">
        <f t="shared" si="137"/>
        <v>954.52050017616375</v>
      </c>
      <c r="GZ139" s="61">
        <f ca="1">AVERAGE(OFFSET($GY$3,0,0,'Données projet'!$E$18+1,1))-AVERAGE(OFFSET($H$3,0,0,'Données projet'!$E$18+1,1))</f>
        <v>502.07782026233912</v>
      </c>
      <c r="HA139" s="61">
        <f t="shared" si="160"/>
        <v>285.83623046025156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0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0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260.49191999999937</v>
      </c>
      <c r="P140" s="14">
        <f t="shared" si="141"/>
        <v>62.827223883029681</v>
      </c>
      <c r="Q140" s="22">
        <f t="shared" si="108"/>
        <v>563.11417559627546</v>
      </c>
      <c r="R140" s="61">
        <f t="shared" si="109"/>
        <v>856.44750892960883</v>
      </c>
      <c r="S140" s="61">
        <f ca="1">AVERAGE(OFFSET($R$3,0,0,'Données projet'!$E$9+1,1))-AVERAGE(OFFSET($H$3,0,0,'Données projet'!$E$9+1,1))</f>
        <v>428.8489304403459</v>
      </c>
      <c r="T140" s="61">
        <f t="shared" si="142"/>
        <v>247.01165577562966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1">
        <f t="shared" si="113"/>
        <v>922.79384186089305</v>
      </c>
      <c r="AN140" s="61">
        <f ca="1">AVERAGE(OFFSET($AM$3,0,0,'Données projet'!$E$10+1,1))-AVERAGE(OFFSET($H$3,0,0,'Données projet'!$E$10+1,1))</f>
        <v>475.47920969424894</v>
      </c>
      <c r="AO140" s="61">
        <f t="shared" si="144"/>
        <v>271.73544012419364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-3.4106051316484809E-13</v>
      </c>
      <c r="BE140" s="14">
        <f>BD140*VLOOKUP('Données projet'!$B$11,Paramètres!$A$1:$I$89,3,0)*VLOOKUP('Données projet'!$B$11,Paramètres!$A$1:$I$89,5,0)</f>
        <v>-1.9065282685915009E-13</v>
      </c>
      <c r="BF140" s="14" t="e">
        <f t="shared" si="145"/>
        <v>#NUM!</v>
      </c>
      <c r="BG140" s="22" t="e">
        <f t="shared" si="115"/>
        <v>#NUM!</v>
      </c>
      <c r="BH140" s="61" t="e">
        <f t="shared" si="116"/>
        <v>#NUM!</v>
      </c>
      <c r="BI140" s="61">
        <f ca="1">AVERAGE(OFFSET($BH$3,0,0,'Données projet'!$E$11+1,1))-AVERAGE(OFFSET($H$3,0,0,'Données projet'!$E$11+1,1))</f>
        <v>374.79806286316051</v>
      </c>
      <c r="BJ140" s="61">
        <f t="shared" si="146"/>
        <v>350.01856672839466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1.1463060087148302</v>
      </c>
      <c r="BR140" s="23">
        <f>EXP(-LN(2)/2)*BR139+(1-EXP(-LN(2)/2))/(LN(2)/2)*BL140*BO140*VLOOKUP('Données projet'!$B$11,Paramètres!$A$1:$I$89,3,0)*0.475*44/12</f>
        <v>8.6416170001961977E-16</v>
      </c>
      <c r="BS140" s="24">
        <f t="shared" si="117"/>
        <v>1.1463060087148311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5.6843418860808015E-13</v>
      </c>
      <c r="BZ140" s="14">
        <f>BY140*VLOOKUP('Données projet'!$B$12,Paramètres!$A$1:$I$89,3,0)*VLOOKUP('Données projet'!$B$12,Paramètres!$A$1:$I$89,5,0)</f>
        <v>2.6602720026858149E-13</v>
      </c>
      <c r="CA140" s="14">
        <f t="shared" si="147"/>
        <v>3.5662905043956649E-12</v>
      </c>
      <c r="CB140" s="22">
        <f t="shared" si="118"/>
        <v>6.6746200022902298E-12</v>
      </c>
      <c r="CC140" s="61">
        <f t="shared" si="119"/>
        <v>293.33333333333997</v>
      </c>
      <c r="CD140" s="61">
        <f ca="1">AVERAGE(OFFSET($CC$3,0,0,'Données projet'!$E$12+1,1))-AVERAGE(OFFSET($H$3,0,0,'Données projet'!$E$12+1,1))</f>
        <v>285.59863510278109</v>
      </c>
      <c r="CE140" s="61">
        <f t="shared" si="148"/>
        <v>190.4880882944471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5.4683368944097308E-14</v>
      </c>
      <c r="CV140" s="14">
        <f t="shared" si="149"/>
        <v>8.8129432816788268E-13</v>
      </c>
      <c r="CW140" s="22">
        <f t="shared" si="121"/>
        <v>1.6301611558033651E-12</v>
      </c>
      <c r="CX140" s="61">
        <f t="shared" si="122"/>
        <v>293.33333333333496</v>
      </c>
      <c r="CY140" s="61">
        <f ca="1">AVERAGE(OFFSET($CX$3,0,0,'Données projet'!$E$13+1,1))-AVERAGE(OFFSET($H$3,0,0,'Données projet'!$E$13+1,1))</f>
        <v>273.72618036666552</v>
      </c>
      <c r="CZ140" s="61">
        <f t="shared" si="150"/>
        <v>157.67999791700714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1.7053025658242404E-13</v>
      </c>
      <c r="DP140" s="18">
        <f>DO140*VLOOKUP('Données projet'!$B$14,Paramètres!$A$1:$I$89,3,0)*VLOOKUP('Données projet'!$B$14,Paramètres!$A$1:$I$89,5,0)</f>
        <v>1.1439169611549005E-13</v>
      </c>
      <c r="DQ140" s="14">
        <f t="shared" si="151"/>
        <v>1.6918016515029816E-12</v>
      </c>
      <c r="DR140" s="22">
        <f t="shared" si="124"/>
        <v>3.1457867471021712E-12</v>
      </c>
      <c r="DS140" s="61">
        <f t="shared" si="125"/>
        <v>293.33333333333644</v>
      </c>
      <c r="DT140" s="61">
        <f ca="1">AVERAGE(OFFSET($DS$3,0,0,'Données projet'!$E$14+1,1))-AVERAGE(OFFSET($H$3,0,0,'Données projet'!$E$14+1,1))</f>
        <v>312.06797204903796</v>
      </c>
      <c r="DU140" s="61">
        <f t="shared" si="152"/>
        <v>258.20189001775151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1.4210854715202004E-13</v>
      </c>
      <c r="EK140" s="18">
        <f>EJ140*VLOOKUP('Données projet'!$B$15,Paramètres!$A$1:$I$89,3,0)*VLOOKUP('Données projet'!$B$15,Paramètres!$A$1:$I$89,5,0)</f>
        <v>1.1527845344971866E-13</v>
      </c>
      <c r="EL140" s="14">
        <f t="shared" si="153"/>
        <v>1.7033846239409443E-12</v>
      </c>
      <c r="EM140" s="22">
        <f t="shared" si="127"/>
        <v>3.1675048597887374E-12</v>
      </c>
      <c r="EN140" s="61">
        <f t="shared" si="128"/>
        <v>293.3333333333365</v>
      </c>
      <c r="EO140" s="61">
        <f ca="1">AVERAGE(OFFSET($EN$3,0,0,'Données projet'!$E$15+1,1))-AVERAGE(OFFSET($H$3,0,0,'Données projet'!$E$15+1,1))</f>
        <v>222.15256609836689</v>
      </c>
      <c r="EP140" s="61">
        <f t="shared" si="154"/>
        <v>221.10360210521077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1.1368683772161603E-13</v>
      </c>
      <c r="FF140" s="18">
        <f>FE140*VLOOKUP('Données projet'!$B$16,Paramètres!$A$1:$I$89,3,0)*VLOOKUP('Données projet'!$B$16,Paramètres!$A$1:$I$89,5,0)</f>
        <v>8.8675733422860506E-14</v>
      </c>
      <c r="FG140" s="14">
        <f t="shared" si="155"/>
        <v>1.3509285393066301E-12</v>
      </c>
      <c r="FH140" s="22">
        <f t="shared" si="130"/>
        <v>2.5073107750038623E-12</v>
      </c>
      <c r="FI140" s="61">
        <f t="shared" si="131"/>
        <v>293.33333333333582</v>
      </c>
      <c r="FJ140" s="61">
        <f ca="1">AVERAGE(OFFSET($FI$3,0,0,'Données projet'!$E$16+1,1))-AVERAGE(OFFSET($H$3,0,0,'Données projet'!$E$16+1,1))</f>
        <v>292.57482726862594</v>
      </c>
      <c r="FK140" s="61">
        <f t="shared" si="156"/>
        <v>283.48738729114024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2.7</v>
      </c>
      <c r="FZ140" s="13">
        <f>IF('Données projet'!$A$244&gt;35,FZ139+FY140-GH139,IF(A140&lt;'Données projet'!$A$244,$FW$205^A140,IF(A140='Données projet'!$A$244,'Données projet'!$B$244,FZ139+FY140-GH139)))</f>
        <v>287.8999999999993</v>
      </c>
      <c r="GA140" s="18">
        <f>FZ140*VLOOKUP('Données projet'!$B$17,Paramètres!$A$1:$I$89,3,0)*VLOOKUP('Données projet'!$B$17,Paramètres!$A$1:$I$89,5,0)</f>
        <v>278.45687999999933</v>
      </c>
      <c r="GB140" s="14">
        <f t="shared" si="157"/>
        <v>66.640798452620999</v>
      </c>
      <c r="GC140" s="22">
        <f t="shared" si="133"/>
        <v>601.04512330498039</v>
      </c>
      <c r="GD140" s="61">
        <f t="shared" si="134"/>
        <v>894.37845663831376</v>
      </c>
      <c r="GE140" s="61">
        <f ca="1">AVERAGE(OFFSET($GD$3,0,0,'Données projet'!$E$17+1,1))-AVERAGE(OFFSET($H$3,0,0,'Données projet'!$E$17+1,1))</f>
        <v>455.50822833641354</v>
      </c>
      <c r="GF140" s="61">
        <f t="shared" si="158"/>
        <v>261.14722581688039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0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0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2.7</v>
      </c>
      <c r="GU140" s="13">
        <f>IF('Données projet'!$A$270&gt;35,GU139+GT140-HC139,IF(A140&lt;'Données projet'!$A$270,$GR$205^A140,IF(A140='Données projet'!$A$270,'Données projet'!$B$270,GU139+GT140-HC139)))</f>
        <v>287.8999999999993</v>
      </c>
      <c r="GV140" s="18">
        <f>GU140*VLOOKUP('Données projet'!$B$18,Paramètres!$A$1:$I$89,3,0)*VLOOKUP('Données projet'!$B$18,Paramètres!$A$1:$I$89,5,0)</f>
        <v>309.89555999999925</v>
      </c>
      <c r="GW140" s="14">
        <f t="shared" si="159"/>
        <v>73.247018515231034</v>
      </c>
      <c r="GX140" s="22">
        <f t="shared" si="136"/>
        <v>667.30665758069279</v>
      </c>
      <c r="GY140" s="61">
        <f t="shared" si="137"/>
        <v>960.63999091402616</v>
      </c>
      <c r="GZ140" s="61">
        <f ca="1">AVERAGE(OFFSET($GY$3,0,0,'Données projet'!$E$18+1,1))-AVERAGE(OFFSET($H$3,0,0,'Données projet'!$E$18+1,1))</f>
        <v>502.07782026233912</v>
      </c>
      <c r="HA140" s="61">
        <f t="shared" si="160"/>
        <v>285.83623046025156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0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0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262.93487999999934</v>
      </c>
      <c r="P141" s="14">
        <f t="shared" si="141"/>
        <v>63.347566493432652</v>
      </c>
      <c r="Q141" s="22">
        <f t="shared" si="108"/>
        <v>568.27526097606062</v>
      </c>
      <c r="R141" s="61">
        <f t="shared" si="109"/>
        <v>861.60859430939399</v>
      </c>
      <c r="S141" s="61">
        <f ca="1">AVERAGE(OFFSET($R$3,0,0,'Données projet'!$E$9+1,1))-AVERAGE(OFFSET($H$3,0,0,'Données projet'!$E$9+1,1))</f>
        <v>428.8489304403459</v>
      </c>
      <c r="T141" s="61">
        <f t="shared" si="142"/>
        <v>247.01165577562966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1">
        <f t="shared" si="113"/>
        <v>928.5644352457507</v>
      </c>
      <c r="AN141" s="61">
        <f ca="1">AVERAGE(OFFSET($AM$3,0,0,'Données projet'!$E$10+1,1))-AVERAGE(OFFSET($H$3,0,0,'Données projet'!$E$10+1,1))</f>
        <v>475.47920969424894</v>
      </c>
      <c r="AO141" s="61">
        <f t="shared" si="144"/>
        <v>271.73544012419364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-3.4106051316484809E-13</v>
      </c>
      <c r="BE141" s="14">
        <f>BD141*VLOOKUP('Données projet'!$B$11,Paramètres!$A$1:$I$89,3,0)*VLOOKUP('Données projet'!$B$11,Paramètres!$A$1:$I$89,5,0)</f>
        <v>-1.9065282685915009E-13</v>
      </c>
      <c r="BF141" s="14" t="e">
        <f t="shared" si="145"/>
        <v>#NUM!</v>
      </c>
      <c r="BG141" s="22" t="e">
        <f t="shared" si="115"/>
        <v>#NUM!</v>
      </c>
      <c r="BH141" s="61" t="e">
        <f t="shared" si="116"/>
        <v>#NUM!</v>
      </c>
      <c r="BI141" s="61">
        <f ca="1">AVERAGE(OFFSET($BH$3,0,0,'Données projet'!$E$11+1,1))-AVERAGE(OFFSET($H$3,0,0,'Données projet'!$E$11+1,1))</f>
        <v>374.79806286316051</v>
      </c>
      <c r="BJ141" s="61">
        <f t="shared" si="146"/>
        <v>350.01856672839466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1.1149602106249101</v>
      </c>
      <c r="BR141" s="23">
        <f>EXP(-LN(2)/2)*BR140+(1-EXP(-LN(2)/2))/(LN(2)/2)*BL141*BO141*VLOOKUP('Données projet'!$B$11,Paramètres!$A$1:$I$89,3,0)*0.475*44/12</f>
        <v>6.1105459812556828E-16</v>
      </c>
      <c r="BS141" s="24">
        <f t="shared" si="117"/>
        <v>1.1149602106249108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5.6843418860808015E-13</v>
      </c>
      <c r="BZ141" s="14">
        <f>BY141*VLOOKUP('Données projet'!$B$12,Paramètres!$A$1:$I$89,3,0)*VLOOKUP('Données projet'!$B$12,Paramètres!$A$1:$I$89,5,0)</f>
        <v>2.6602720026858149E-13</v>
      </c>
      <c r="CA141" s="14">
        <f t="shared" si="147"/>
        <v>3.5662905043956649E-12</v>
      </c>
      <c r="CB141" s="22">
        <f t="shared" si="118"/>
        <v>6.6746200022902298E-12</v>
      </c>
      <c r="CC141" s="61">
        <f t="shared" si="119"/>
        <v>293.33333333333997</v>
      </c>
      <c r="CD141" s="61">
        <f ca="1">AVERAGE(OFFSET($CC$3,0,0,'Données projet'!$E$12+1,1))-AVERAGE(OFFSET($H$3,0,0,'Données projet'!$E$12+1,1))</f>
        <v>285.59863510278109</v>
      </c>
      <c r="CE141" s="61">
        <f t="shared" si="148"/>
        <v>190.4880882944471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5.4683368944097308E-14</v>
      </c>
      <c r="CV141" s="14">
        <f t="shared" si="149"/>
        <v>8.8129432816788268E-13</v>
      </c>
      <c r="CW141" s="22">
        <f t="shared" si="121"/>
        <v>1.6301611558033651E-12</v>
      </c>
      <c r="CX141" s="61">
        <f t="shared" si="122"/>
        <v>293.33333333333496</v>
      </c>
      <c r="CY141" s="61">
        <f ca="1">AVERAGE(OFFSET($CX$3,0,0,'Données projet'!$E$13+1,1))-AVERAGE(OFFSET($H$3,0,0,'Données projet'!$E$13+1,1))</f>
        <v>273.72618036666552</v>
      </c>
      <c r="CZ141" s="61">
        <f t="shared" si="150"/>
        <v>157.67999791700714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1.7053025658242404E-13</v>
      </c>
      <c r="DP141" s="18">
        <f>DO141*VLOOKUP('Données projet'!$B$14,Paramètres!$A$1:$I$89,3,0)*VLOOKUP('Données projet'!$B$14,Paramètres!$A$1:$I$89,5,0)</f>
        <v>1.1439169611549005E-13</v>
      </c>
      <c r="DQ141" s="14">
        <f t="shared" si="151"/>
        <v>1.6918016515029816E-12</v>
      </c>
      <c r="DR141" s="22">
        <f t="shared" si="124"/>
        <v>3.1457867471021712E-12</v>
      </c>
      <c r="DS141" s="61">
        <f t="shared" si="125"/>
        <v>293.33333333333644</v>
      </c>
      <c r="DT141" s="61">
        <f ca="1">AVERAGE(OFFSET($DS$3,0,0,'Données projet'!$E$14+1,1))-AVERAGE(OFFSET($H$3,0,0,'Données projet'!$E$14+1,1))</f>
        <v>312.06797204903796</v>
      </c>
      <c r="DU141" s="61">
        <f t="shared" si="152"/>
        <v>258.20189001775151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1.4210854715202004E-13</v>
      </c>
      <c r="EK141" s="18">
        <f>EJ141*VLOOKUP('Données projet'!$B$15,Paramètres!$A$1:$I$89,3,0)*VLOOKUP('Données projet'!$B$15,Paramètres!$A$1:$I$89,5,0)</f>
        <v>1.1527845344971866E-13</v>
      </c>
      <c r="EL141" s="14">
        <f t="shared" si="153"/>
        <v>1.7033846239409443E-12</v>
      </c>
      <c r="EM141" s="22">
        <f t="shared" si="127"/>
        <v>3.1675048597887374E-12</v>
      </c>
      <c r="EN141" s="61">
        <f t="shared" si="128"/>
        <v>293.3333333333365</v>
      </c>
      <c r="EO141" s="61">
        <f ca="1">AVERAGE(OFFSET($EN$3,0,0,'Données projet'!$E$15+1,1))-AVERAGE(OFFSET($H$3,0,0,'Données projet'!$E$15+1,1))</f>
        <v>222.15256609836689</v>
      </c>
      <c r="EP141" s="61">
        <f t="shared" si="154"/>
        <v>221.10360210521077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1.1368683772161603E-13</v>
      </c>
      <c r="FF141" s="18">
        <f>FE141*VLOOKUP('Données projet'!$B$16,Paramètres!$A$1:$I$89,3,0)*VLOOKUP('Données projet'!$B$16,Paramètres!$A$1:$I$89,5,0)</f>
        <v>8.8675733422860506E-14</v>
      </c>
      <c r="FG141" s="14">
        <f t="shared" si="155"/>
        <v>1.3509285393066301E-12</v>
      </c>
      <c r="FH141" s="22">
        <f t="shared" si="130"/>
        <v>2.5073107750038623E-12</v>
      </c>
      <c r="FI141" s="61">
        <f t="shared" si="131"/>
        <v>293.33333333333582</v>
      </c>
      <c r="FJ141" s="61">
        <f ca="1">AVERAGE(OFFSET($FI$3,0,0,'Données projet'!$E$16+1,1))-AVERAGE(OFFSET($H$3,0,0,'Données projet'!$E$16+1,1))</f>
        <v>292.57482726862594</v>
      </c>
      <c r="FK141" s="61">
        <f t="shared" si="156"/>
        <v>283.48738729114024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2.7</v>
      </c>
      <c r="FZ141" s="13">
        <f>IF('Données projet'!$A$244&gt;35,FZ140+FY141-GH140,IF(A141&lt;'Données projet'!$A$244,$FW$205^A141,IF(A141='Données projet'!$A$244,'Données projet'!$B$244,FZ140+FY141-GH140)))</f>
        <v>290.59999999999928</v>
      </c>
      <c r="GA141" s="18">
        <f>FZ141*VLOOKUP('Données projet'!$B$17,Paramètres!$A$1:$I$89,3,0)*VLOOKUP('Données projet'!$B$17,Paramètres!$A$1:$I$89,5,0)</f>
        <v>281.06831999999929</v>
      </c>
      <c r="GB141" s="14">
        <f t="shared" si="157"/>
        <v>67.192725545416536</v>
      </c>
      <c r="GC141" s="22">
        <f t="shared" si="133"/>
        <v>606.55465432493247</v>
      </c>
      <c r="GD141" s="61">
        <f t="shared" si="134"/>
        <v>899.88798765826573</v>
      </c>
      <c r="GE141" s="61">
        <f ca="1">AVERAGE(OFFSET($GD$3,0,0,'Données projet'!$E$17+1,1))-AVERAGE(OFFSET($H$3,0,0,'Données projet'!$E$17+1,1))</f>
        <v>455.50822833641354</v>
      </c>
      <c r="GF141" s="61">
        <f t="shared" si="158"/>
        <v>261.14722581688039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0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0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2.7</v>
      </c>
      <c r="GU141" s="13">
        <f>IF('Données projet'!$A$270&gt;35,GU140+GT141-HC140,IF(A141&lt;'Données projet'!$A$270,$GR$205^A141,IF(A141='Données projet'!$A$270,'Données projet'!$B$270,GU140+GT141-HC140)))</f>
        <v>290.59999999999928</v>
      </c>
      <c r="GV141" s="18">
        <f>GU141*VLOOKUP('Données projet'!$B$18,Paramètres!$A$1:$I$89,3,0)*VLOOKUP('Données projet'!$B$18,Paramètres!$A$1:$I$89,5,0)</f>
        <v>312.80183999999923</v>
      </c>
      <c r="GW141" s="14">
        <f t="shared" si="159"/>
        <v>73.853659115640255</v>
      </c>
      <c r="GX141" s="22">
        <f t="shared" si="136"/>
        <v>673.42499429307202</v>
      </c>
      <c r="GY141" s="61">
        <f t="shared" si="137"/>
        <v>966.75832762640539</v>
      </c>
      <c r="GZ141" s="61">
        <f ca="1">AVERAGE(OFFSET($GY$3,0,0,'Données projet'!$E$18+1,1))-AVERAGE(OFFSET($H$3,0,0,'Données projet'!$E$18+1,1))</f>
        <v>502.07782026233912</v>
      </c>
      <c r="HA141" s="61">
        <f t="shared" si="160"/>
        <v>285.83623046025156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0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0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265.37783999999937</v>
      </c>
      <c r="P142" s="14">
        <f t="shared" si="141"/>
        <v>63.867346655917089</v>
      </c>
      <c r="Q142" s="22">
        <f t="shared" si="108"/>
        <v>573.43536675905443</v>
      </c>
      <c r="R142" s="61">
        <f t="shared" si="109"/>
        <v>866.76870009238769</v>
      </c>
      <c r="S142" s="61">
        <f ca="1">AVERAGE(OFFSET($R$3,0,0,'Données projet'!$E$9+1,1))-AVERAGE(OFFSET($H$3,0,0,'Données projet'!$E$9+1,1))</f>
        <v>428.8489304403459</v>
      </c>
      <c r="T142" s="61">
        <f t="shared" si="142"/>
        <v>247.01165577562966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1">
        <f t="shared" si="113"/>
        <v>934.33394527104656</v>
      </c>
      <c r="AN142" s="61">
        <f ca="1">AVERAGE(OFFSET($AM$3,0,0,'Données projet'!$E$10+1,1))-AVERAGE(OFFSET($H$3,0,0,'Données projet'!$E$10+1,1))</f>
        <v>475.47920969424894</v>
      </c>
      <c r="AO142" s="61">
        <f t="shared" si="144"/>
        <v>271.73544012419364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-3.4106051316484809E-13</v>
      </c>
      <c r="BE142" s="14">
        <f>BD142*VLOOKUP('Données projet'!$B$11,Paramètres!$A$1:$I$89,3,0)*VLOOKUP('Données projet'!$B$11,Paramètres!$A$1:$I$89,5,0)</f>
        <v>-1.9065282685915009E-13</v>
      </c>
      <c r="BF142" s="14" t="e">
        <f t="shared" si="145"/>
        <v>#NUM!</v>
      </c>
      <c r="BG142" s="22" t="e">
        <f t="shared" si="115"/>
        <v>#NUM!</v>
      </c>
      <c r="BH142" s="61" t="e">
        <f t="shared" si="116"/>
        <v>#NUM!</v>
      </c>
      <c r="BI142" s="61">
        <f ca="1">AVERAGE(OFFSET($BH$3,0,0,'Données projet'!$E$11+1,1))-AVERAGE(OFFSET($H$3,0,0,'Données projet'!$E$11+1,1))</f>
        <v>374.79806286316051</v>
      </c>
      <c r="BJ142" s="61">
        <f t="shared" si="146"/>
        <v>350.01856672839466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1.0844715650321628</v>
      </c>
      <c r="BR142" s="23">
        <f>EXP(-LN(2)/2)*BR141+(1-EXP(-LN(2)/2))/(LN(2)/2)*BL142*BO142*VLOOKUP('Données projet'!$B$11,Paramètres!$A$1:$I$89,3,0)*0.475*44/12</f>
        <v>4.3208085000980999E-16</v>
      </c>
      <c r="BS142" s="24">
        <f t="shared" si="117"/>
        <v>1.0844715650321632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5.6843418860808015E-13</v>
      </c>
      <c r="BZ142" s="14">
        <f>BY142*VLOOKUP('Données projet'!$B$12,Paramètres!$A$1:$I$89,3,0)*VLOOKUP('Données projet'!$B$12,Paramètres!$A$1:$I$89,5,0)</f>
        <v>2.6602720026858149E-13</v>
      </c>
      <c r="CA142" s="14">
        <f t="shared" si="147"/>
        <v>3.5662905043956649E-12</v>
      </c>
      <c r="CB142" s="22">
        <f t="shared" si="118"/>
        <v>6.6746200022902298E-12</v>
      </c>
      <c r="CC142" s="61">
        <f t="shared" si="119"/>
        <v>293.33333333333997</v>
      </c>
      <c r="CD142" s="61">
        <f ca="1">AVERAGE(OFFSET($CC$3,0,0,'Données projet'!$E$12+1,1))-AVERAGE(OFFSET($H$3,0,0,'Données projet'!$E$12+1,1))</f>
        <v>285.59863510278109</v>
      </c>
      <c r="CE142" s="61">
        <f t="shared" si="148"/>
        <v>190.4880882944471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5.4683368944097308E-14</v>
      </c>
      <c r="CV142" s="14">
        <f t="shared" si="149"/>
        <v>8.8129432816788268E-13</v>
      </c>
      <c r="CW142" s="22">
        <f t="shared" si="121"/>
        <v>1.6301611558033651E-12</v>
      </c>
      <c r="CX142" s="61">
        <f t="shared" si="122"/>
        <v>293.33333333333496</v>
      </c>
      <c r="CY142" s="61">
        <f ca="1">AVERAGE(OFFSET($CX$3,0,0,'Données projet'!$E$13+1,1))-AVERAGE(OFFSET($H$3,0,0,'Données projet'!$E$13+1,1))</f>
        <v>273.72618036666552</v>
      </c>
      <c r="CZ142" s="61">
        <f t="shared" si="150"/>
        <v>157.67999791700714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1.7053025658242404E-13</v>
      </c>
      <c r="DP142" s="18">
        <f>DO142*VLOOKUP('Données projet'!$B$14,Paramètres!$A$1:$I$89,3,0)*VLOOKUP('Données projet'!$B$14,Paramètres!$A$1:$I$89,5,0)</f>
        <v>1.1439169611549005E-13</v>
      </c>
      <c r="DQ142" s="14">
        <f t="shared" si="151"/>
        <v>1.6918016515029816E-12</v>
      </c>
      <c r="DR142" s="22">
        <f t="shared" si="124"/>
        <v>3.1457867471021712E-12</v>
      </c>
      <c r="DS142" s="61">
        <f t="shared" si="125"/>
        <v>293.33333333333644</v>
      </c>
      <c r="DT142" s="61">
        <f ca="1">AVERAGE(OFFSET($DS$3,0,0,'Données projet'!$E$14+1,1))-AVERAGE(OFFSET($H$3,0,0,'Données projet'!$E$14+1,1))</f>
        <v>312.06797204903796</v>
      </c>
      <c r="DU142" s="61">
        <f t="shared" si="152"/>
        <v>258.20189001775151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1.4210854715202004E-13</v>
      </c>
      <c r="EK142" s="18">
        <f>EJ142*VLOOKUP('Données projet'!$B$15,Paramètres!$A$1:$I$89,3,0)*VLOOKUP('Données projet'!$B$15,Paramètres!$A$1:$I$89,5,0)</f>
        <v>1.1527845344971866E-13</v>
      </c>
      <c r="EL142" s="14">
        <f t="shared" si="153"/>
        <v>1.7033846239409443E-12</v>
      </c>
      <c r="EM142" s="22">
        <f t="shared" si="127"/>
        <v>3.1675048597887374E-12</v>
      </c>
      <c r="EN142" s="61">
        <f t="shared" si="128"/>
        <v>293.3333333333365</v>
      </c>
      <c r="EO142" s="61">
        <f ca="1">AVERAGE(OFFSET($EN$3,0,0,'Données projet'!$E$15+1,1))-AVERAGE(OFFSET($H$3,0,0,'Données projet'!$E$15+1,1))</f>
        <v>222.15256609836689</v>
      </c>
      <c r="EP142" s="61">
        <f t="shared" si="154"/>
        <v>221.10360210521077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1.1368683772161603E-13</v>
      </c>
      <c r="FF142" s="18">
        <f>FE142*VLOOKUP('Données projet'!$B$16,Paramètres!$A$1:$I$89,3,0)*VLOOKUP('Données projet'!$B$16,Paramètres!$A$1:$I$89,5,0)</f>
        <v>8.8675733422860506E-14</v>
      </c>
      <c r="FG142" s="14">
        <f t="shared" si="155"/>
        <v>1.3509285393066301E-12</v>
      </c>
      <c r="FH142" s="22">
        <f t="shared" si="130"/>
        <v>2.5073107750038623E-12</v>
      </c>
      <c r="FI142" s="61">
        <f t="shared" si="131"/>
        <v>293.33333333333582</v>
      </c>
      <c r="FJ142" s="61">
        <f ca="1">AVERAGE(OFFSET($FI$3,0,0,'Données projet'!$E$16+1,1))-AVERAGE(OFFSET($H$3,0,0,'Données projet'!$E$16+1,1))</f>
        <v>292.57482726862594</v>
      </c>
      <c r="FK142" s="61">
        <f t="shared" si="156"/>
        <v>283.48738729114024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2.7</v>
      </c>
      <c r="FZ142" s="13">
        <f>IF('Données projet'!$A$244&gt;35,FZ141+FY142-GH141,IF(A142&lt;'Données projet'!$A$244,$FW$205^A142,IF(A142='Données projet'!$A$244,'Données projet'!$B$244,FZ141+FY142-GH141)))</f>
        <v>293.29999999999927</v>
      </c>
      <c r="GA142" s="18">
        <f>FZ142*VLOOKUP('Données projet'!$B$17,Paramètres!$A$1:$I$89,3,0)*VLOOKUP('Données projet'!$B$17,Paramètres!$A$1:$I$89,5,0)</f>
        <v>283.67975999999931</v>
      </c>
      <c r="GB142" s="14">
        <f t="shared" si="157"/>
        <v>67.74405605004435</v>
      </c>
      <c r="GC142" s="22">
        <f t="shared" si="133"/>
        <v>612.06314628715938</v>
      </c>
      <c r="GD142" s="61">
        <f t="shared" si="134"/>
        <v>905.39647962049276</v>
      </c>
      <c r="GE142" s="61">
        <f ca="1">AVERAGE(OFFSET($GD$3,0,0,'Données projet'!$E$17+1,1))-AVERAGE(OFFSET($H$3,0,0,'Données projet'!$E$17+1,1))</f>
        <v>455.50822833641354</v>
      </c>
      <c r="GF142" s="61">
        <f t="shared" si="158"/>
        <v>261.14722581688039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0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0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2.7</v>
      </c>
      <c r="GU142" s="13">
        <f>IF('Données projet'!$A$270&gt;35,GU141+GT142-HC141,IF(A142&lt;'Données projet'!$A$270,$GR$205^A142,IF(A142='Données projet'!$A$270,'Données projet'!$B$270,GU141+GT142-HC141)))</f>
        <v>293.29999999999927</v>
      </c>
      <c r="GV142" s="18">
        <f>GU142*VLOOKUP('Données projet'!$B$18,Paramètres!$A$1:$I$89,3,0)*VLOOKUP('Données projet'!$B$18,Paramètres!$A$1:$I$89,5,0)</f>
        <v>315.70811999999916</v>
      </c>
      <c r="GW142" s="14">
        <f t="shared" si="159"/>
        <v>74.459643987042966</v>
      </c>
      <c r="GX142" s="22">
        <f t="shared" si="136"/>
        <v>679.54218894409837</v>
      </c>
      <c r="GY142" s="61">
        <f t="shared" si="137"/>
        <v>972.87552227743163</v>
      </c>
      <c r="GZ142" s="61">
        <f ca="1">AVERAGE(OFFSET($GY$3,0,0,'Données projet'!$E$18+1,1))-AVERAGE(OFFSET($H$3,0,0,'Données projet'!$E$18+1,1))</f>
        <v>502.07782026233912</v>
      </c>
      <c r="HA142" s="61">
        <f t="shared" si="160"/>
        <v>285.83623046025156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0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0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267.82079999999934</v>
      </c>
      <c r="P143" s="14">
        <f t="shared" si="141"/>
        <v>64.386570147897245</v>
      </c>
      <c r="Q143" s="22">
        <f t="shared" si="108"/>
        <v>578.59450300758647</v>
      </c>
      <c r="R143" s="61">
        <f t="shared" si="109"/>
        <v>871.92783634091984</v>
      </c>
      <c r="S143" s="61">
        <f ca="1">AVERAGE(OFFSET($R$3,0,0,'Données projet'!$E$9+1,1))-AVERAGE(OFFSET($H$3,0,0,'Données projet'!$E$9+1,1))</f>
        <v>428.8489304403459</v>
      </c>
      <c r="T143" s="61">
        <f t="shared" si="142"/>
        <v>247.01165577562966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1">
        <f t="shared" si="113"/>
        <v>940.10238306495216</v>
      </c>
      <c r="AN143" s="61">
        <f ca="1">AVERAGE(OFFSET($AM$3,0,0,'Données projet'!$E$10+1,1))-AVERAGE(OFFSET($H$3,0,0,'Données projet'!$E$10+1,1))</f>
        <v>475.47920969424894</v>
      </c>
      <c r="AO143" s="61">
        <f t="shared" si="144"/>
        <v>271.73544012419364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-3.4106051316484809E-13</v>
      </c>
      <c r="BE143" s="14">
        <f>BD143*VLOOKUP('Données projet'!$B$11,Paramètres!$A$1:$I$89,3,0)*VLOOKUP('Données projet'!$B$11,Paramètres!$A$1:$I$89,5,0)</f>
        <v>-1.9065282685915009E-13</v>
      </c>
      <c r="BF143" s="14" t="e">
        <f t="shared" si="145"/>
        <v>#NUM!</v>
      </c>
      <c r="BG143" s="22" t="e">
        <f t="shared" si="115"/>
        <v>#NUM!</v>
      </c>
      <c r="BH143" s="61" t="e">
        <f t="shared" si="116"/>
        <v>#NUM!</v>
      </c>
      <c r="BI143" s="61">
        <f ca="1">AVERAGE(OFFSET($BH$3,0,0,'Données projet'!$E$11+1,1))-AVERAGE(OFFSET($H$3,0,0,'Données projet'!$E$11+1,1))</f>
        <v>374.79806286316051</v>
      </c>
      <c r="BJ143" s="61">
        <f t="shared" si="146"/>
        <v>350.01856672839466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1.0548166330564772</v>
      </c>
      <c r="BR143" s="23">
        <f>EXP(-LN(2)/2)*BR142+(1-EXP(-LN(2)/2))/(LN(2)/2)*BL143*BO143*VLOOKUP('Données projet'!$B$11,Paramètres!$A$1:$I$89,3,0)*0.475*44/12</f>
        <v>3.0552729906278419E-16</v>
      </c>
      <c r="BS143" s="24">
        <f t="shared" si="117"/>
        <v>1.0548166330564774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5.6843418860808015E-13</v>
      </c>
      <c r="BZ143" s="14">
        <f>BY143*VLOOKUP('Données projet'!$B$12,Paramètres!$A$1:$I$89,3,0)*VLOOKUP('Données projet'!$B$12,Paramètres!$A$1:$I$89,5,0)</f>
        <v>2.6602720026858149E-13</v>
      </c>
      <c r="CA143" s="14">
        <f t="shared" si="147"/>
        <v>3.5662905043956649E-12</v>
      </c>
      <c r="CB143" s="22">
        <f t="shared" si="118"/>
        <v>6.6746200022902298E-12</v>
      </c>
      <c r="CC143" s="61">
        <f t="shared" si="119"/>
        <v>293.33333333333997</v>
      </c>
      <c r="CD143" s="61">
        <f ca="1">AVERAGE(OFFSET($CC$3,0,0,'Données projet'!$E$12+1,1))-AVERAGE(OFFSET($H$3,0,0,'Données projet'!$E$12+1,1))</f>
        <v>285.59863510278109</v>
      </c>
      <c r="CE143" s="61">
        <f t="shared" si="148"/>
        <v>190.4880882944471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5.4683368944097308E-14</v>
      </c>
      <c r="CV143" s="14">
        <f t="shared" si="149"/>
        <v>8.8129432816788268E-13</v>
      </c>
      <c r="CW143" s="22">
        <f t="shared" si="121"/>
        <v>1.6301611558033651E-12</v>
      </c>
      <c r="CX143" s="61">
        <f t="shared" si="122"/>
        <v>293.33333333333496</v>
      </c>
      <c r="CY143" s="61">
        <f ca="1">AVERAGE(OFFSET($CX$3,0,0,'Données projet'!$E$13+1,1))-AVERAGE(OFFSET($H$3,0,0,'Données projet'!$E$13+1,1))</f>
        <v>273.72618036666552</v>
      </c>
      <c r="CZ143" s="61">
        <f t="shared" si="150"/>
        <v>157.67999791700714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1.7053025658242404E-13</v>
      </c>
      <c r="DP143" s="18">
        <f>DO143*VLOOKUP('Données projet'!$B$14,Paramètres!$A$1:$I$89,3,0)*VLOOKUP('Données projet'!$B$14,Paramètres!$A$1:$I$89,5,0)</f>
        <v>1.1439169611549005E-13</v>
      </c>
      <c r="DQ143" s="14">
        <f t="shared" si="151"/>
        <v>1.6918016515029816E-12</v>
      </c>
      <c r="DR143" s="22">
        <f t="shared" si="124"/>
        <v>3.1457867471021712E-12</v>
      </c>
      <c r="DS143" s="61">
        <f t="shared" si="125"/>
        <v>293.33333333333644</v>
      </c>
      <c r="DT143" s="61">
        <f ca="1">AVERAGE(OFFSET($DS$3,0,0,'Données projet'!$E$14+1,1))-AVERAGE(OFFSET($H$3,0,0,'Données projet'!$E$14+1,1))</f>
        <v>312.06797204903796</v>
      </c>
      <c r="DU143" s="61">
        <f t="shared" si="152"/>
        <v>258.20189001775151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1.4210854715202004E-13</v>
      </c>
      <c r="EK143" s="18">
        <f>EJ143*VLOOKUP('Données projet'!$B$15,Paramètres!$A$1:$I$89,3,0)*VLOOKUP('Données projet'!$B$15,Paramètres!$A$1:$I$89,5,0)</f>
        <v>1.1527845344971866E-13</v>
      </c>
      <c r="EL143" s="14">
        <f t="shared" si="153"/>
        <v>1.7033846239409443E-12</v>
      </c>
      <c r="EM143" s="22">
        <f t="shared" si="127"/>
        <v>3.1675048597887374E-12</v>
      </c>
      <c r="EN143" s="61">
        <f t="shared" si="128"/>
        <v>293.3333333333365</v>
      </c>
      <c r="EO143" s="61">
        <f ca="1">AVERAGE(OFFSET($EN$3,0,0,'Données projet'!$E$15+1,1))-AVERAGE(OFFSET($H$3,0,0,'Données projet'!$E$15+1,1))</f>
        <v>222.15256609836689</v>
      </c>
      <c r="EP143" s="61">
        <f t="shared" si="154"/>
        <v>221.10360210521077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1.1368683772161603E-13</v>
      </c>
      <c r="FF143" s="18">
        <f>FE143*VLOOKUP('Données projet'!$B$16,Paramètres!$A$1:$I$89,3,0)*VLOOKUP('Données projet'!$B$16,Paramètres!$A$1:$I$89,5,0)</f>
        <v>8.8675733422860506E-14</v>
      </c>
      <c r="FG143" s="14">
        <f t="shared" si="155"/>
        <v>1.3509285393066301E-12</v>
      </c>
      <c r="FH143" s="22">
        <f t="shared" si="130"/>
        <v>2.5073107750038623E-12</v>
      </c>
      <c r="FI143" s="61">
        <f t="shared" si="131"/>
        <v>293.33333333333582</v>
      </c>
      <c r="FJ143" s="61">
        <f ca="1">AVERAGE(OFFSET($FI$3,0,0,'Données projet'!$E$16+1,1))-AVERAGE(OFFSET($H$3,0,0,'Données projet'!$E$16+1,1))</f>
        <v>292.57482726862594</v>
      </c>
      <c r="FK143" s="61">
        <f t="shared" si="156"/>
        <v>283.48738729114024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>
        <f>VLOOKUP(A143,'Données projet'!$A$243:$I$263,2,0)</f>
        <v>296</v>
      </c>
      <c r="FX143" s="13">
        <f>VLOOKUP(A143,'Données projet'!$A$243:$I$263,9,0)</f>
        <v>2.7</v>
      </c>
      <c r="FY143" s="13">
        <f t="array" ref="FY143">INDEX(FX:FX,MIN(IF(ISNUMBER(FX143:FX339),ROW(FX143:FX339),"")))</f>
        <v>2.7</v>
      </c>
      <c r="FZ143" s="13">
        <f>IF('Données projet'!$A$244&gt;35,FZ142+FY143-GH142,IF(A143&lt;'Données projet'!$A$244,$FW$205^A143,IF(A143='Données projet'!$A$244,'Données projet'!$B$244,FZ142+FY143-GH142)))</f>
        <v>295.99999999999926</v>
      </c>
      <c r="GA143" s="18">
        <f>FZ143*VLOOKUP('Données projet'!$B$17,Paramètres!$A$1:$I$89,3,0)*VLOOKUP('Données projet'!$B$17,Paramètres!$A$1:$I$89,5,0)</f>
        <v>286.29119999999926</v>
      </c>
      <c r="GB143" s="14">
        <f t="shared" si="157"/>
        <v>68.294796094604223</v>
      </c>
      <c r="GC143" s="22">
        <f t="shared" si="133"/>
        <v>617.57060986476779</v>
      </c>
      <c r="GD143" s="61">
        <f t="shared" si="134"/>
        <v>910.90394319810116</v>
      </c>
      <c r="GE143" s="61">
        <f ca="1">AVERAGE(OFFSET($GD$3,0,0,'Données projet'!$E$17+1,1))-AVERAGE(OFFSET($H$3,0,0,'Données projet'!$E$17+1,1))</f>
        <v>455.50822833641354</v>
      </c>
      <c r="GF143" s="61">
        <f t="shared" si="158"/>
        <v>261.14722581688039</v>
      </c>
      <c r="GG143" s="16">
        <f>IF(ISNA(VLOOKUP(A143,'Données projet'!$A$243:$I$263,3,0)),0,VLOOKUP(A143,'Données projet'!$A$243:$I$263,3,0))</f>
        <v>12</v>
      </c>
      <c r="GH143" s="16">
        <f>IF(ISNA(VLOOKUP(A143,'Données projet'!$A$243:$I$263,4,0)),0,VLOOKUP(A143,'Données projet'!$A$243:$I$263,4,0))</f>
        <v>27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0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0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>
        <f>VLOOKUP(A143,'Données projet'!$A$269:$I$289,2,0)</f>
        <v>296</v>
      </c>
      <c r="GS143" s="13">
        <f>VLOOKUP(A143,'Données projet'!$A$269:$I$289,9,0)</f>
        <v>2.7</v>
      </c>
      <c r="GT143" s="13">
        <f t="array" ref="GT143">INDEX(GS:GS,MIN(IF(ISNUMBER(GS143:GS339),ROW(GS143:GS339),"")))</f>
        <v>2.7</v>
      </c>
      <c r="GU143" s="13">
        <f>IF('Données projet'!$A$270&gt;35,GU142+GT143-HC142,IF(A143&lt;'Données projet'!$A$270,$GR$205^A143,IF(A143='Données projet'!$A$270,'Données projet'!$B$270,GU142+GT143-HC142)))</f>
        <v>295.99999999999926</v>
      </c>
      <c r="GV143" s="18">
        <f>GU143*VLOOKUP('Données projet'!$B$18,Paramètres!$A$1:$I$89,3,0)*VLOOKUP('Données projet'!$B$18,Paramètres!$A$1:$I$89,5,0)</f>
        <v>318.61439999999919</v>
      </c>
      <c r="GW143" s="14">
        <f t="shared" si="159"/>
        <v>75.064979865028292</v>
      </c>
      <c r="GX143" s="22">
        <f t="shared" si="136"/>
        <v>685.65825326492302</v>
      </c>
      <c r="GY143" s="61">
        <f t="shared" si="137"/>
        <v>978.99158659825639</v>
      </c>
      <c r="GZ143" s="61">
        <f ca="1">AVERAGE(OFFSET($GY$3,0,0,'Données projet'!$E$18+1,1))-AVERAGE(OFFSET($H$3,0,0,'Données projet'!$E$18+1,1))</f>
        <v>502.07782026233912</v>
      </c>
      <c r="HA143" s="61">
        <f t="shared" si="160"/>
        <v>285.83623046025156</v>
      </c>
      <c r="HB143" s="16">
        <f>IF(ISNA(VLOOKUP(A143,'Données projet'!$A$269:$I$289,3,0)),0,VLOOKUP(A143,'Données projet'!$A$269:$I$289,3,0))</f>
        <v>12</v>
      </c>
      <c r="HC143" s="16">
        <f>IF(ISNA(VLOOKUP(A143,'Données projet'!$A$269:$I$289,4,0)),0,VLOOKUP(A143,'Données projet'!$A$269:$I$289,4,0))</f>
        <v>27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0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0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245.5627199999993</v>
      </c>
      <c r="P144" s="14">
        <f t="shared" si="141"/>
        <v>59.634776048276741</v>
      </c>
      <c r="Q144" s="22">
        <f t="shared" si="108"/>
        <v>531.55230561741405</v>
      </c>
      <c r="R144" s="61">
        <f t="shared" si="109"/>
        <v>824.88563895074731</v>
      </c>
      <c r="S144" s="61">
        <f ca="1">AVERAGE(OFFSET($R$3,0,0,'Données projet'!$E$9+1,1))-AVERAGE(OFFSET($H$3,0,0,'Données projet'!$E$9+1,1))</f>
        <v>428.8489304403459</v>
      </c>
      <c r="T144" s="61">
        <f t="shared" si="142"/>
        <v>247.01165577562966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1">
        <f t="shared" si="113"/>
        <v>887.50488060598582</v>
      </c>
      <c r="AN144" s="61">
        <f ca="1">AVERAGE(OFFSET($AM$3,0,0,'Données projet'!$E$10+1,1))-AVERAGE(OFFSET($H$3,0,0,'Données projet'!$E$10+1,1))</f>
        <v>475.47920969424894</v>
      </c>
      <c r="AO144" s="61">
        <f t="shared" si="144"/>
        <v>271.73544012419364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-3.4106051316484809E-13</v>
      </c>
      <c r="BE144" s="14">
        <f>BD144*VLOOKUP('Données projet'!$B$11,Paramètres!$A$1:$I$89,3,0)*VLOOKUP('Données projet'!$B$11,Paramètres!$A$1:$I$89,5,0)</f>
        <v>-1.9065282685915009E-13</v>
      </c>
      <c r="BF144" s="14" t="e">
        <f t="shared" si="145"/>
        <v>#NUM!</v>
      </c>
      <c r="BG144" s="22" t="e">
        <f t="shared" si="115"/>
        <v>#NUM!</v>
      </c>
      <c r="BH144" s="61" t="e">
        <f t="shared" si="116"/>
        <v>#NUM!</v>
      </c>
      <c r="BI144" s="61">
        <f ca="1">AVERAGE(OFFSET($BH$3,0,0,'Données projet'!$E$11+1,1))-AVERAGE(OFFSET($H$3,0,0,'Données projet'!$E$11+1,1))</f>
        <v>374.79806286316051</v>
      </c>
      <c r="BJ144" s="61">
        <f t="shared" si="146"/>
        <v>350.01856672839466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1.0259726167551519</v>
      </c>
      <c r="BR144" s="23">
        <f>EXP(-LN(2)/2)*BR143+(1-EXP(-LN(2)/2))/(LN(2)/2)*BL144*BO144*VLOOKUP('Données projet'!$B$11,Paramètres!$A$1:$I$89,3,0)*0.475*44/12</f>
        <v>2.1604042500490502E-16</v>
      </c>
      <c r="BS144" s="24">
        <f t="shared" si="117"/>
        <v>1.0259726167551522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5.6843418860808015E-13</v>
      </c>
      <c r="BZ144" s="14">
        <f>BY144*VLOOKUP('Données projet'!$B$12,Paramètres!$A$1:$I$89,3,0)*VLOOKUP('Données projet'!$B$12,Paramètres!$A$1:$I$89,5,0)</f>
        <v>2.6602720026858149E-13</v>
      </c>
      <c r="CA144" s="14">
        <f t="shared" si="147"/>
        <v>3.5662905043956649E-12</v>
      </c>
      <c r="CB144" s="22">
        <f t="shared" si="118"/>
        <v>6.6746200022902298E-12</v>
      </c>
      <c r="CC144" s="61">
        <f t="shared" si="119"/>
        <v>293.33333333333997</v>
      </c>
      <c r="CD144" s="61">
        <f ca="1">AVERAGE(OFFSET($CC$3,0,0,'Données projet'!$E$12+1,1))-AVERAGE(OFFSET($H$3,0,0,'Données projet'!$E$12+1,1))</f>
        <v>285.59863510278109</v>
      </c>
      <c r="CE144" s="61">
        <f t="shared" si="148"/>
        <v>190.4880882944471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5.4683368944097308E-14</v>
      </c>
      <c r="CV144" s="14">
        <f t="shared" si="149"/>
        <v>8.8129432816788268E-13</v>
      </c>
      <c r="CW144" s="22">
        <f t="shared" si="121"/>
        <v>1.6301611558033651E-12</v>
      </c>
      <c r="CX144" s="61">
        <f t="shared" si="122"/>
        <v>293.33333333333496</v>
      </c>
      <c r="CY144" s="61">
        <f ca="1">AVERAGE(OFFSET($CX$3,0,0,'Données projet'!$E$13+1,1))-AVERAGE(OFFSET($H$3,0,0,'Données projet'!$E$13+1,1))</f>
        <v>273.72618036666552</v>
      </c>
      <c r="CZ144" s="61">
        <f t="shared" si="150"/>
        <v>157.67999791700714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1.7053025658242404E-13</v>
      </c>
      <c r="DP144" s="18">
        <f>DO144*VLOOKUP('Données projet'!$B$14,Paramètres!$A$1:$I$89,3,0)*VLOOKUP('Données projet'!$B$14,Paramètres!$A$1:$I$89,5,0)</f>
        <v>1.1439169611549005E-13</v>
      </c>
      <c r="DQ144" s="14">
        <f t="shared" si="151"/>
        <v>1.6918016515029816E-12</v>
      </c>
      <c r="DR144" s="22">
        <f t="shared" si="124"/>
        <v>3.1457867471021712E-12</v>
      </c>
      <c r="DS144" s="61">
        <f t="shared" si="125"/>
        <v>293.33333333333644</v>
      </c>
      <c r="DT144" s="61">
        <f ca="1">AVERAGE(OFFSET($DS$3,0,0,'Données projet'!$E$14+1,1))-AVERAGE(OFFSET($H$3,0,0,'Données projet'!$E$14+1,1))</f>
        <v>312.06797204903796</v>
      </c>
      <c r="DU144" s="61">
        <f t="shared" si="152"/>
        <v>258.20189001775151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1.4210854715202004E-13</v>
      </c>
      <c r="EK144" s="18">
        <f>EJ144*VLOOKUP('Données projet'!$B$15,Paramètres!$A$1:$I$89,3,0)*VLOOKUP('Données projet'!$B$15,Paramètres!$A$1:$I$89,5,0)</f>
        <v>1.1527845344971866E-13</v>
      </c>
      <c r="EL144" s="14">
        <f t="shared" si="153"/>
        <v>1.7033846239409443E-12</v>
      </c>
      <c r="EM144" s="22">
        <f t="shared" si="127"/>
        <v>3.1675048597887374E-12</v>
      </c>
      <c r="EN144" s="61">
        <f t="shared" si="128"/>
        <v>293.3333333333365</v>
      </c>
      <c r="EO144" s="61">
        <f ca="1">AVERAGE(OFFSET($EN$3,0,0,'Données projet'!$E$15+1,1))-AVERAGE(OFFSET($H$3,0,0,'Données projet'!$E$15+1,1))</f>
        <v>222.15256609836689</v>
      </c>
      <c r="EP144" s="61">
        <f t="shared" si="154"/>
        <v>221.10360210521077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1.1368683772161603E-13</v>
      </c>
      <c r="FF144" s="18">
        <f>FE144*VLOOKUP('Données projet'!$B$16,Paramètres!$A$1:$I$89,3,0)*VLOOKUP('Données projet'!$B$16,Paramètres!$A$1:$I$89,5,0)</f>
        <v>8.8675733422860506E-14</v>
      </c>
      <c r="FG144" s="14">
        <f t="shared" si="155"/>
        <v>1.3509285393066301E-12</v>
      </c>
      <c r="FH144" s="22">
        <f t="shared" si="130"/>
        <v>2.5073107750038623E-12</v>
      </c>
      <c r="FI144" s="61">
        <f t="shared" si="131"/>
        <v>293.33333333333582</v>
      </c>
      <c r="FJ144" s="61">
        <f ca="1">AVERAGE(OFFSET($FI$3,0,0,'Données projet'!$E$16+1,1))-AVERAGE(OFFSET($H$3,0,0,'Données projet'!$E$16+1,1))</f>
        <v>292.57482726862594</v>
      </c>
      <c r="FK144" s="61">
        <f t="shared" si="156"/>
        <v>283.48738729114024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2.4</v>
      </c>
      <c r="FZ144" s="13">
        <f>IF('Données projet'!$A$244&gt;35,FZ143+FY144-GH143,IF(A144&lt;'Données projet'!$A$244,$FW$205^A144,IF(A144='Données projet'!$A$244,'Données projet'!$B$244,FZ143+FY144-GH143)))</f>
        <v>271.39999999999924</v>
      </c>
      <c r="GA144" s="18">
        <f>FZ144*VLOOKUP('Données projet'!$B$17,Paramètres!$A$1:$I$89,3,0)*VLOOKUP('Données projet'!$B$17,Paramètres!$A$1:$I$89,5,0)</f>
        <v>262.49807999999928</v>
      </c>
      <c r="GB144" s="14">
        <f t="shared" si="157"/>
        <v>63.254570961137979</v>
      </c>
      <c r="GC144" s="22">
        <f t="shared" si="133"/>
        <v>567.35253375731406</v>
      </c>
      <c r="GD144" s="61">
        <f t="shared" si="134"/>
        <v>860.68586709064743</v>
      </c>
      <c r="GE144" s="61">
        <f ca="1">AVERAGE(OFFSET($GD$3,0,0,'Données projet'!$E$17+1,1))-AVERAGE(OFFSET($H$3,0,0,'Données projet'!$E$17+1,1))</f>
        <v>455.50822833641354</v>
      </c>
      <c r="GF144" s="61">
        <f t="shared" si="158"/>
        <v>261.14722581688039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0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0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2.4</v>
      </c>
      <c r="GU144" s="13">
        <f>IF('Données projet'!$A$270&gt;35,GU143+GT144-HC143,IF(A144&lt;'Données projet'!$A$270,$GR$205^A144,IF(A144='Données projet'!$A$270,'Données projet'!$B$270,GU143+GT144-HC143)))</f>
        <v>271.39999999999924</v>
      </c>
      <c r="GV144" s="18">
        <f>GU144*VLOOKUP('Données projet'!$B$18,Paramètres!$A$1:$I$89,3,0)*VLOOKUP('Données projet'!$B$18,Paramètres!$A$1:$I$89,5,0)</f>
        <v>292.13495999999913</v>
      </c>
      <c r="GW144" s="14">
        <f t="shared" si="159"/>
        <v>69.525108311202104</v>
      </c>
      <c r="GX144" s="22">
        <f t="shared" si="136"/>
        <v>629.89128564200882</v>
      </c>
      <c r="GY144" s="61">
        <f t="shared" si="137"/>
        <v>923.22461897534208</v>
      </c>
      <c r="GZ144" s="61">
        <f ca="1">AVERAGE(OFFSET($GY$3,0,0,'Données projet'!$E$18+1,1))-AVERAGE(OFFSET($H$3,0,0,'Données projet'!$E$18+1,1))</f>
        <v>502.07782026233912</v>
      </c>
      <c r="HA144" s="61">
        <f t="shared" si="160"/>
        <v>285.83623046025156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0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0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247.73423999999929</v>
      </c>
      <c r="P145" s="14">
        <f t="shared" si="141"/>
        <v>60.100505665694953</v>
      </c>
      <c r="Q145" s="22">
        <f t="shared" si="108"/>
        <v>536.14551536775082</v>
      </c>
      <c r="R145" s="61">
        <f t="shared" si="109"/>
        <v>829.47884870108419</v>
      </c>
      <c r="S145" s="61">
        <f ca="1">AVERAGE(OFFSET($R$3,0,0,'Données projet'!$E$9+1,1))-AVERAGE(OFFSET($H$3,0,0,'Données projet'!$E$9+1,1))</f>
        <v>428.8489304403459</v>
      </c>
      <c r="T145" s="61">
        <f t="shared" si="142"/>
        <v>247.01165577562966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1">
        <f t="shared" si="113"/>
        <v>892.64046612551419</v>
      </c>
      <c r="AN145" s="61">
        <f ca="1">AVERAGE(OFFSET($AM$3,0,0,'Données projet'!$E$10+1,1))-AVERAGE(OFFSET($H$3,0,0,'Données projet'!$E$10+1,1))</f>
        <v>475.47920969424894</v>
      </c>
      <c r="AO145" s="61">
        <f t="shared" si="144"/>
        <v>271.73544012419364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-3.4106051316484809E-13</v>
      </c>
      <c r="BE145" s="14">
        <f>BD145*VLOOKUP('Données projet'!$B$11,Paramètres!$A$1:$I$89,3,0)*VLOOKUP('Données projet'!$B$11,Paramètres!$A$1:$I$89,5,0)</f>
        <v>-1.9065282685915009E-13</v>
      </c>
      <c r="BF145" s="14" t="e">
        <f t="shared" si="145"/>
        <v>#NUM!</v>
      </c>
      <c r="BG145" s="22" t="e">
        <f t="shared" si="115"/>
        <v>#NUM!</v>
      </c>
      <c r="BH145" s="61" t="e">
        <f t="shared" si="116"/>
        <v>#NUM!</v>
      </c>
      <c r="BI145" s="61">
        <f ca="1">AVERAGE(OFFSET($BH$3,0,0,'Données projet'!$E$11+1,1))-AVERAGE(OFFSET($H$3,0,0,'Données projet'!$E$11+1,1))</f>
        <v>374.79806286316051</v>
      </c>
      <c r="BJ145" s="61">
        <f t="shared" si="146"/>
        <v>350.01856672839466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0.99791734159642731</v>
      </c>
      <c r="BR145" s="23">
        <f>EXP(-LN(2)/2)*BR144+(1-EXP(-LN(2)/2))/(LN(2)/2)*BL145*BO145*VLOOKUP('Données projet'!$B$11,Paramètres!$A$1:$I$89,3,0)*0.475*44/12</f>
        <v>1.5276364953139212E-16</v>
      </c>
      <c r="BS145" s="24">
        <f t="shared" si="117"/>
        <v>0.99791734159642742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5.6843418860808015E-13</v>
      </c>
      <c r="BZ145" s="14">
        <f>BY145*VLOOKUP('Données projet'!$B$12,Paramètres!$A$1:$I$89,3,0)*VLOOKUP('Données projet'!$B$12,Paramètres!$A$1:$I$89,5,0)</f>
        <v>2.6602720026858149E-13</v>
      </c>
      <c r="CA145" s="14">
        <f t="shared" si="147"/>
        <v>3.5662905043956649E-12</v>
      </c>
      <c r="CB145" s="22">
        <f t="shared" si="118"/>
        <v>6.6746200022902298E-12</v>
      </c>
      <c r="CC145" s="61">
        <f t="shared" si="119"/>
        <v>293.33333333333997</v>
      </c>
      <c r="CD145" s="61">
        <f ca="1">AVERAGE(OFFSET($CC$3,0,0,'Données projet'!$E$12+1,1))-AVERAGE(OFFSET($H$3,0,0,'Données projet'!$E$12+1,1))</f>
        <v>285.59863510278109</v>
      </c>
      <c r="CE145" s="61">
        <f t="shared" si="148"/>
        <v>190.4880882944471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5.4683368944097308E-14</v>
      </c>
      <c r="CV145" s="14">
        <f t="shared" si="149"/>
        <v>8.8129432816788268E-13</v>
      </c>
      <c r="CW145" s="22">
        <f t="shared" si="121"/>
        <v>1.6301611558033651E-12</v>
      </c>
      <c r="CX145" s="61">
        <f t="shared" si="122"/>
        <v>293.33333333333496</v>
      </c>
      <c r="CY145" s="61">
        <f ca="1">AVERAGE(OFFSET($CX$3,0,0,'Données projet'!$E$13+1,1))-AVERAGE(OFFSET($H$3,0,0,'Données projet'!$E$13+1,1))</f>
        <v>273.72618036666552</v>
      </c>
      <c r="CZ145" s="61">
        <f t="shared" si="150"/>
        <v>157.67999791700714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1.7053025658242404E-13</v>
      </c>
      <c r="DP145" s="18">
        <f>DO145*VLOOKUP('Données projet'!$B$14,Paramètres!$A$1:$I$89,3,0)*VLOOKUP('Données projet'!$B$14,Paramètres!$A$1:$I$89,5,0)</f>
        <v>1.1439169611549005E-13</v>
      </c>
      <c r="DQ145" s="14">
        <f t="shared" si="151"/>
        <v>1.6918016515029816E-12</v>
      </c>
      <c r="DR145" s="22">
        <f t="shared" si="124"/>
        <v>3.1457867471021712E-12</v>
      </c>
      <c r="DS145" s="61">
        <f t="shared" si="125"/>
        <v>293.33333333333644</v>
      </c>
      <c r="DT145" s="61">
        <f ca="1">AVERAGE(OFFSET($DS$3,0,0,'Données projet'!$E$14+1,1))-AVERAGE(OFFSET($H$3,0,0,'Données projet'!$E$14+1,1))</f>
        <v>312.06797204903796</v>
      </c>
      <c r="DU145" s="61">
        <f t="shared" si="152"/>
        <v>258.20189001775151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1.4210854715202004E-13</v>
      </c>
      <c r="EK145" s="18">
        <f>EJ145*VLOOKUP('Données projet'!$B$15,Paramètres!$A$1:$I$89,3,0)*VLOOKUP('Données projet'!$B$15,Paramètres!$A$1:$I$89,5,0)</f>
        <v>1.1527845344971866E-13</v>
      </c>
      <c r="EL145" s="14">
        <f t="shared" si="153"/>
        <v>1.7033846239409443E-12</v>
      </c>
      <c r="EM145" s="22">
        <f t="shared" si="127"/>
        <v>3.1675048597887374E-12</v>
      </c>
      <c r="EN145" s="61">
        <f t="shared" si="128"/>
        <v>293.3333333333365</v>
      </c>
      <c r="EO145" s="61">
        <f ca="1">AVERAGE(OFFSET($EN$3,0,0,'Données projet'!$E$15+1,1))-AVERAGE(OFFSET($H$3,0,0,'Données projet'!$E$15+1,1))</f>
        <v>222.15256609836689</v>
      </c>
      <c r="EP145" s="61">
        <f t="shared" si="154"/>
        <v>221.10360210521077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1.1368683772161603E-13</v>
      </c>
      <c r="FF145" s="18">
        <f>FE145*VLOOKUP('Données projet'!$B$16,Paramètres!$A$1:$I$89,3,0)*VLOOKUP('Données projet'!$B$16,Paramètres!$A$1:$I$89,5,0)</f>
        <v>8.8675733422860506E-14</v>
      </c>
      <c r="FG145" s="14">
        <f t="shared" si="155"/>
        <v>1.3509285393066301E-12</v>
      </c>
      <c r="FH145" s="22">
        <f t="shared" si="130"/>
        <v>2.5073107750038623E-12</v>
      </c>
      <c r="FI145" s="61">
        <f t="shared" si="131"/>
        <v>293.33333333333582</v>
      </c>
      <c r="FJ145" s="61">
        <f ca="1">AVERAGE(OFFSET($FI$3,0,0,'Données projet'!$E$16+1,1))-AVERAGE(OFFSET($H$3,0,0,'Données projet'!$E$16+1,1))</f>
        <v>292.57482726862594</v>
      </c>
      <c r="FK145" s="61">
        <f t="shared" si="156"/>
        <v>283.48738729114024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2.4</v>
      </c>
      <c r="FZ145" s="13">
        <f>IF('Données projet'!$A$244&gt;35,FZ144+FY145-GH144,IF(A145&lt;'Données projet'!$A$244,$FW$205^A145,IF(A145='Données projet'!$A$244,'Données projet'!$B$244,FZ144+FY145-GH144)))</f>
        <v>273.79999999999922</v>
      </c>
      <c r="GA145" s="18">
        <f>FZ145*VLOOKUP('Données projet'!$B$17,Paramètres!$A$1:$I$89,3,0)*VLOOKUP('Données projet'!$B$17,Paramètres!$A$1:$I$89,5,0)</f>
        <v>264.81935999999928</v>
      </c>
      <c r="GB145" s="14">
        <f t="shared" si="157"/>
        <v>63.748570085236892</v>
      </c>
      <c r="GC145" s="22">
        <f t="shared" si="133"/>
        <v>572.25581156511964</v>
      </c>
      <c r="GD145" s="61">
        <f t="shared" si="134"/>
        <v>865.58914489845301</v>
      </c>
      <c r="GE145" s="61">
        <f ca="1">AVERAGE(OFFSET($GD$3,0,0,'Données projet'!$E$17+1,1))-AVERAGE(OFFSET($H$3,0,0,'Données projet'!$E$17+1,1))</f>
        <v>455.50822833641354</v>
      </c>
      <c r="GF145" s="61">
        <f t="shared" si="158"/>
        <v>261.14722581688039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0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0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2.4</v>
      </c>
      <c r="GU145" s="13">
        <f>IF('Données projet'!$A$270&gt;35,GU144+GT145-HC144,IF(A145&lt;'Données projet'!$A$270,$GR$205^A145,IF(A145='Données projet'!$A$270,'Données projet'!$B$270,GU144+GT145-HC144)))</f>
        <v>273.79999999999922</v>
      </c>
      <c r="GV145" s="18">
        <f>GU145*VLOOKUP('Données projet'!$B$18,Paramètres!$A$1:$I$89,3,0)*VLOOKUP('Données projet'!$B$18,Paramètres!$A$1:$I$89,5,0)</f>
        <v>294.71831999999915</v>
      </c>
      <c r="GW145" s="14">
        <f t="shared" si="159"/>
        <v>70.068078441055917</v>
      </c>
      <c r="GX145" s="22">
        <f t="shared" si="136"/>
        <v>635.33631061817096</v>
      </c>
      <c r="GY145" s="61">
        <f t="shared" si="137"/>
        <v>928.66964395150421</v>
      </c>
      <c r="GZ145" s="61">
        <f ca="1">AVERAGE(OFFSET($GY$3,0,0,'Données projet'!$E$18+1,1))-AVERAGE(OFFSET($H$3,0,0,'Données projet'!$E$18+1,1))</f>
        <v>502.07782026233912</v>
      </c>
      <c r="HA145" s="61">
        <f t="shared" si="160"/>
        <v>285.83623046025156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0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0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249.90575999999925</v>
      </c>
      <c r="P146" s="14">
        <f t="shared" si="141"/>
        <v>60.565760331923727</v>
      </c>
      <c r="Q146" s="22">
        <f t="shared" si="108"/>
        <v>540.73789791143247</v>
      </c>
      <c r="R146" s="61">
        <f t="shared" si="109"/>
        <v>834.07123124476584</v>
      </c>
      <c r="S146" s="61">
        <f ca="1">AVERAGE(OFFSET($R$3,0,0,'Données projet'!$E$9+1,1))-AVERAGE(OFFSET($H$3,0,0,'Données projet'!$E$9+1,1))</f>
        <v>428.8489304403459</v>
      </c>
      <c r="T146" s="61">
        <f t="shared" si="142"/>
        <v>247.01165577562966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1">
        <f t="shared" si="113"/>
        <v>897.77513681738401</v>
      </c>
      <c r="AN146" s="61">
        <f ca="1">AVERAGE(OFFSET($AM$3,0,0,'Données projet'!$E$10+1,1))-AVERAGE(OFFSET($H$3,0,0,'Données projet'!$E$10+1,1))</f>
        <v>475.47920969424894</v>
      </c>
      <c r="AO146" s="61">
        <f t="shared" si="144"/>
        <v>271.73544012419364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-3.4106051316484809E-13</v>
      </c>
      <c r="BE146" s="14">
        <f>BD146*VLOOKUP('Données projet'!$B$11,Paramètres!$A$1:$I$89,3,0)*VLOOKUP('Données projet'!$B$11,Paramètres!$A$1:$I$89,5,0)</f>
        <v>-1.9065282685915009E-13</v>
      </c>
      <c r="BF146" s="14" t="e">
        <f t="shared" si="145"/>
        <v>#NUM!</v>
      </c>
      <c r="BG146" s="22" t="e">
        <f t="shared" si="115"/>
        <v>#NUM!</v>
      </c>
      <c r="BH146" s="61" t="e">
        <f t="shared" si="116"/>
        <v>#NUM!</v>
      </c>
      <c r="BI146" s="61">
        <f ca="1">AVERAGE(OFFSET($BH$3,0,0,'Données projet'!$E$11+1,1))-AVERAGE(OFFSET($H$3,0,0,'Données projet'!$E$11+1,1))</f>
        <v>374.79806286316051</v>
      </c>
      <c r="BJ146" s="61">
        <f t="shared" si="146"/>
        <v>350.01856672839466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0.97062923941228074</v>
      </c>
      <c r="BR146" s="23">
        <f>EXP(-LN(2)/2)*BR145+(1-EXP(-LN(2)/2))/(LN(2)/2)*BL146*BO146*VLOOKUP('Données projet'!$B$11,Paramètres!$A$1:$I$89,3,0)*0.475*44/12</f>
        <v>1.0802021250245253E-16</v>
      </c>
      <c r="BS146" s="24">
        <f t="shared" si="117"/>
        <v>0.97062923941228085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5.6843418860808015E-13</v>
      </c>
      <c r="BZ146" s="14">
        <f>BY146*VLOOKUP('Données projet'!$B$12,Paramètres!$A$1:$I$89,3,0)*VLOOKUP('Données projet'!$B$12,Paramètres!$A$1:$I$89,5,0)</f>
        <v>2.6602720026858149E-13</v>
      </c>
      <c r="CA146" s="14">
        <f t="shared" si="147"/>
        <v>3.5662905043956649E-12</v>
      </c>
      <c r="CB146" s="22">
        <f t="shared" si="118"/>
        <v>6.6746200022902298E-12</v>
      </c>
      <c r="CC146" s="61">
        <f t="shared" si="119"/>
        <v>293.33333333333997</v>
      </c>
      <c r="CD146" s="61">
        <f ca="1">AVERAGE(OFFSET($CC$3,0,0,'Données projet'!$E$12+1,1))-AVERAGE(OFFSET($H$3,0,0,'Données projet'!$E$12+1,1))</f>
        <v>285.59863510278109</v>
      </c>
      <c r="CE146" s="61">
        <f t="shared" si="148"/>
        <v>190.4880882944471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5.4683368944097308E-14</v>
      </c>
      <c r="CV146" s="14">
        <f t="shared" si="149"/>
        <v>8.8129432816788268E-13</v>
      </c>
      <c r="CW146" s="22">
        <f t="shared" si="121"/>
        <v>1.6301611558033651E-12</v>
      </c>
      <c r="CX146" s="61">
        <f t="shared" si="122"/>
        <v>293.33333333333496</v>
      </c>
      <c r="CY146" s="61">
        <f ca="1">AVERAGE(OFFSET($CX$3,0,0,'Données projet'!$E$13+1,1))-AVERAGE(OFFSET($H$3,0,0,'Données projet'!$E$13+1,1))</f>
        <v>273.72618036666552</v>
      </c>
      <c r="CZ146" s="61">
        <f t="shared" si="150"/>
        <v>157.67999791700714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1.7053025658242404E-13</v>
      </c>
      <c r="DP146" s="18">
        <f>DO146*VLOOKUP('Données projet'!$B$14,Paramètres!$A$1:$I$89,3,0)*VLOOKUP('Données projet'!$B$14,Paramètres!$A$1:$I$89,5,0)</f>
        <v>1.1439169611549005E-13</v>
      </c>
      <c r="DQ146" s="14">
        <f t="shared" si="151"/>
        <v>1.6918016515029816E-12</v>
      </c>
      <c r="DR146" s="22">
        <f t="shared" si="124"/>
        <v>3.1457867471021712E-12</v>
      </c>
      <c r="DS146" s="61">
        <f t="shared" si="125"/>
        <v>293.33333333333644</v>
      </c>
      <c r="DT146" s="61">
        <f ca="1">AVERAGE(OFFSET($DS$3,0,0,'Données projet'!$E$14+1,1))-AVERAGE(OFFSET($H$3,0,0,'Données projet'!$E$14+1,1))</f>
        <v>312.06797204903796</v>
      </c>
      <c r="DU146" s="61">
        <f t="shared" si="152"/>
        <v>258.20189001775151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1.4210854715202004E-13</v>
      </c>
      <c r="EK146" s="18">
        <f>EJ146*VLOOKUP('Données projet'!$B$15,Paramètres!$A$1:$I$89,3,0)*VLOOKUP('Données projet'!$B$15,Paramètres!$A$1:$I$89,5,0)</f>
        <v>1.1527845344971866E-13</v>
      </c>
      <c r="EL146" s="14">
        <f t="shared" si="153"/>
        <v>1.7033846239409443E-12</v>
      </c>
      <c r="EM146" s="22">
        <f t="shared" si="127"/>
        <v>3.1675048597887374E-12</v>
      </c>
      <c r="EN146" s="61">
        <f t="shared" si="128"/>
        <v>293.3333333333365</v>
      </c>
      <c r="EO146" s="61">
        <f ca="1">AVERAGE(OFFSET($EN$3,0,0,'Données projet'!$E$15+1,1))-AVERAGE(OFFSET($H$3,0,0,'Données projet'!$E$15+1,1))</f>
        <v>222.15256609836689</v>
      </c>
      <c r="EP146" s="61">
        <f t="shared" si="154"/>
        <v>221.10360210521077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1.1368683772161603E-13</v>
      </c>
      <c r="FF146" s="18">
        <f>FE146*VLOOKUP('Données projet'!$B$16,Paramètres!$A$1:$I$89,3,0)*VLOOKUP('Données projet'!$B$16,Paramètres!$A$1:$I$89,5,0)</f>
        <v>8.8675733422860506E-14</v>
      </c>
      <c r="FG146" s="14">
        <f t="shared" si="155"/>
        <v>1.3509285393066301E-12</v>
      </c>
      <c r="FH146" s="22">
        <f t="shared" si="130"/>
        <v>2.5073107750038623E-12</v>
      </c>
      <c r="FI146" s="61">
        <f t="shared" si="131"/>
        <v>293.33333333333582</v>
      </c>
      <c r="FJ146" s="61">
        <f ca="1">AVERAGE(OFFSET($FI$3,0,0,'Données projet'!$E$16+1,1))-AVERAGE(OFFSET($H$3,0,0,'Données projet'!$E$16+1,1))</f>
        <v>292.57482726862594</v>
      </c>
      <c r="FK146" s="61">
        <f t="shared" si="156"/>
        <v>283.48738729114024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2.4</v>
      </c>
      <c r="FZ146" s="13">
        <f>IF('Données projet'!$A$244&gt;35,FZ145+FY146-GH145,IF(A146&lt;'Données projet'!$A$244,$FW$205^A146,IF(A146='Données projet'!$A$244,'Données projet'!$B$244,FZ145+FY146-GH145)))</f>
        <v>276.19999999999919</v>
      </c>
      <c r="GA146" s="18">
        <f>FZ146*VLOOKUP('Données projet'!$B$17,Paramètres!$A$1:$I$89,3,0)*VLOOKUP('Données projet'!$B$17,Paramètres!$A$1:$I$89,5,0)</f>
        <v>267.14063999999922</v>
      </c>
      <c r="GB146" s="14">
        <f t="shared" si="157"/>
        <v>64.242065428895785</v>
      </c>
      <c r="GC146" s="22">
        <f t="shared" si="133"/>
        <v>577.15821195532533</v>
      </c>
      <c r="GD146" s="61">
        <f t="shared" si="134"/>
        <v>870.4915452886587</v>
      </c>
      <c r="GE146" s="61">
        <f ca="1">AVERAGE(OFFSET($GD$3,0,0,'Données projet'!$E$17+1,1))-AVERAGE(OFFSET($H$3,0,0,'Données projet'!$E$17+1,1))</f>
        <v>455.50822833641354</v>
      </c>
      <c r="GF146" s="61">
        <f t="shared" si="158"/>
        <v>261.14722581688039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0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0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2.4</v>
      </c>
      <c r="GU146" s="13">
        <f>IF('Données projet'!$A$270&gt;35,GU145+GT146-HC145,IF(A146&lt;'Données projet'!$A$270,$GR$205^A146,IF(A146='Données projet'!$A$270,'Données projet'!$B$270,GU145+GT146-HC145)))</f>
        <v>276.19999999999919</v>
      </c>
      <c r="GV146" s="18">
        <f>GU146*VLOOKUP('Données projet'!$B$18,Paramètres!$A$1:$I$89,3,0)*VLOOKUP('Données projet'!$B$18,Paramètres!$A$1:$I$89,5,0)</f>
        <v>297.30167999999912</v>
      </c>
      <c r="GW146" s="14">
        <f t="shared" si="159"/>
        <v>70.610494849824818</v>
      </c>
      <c r="GX146" s="22">
        <f t="shared" si="136"/>
        <v>640.78037119677663</v>
      </c>
      <c r="GY146" s="61">
        <f t="shared" si="137"/>
        <v>934.11370453011</v>
      </c>
      <c r="GZ146" s="61">
        <f ca="1">AVERAGE(OFFSET($GY$3,0,0,'Données projet'!$E$18+1,1))-AVERAGE(OFFSET($H$3,0,0,'Données projet'!$E$18+1,1))</f>
        <v>502.07782026233912</v>
      </c>
      <c r="HA146" s="61">
        <f t="shared" si="160"/>
        <v>285.83623046025156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0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0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252.07727999999923</v>
      </c>
      <c r="P147" s="14">
        <f t="shared" si="141"/>
        <v>61.030544652154823</v>
      </c>
      <c r="Q147" s="22">
        <f t="shared" si="108"/>
        <v>545.32946126916829</v>
      </c>
      <c r="R147" s="61">
        <f t="shared" si="109"/>
        <v>838.66279460250166</v>
      </c>
      <c r="S147" s="61">
        <f ca="1">AVERAGE(OFFSET($R$3,0,0,'Données projet'!$E$9+1,1))-AVERAGE(OFFSET($H$3,0,0,'Données projet'!$E$9+1,1))</f>
        <v>428.8489304403459</v>
      </c>
      <c r="T147" s="61">
        <f t="shared" si="142"/>
        <v>247.01165577562966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1">
        <f t="shared" si="113"/>
        <v>902.90890155188936</v>
      </c>
      <c r="AN147" s="61">
        <f ca="1">AVERAGE(OFFSET($AM$3,0,0,'Données projet'!$E$10+1,1))-AVERAGE(OFFSET($H$3,0,0,'Données projet'!$E$10+1,1))</f>
        <v>475.47920969424894</v>
      </c>
      <c r="AO147" s="61">
        <f t="shared" si="144"/>
        <v>271.73544012419364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-3.4106051316484809E-13</v>
      </c>
      <c r="BE147" s="14">
        <f>BD147*VLOOKUP('Données projet'!$B$11,Paramètres!$A$1:$I$89,3,0)*VLOOKUP('Données projet'!$B$11,Paramètres!$A$1:$I$89,5,0)</f>
        <v>-1.9065282685915009E-13</v>
      </c>
      <c r="BF147" s="14" t="e">
        <f t="shared" si="145"/>
        <v>#NUM!</v>
      </c>
      <c r="BG147" s="22" t="e">
        <f t="shared" si="115"/>
        <v>#NUM!</v>
      </c>
      <c r="BH147" s="61" t="e">
        <f t="shared" si="116"/>
        <v>#NUM!</v>
      </c>
      <c r="BI147" s="61">
        <f ca="1">AVERAGE(OFFSET($BH$3,0,0,'Données projet'!$E$11+1,1))-AVERAGE(OFFSET($H$3,0,0,'Données projet'!$E$11+1,1))</f>
        <v>374.79806286316051</v>
      </c>
      <c r="BJ147" s="61">
        <f t="shared" si="146"/>
        <v>350.01856672839466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0.94408733181737858</v>
      </c>
      <c r="BR147" s="23">
        <f>EXP(-LN(2)/2)*BR146+(1-EXP(-LN(2)/2))/(LN(2)/2)*BL147*BO147*VLOOKUP('Données projet'!$B$11,Paramètres!$A$1:$I$89,3,0)*0.475*44/12</f>
        <v>7.6381824765696071E-17</v>
      </c>
      <c r="BS147" s="24">
        <f t="shared" si="117"/>
        <v>0.94408733181737869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5.6843418860808015E-13</v>
      </c>
      <c r="BZ147" s="14">
        <f>BY147*VLOOKUP('Données projet'!$B$12,Paramètres!$A$1:$I$89,3,0)*VLOOKUP('Données projet'!$B$12,Paramètres!$A$1:$I$89,5,0)</f>
        <v>2.6602720026858149E-13</v>
      </c>
      <c r="CA147" s="14">
        <f t="shared" si="147"/>
        <v>3.5662905043956649E-12</v>
      </c>
      <c r="CB147" s="22">
        <f t="shared" si="118"/>
        <v>6.6746200022902298E-12</v>
      </c>
      <c r="CC147" s="61">
        <f t="shared" si="119"/>
        <v>293.33333333333997</v>
      </c>
      <c r="CD147" s="61">
        <f ca="1">AVERAGE(OFFSET($CC$3,0,0,'Données projet'!$E$12+1,1))-AVERAGE(OFFSET($H$3,0,0,'Données projet'!$E$12+1,1))</f>
        <v>285.59863510278109</v>
      </c>
      <c r="CE147" s="61">
        <f t="shared" si="148"/>
        <v>190.4880882944471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5.4683368944097308E-14</v>
      </c>
      <c r="CV147" s="14">
        <f t="shared" si="149"/>
        <v>8.8129432816788268E-13</v>
      </c>
      <c r="CW147" s="22">
        <f t="shared" si="121"/>
        <v>1.6301611558033651E-12</v>
      </c>
      <c r="CX147" s="61">
        <f t="shared" si="122"/>
        <v>293.33333333333496</v>
      </c>
      <c r="CY147" s="61">
        <f ca="1">AVERAGE(OFFSET($CX$3,0,0,'Données projet'!$E$13+1,1))-AVERAGE(OFFSET($H$3,0,0,'Données projet'!$E$13+1,1))</f>
        <v>273.72618036666552</v>
      </c>
      <c r="CZ147" s="61">
        <f t="shared" si="150"/>
        <v>157.67999791700714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1.7053025658242404E-13</v>
      </c>
      <c r="DP147" s="18">
        <f>DO147*VLOOKUP('Données projet'!$B$14,Paramètres!$A$1:$I$89,3,0)*VLOOKUP('Données projet'!$B$14,Paramètres!$A$1:$I$89,5,0)</f>
        <v>1.1439169611549005E-13</v>
      </c>
      <c r="DQ147" s="14">
        <f t="shared" si="151"/>
        <v>1.6918016515029816E-12</v>
      </c>
      <c r="DR147" s="22">
        <f t="shared" si="124"/>
        <v>3.1457867471021712E-12</v>
      </c>
      <c r="DS147" s="61">
        <f t="shared" si="125"/>
        <v>293.33333333333644</v>
      </c>
      <c r="DT147" s="61">
        <f ca="1">AVERAGE(OFFSET($DS$3,0,0,'Données projet'!$E$14+1,1))-AVERAGE(OFFSET($H$3,0,0,'Données projet'!$E$14+1,1))</f>
        <v>312.06797204903796</v>
      </c>
      <c r="DU147" s="61">
        <f t="shared" si="152"/>
        <v>258.20189001775151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1.4210854715202004E-13</v>
      </c>
      <c r="EK147" s="18">
        <f>EJ147*VLOOKUP('Données projet'!$B$15,Paramètres!$A$1:$I$89,3,0)*VLOOKUP('Données projet'!$B$15,Paramètres!$A$1:$I$89,5,0)</f>
        <v>1.1527845344971866E-13</v>
      </c>
      <c r="EL147" s="14">
        <f t="shared" si="153"/>
        <v>1.7033846239409443E-12</v>
      </c>
      <c r="EM147" s="22">
        <f t="shared" si="127"/>
        <v>3.1675048597887374E-12</v>
      </c>
      <c r="EN147" s="61">
        <f t="shared" si="128"/>
        <v>293.3333333333365</v>
      </c>
      <c r="EO147" s="61">
        <f ca="1">AVERAGE(OFFSET($EN$3,0,0,'Données projet'!$E$15+1,1))-AVERAGE(OFFSET($H$3,0,0,'Données projet'!$E$15+1,1))</f>
        <v>222.15256609836689</v>
      </c>
      <c r="EP147" s="61">
        <f t="shared" si="154"/>
        <v>221.10360210521077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1.1368683772161603E-13</v>
      </c>
      <c r="FF147" s="18">
        <f>FE147*VLOOKUP('Données projet'!$B$16,Paramètres!$A$1:$I$89,3,0)*VLOOKUP('Données projet'!$B$16,Paramètres!$A$1:$I$89,5,0)</f>
        <v>8.8675733422860506E-14</v>
      </c>
      <c r="FG147" s="14">
        <f t="shared" si="155"/>
        <v>1.3509285393066301E-12</v>
      </c>
      <c r="FH147" s="22">
        <f t="shared" si="130"/>
        <v>2.5073107750038623E-12</v>
      </c>
      <c r="FI147" s="61">
        <f t="shared" si="131"/>
        <v>293.33333333333582</v>
      </c>
      <c r="FJ147" s="61">
        <f ca="1">AVERAGE(OFFSET($FI$3,0,0,'Données projet'!$E$16+1,1))-AVERAGE(OFFSET($H$3,0,0,'Données projet'!$E$16+1,1))</f>
        <v>292.57482726862594</v>
      </c>
      <c r="FK147" s="61">
        <f t="shared" si="156"/>
        <v>283.48738729114024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2.4</v>
      </c>
      <c r="FZ147" s="13">
        <f>IF('Données projet'!$A$244&gt;35,FZ146+FY147-GH146,IF(A147&lt;'Données projet'!$A$244,$FW$205^A147,IF(A147='Données projet'!$A$244,'Données projet'!$B$244,FZ146+FY147-GH146)))</f>
        <v>278.59999999999917</v>
      </c>
      <c r="GA147" s="18">
        <f>FZ147*VLOOKUP('Données projet'!$B$17,Paramètres!$A$1:$I$89,3,0)*VLOOKUP('Données projet'!$B$17,Paramètres!$A$1:$I$89,5,0)</f>
        <v>269.46191999999922</v>
      </c>
      <c r="GB147" s="14">
        <f t="shared" si="157"/>
        <v>64.735061876838927</v>
      </c>
      <c r="GC147" s="22">
        <f t="shared" si="133"/>
        <v>582.05974343549315</v>
      </c>
      <c r="GD147" s="61">
        <f t="shared" si="134"/>
        <v>875.3930767688264</v>
      </c>
      <c r="GE147" s="61">
        <f ca="1">AVERAGE(OFFSET($GD$3,0,0,'Données projet'!$E$17+1,1))-AVERAGE(OFFSET($H$3,0,0,'Données projet'!$E$17+1,1))</f>
        <v>455.50822833641354</v>
      </c>
      <c r="GF147" s="61">
        <f t="shared" si="158"/>
        <v>261.14722581688039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0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0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2.4</v>
      </c>
      <c r="GU147" s="13">
        <f>IF('Données projet'!$A$270&gt;35,GU146+GT147-HC146,IF(A147&lt;'Données projet'!$A$270,$GR$205^A147,IF(A147='Données projet'!$A$270,'Données projet'!$B$270,GU146+GT147-HC146)))</f>
        <v>278.59999999999917</v>
      </c>
      <c r="GV147" s="18">
        <f>GU147*VLOOKUP('Données projet'!$B$18,Paramètres!$A$1:$I$89,3,0)*VLOOKUP('Données projet'!$B$18,Paramètres!$A$1:$I$89,5,0)</f>
        <v>299.88503999999909</v>
      </c>
      <c r="GW147" s="14">
        <f t="shared" si="159"/>
        <v>71.152362906464447</v>
      </c>
      <c r="GX147" s="22">
        <f t="shared" si="136"/>
        <v>646.2234767287573</v>
      </c>
      <c r="GY147" s="61">
        <f t="shared" si="137"/>
        <v>939.55681006209056</v>
      </c>
      <c r="GZ147" s="61">
        <f ca="1">AVERAGE(OFFSET($GY$3,0,0,'Données projet'!$E$18+1,1))-AVERAGE(OFFSET($H$3,0,0,'Données projet'!$E$18+1,1))</f>
        <v>502.07782026233912</v>
      </c>
      <c r="HA147" s="61">
        <f t="shared" si="160"/>
        <v>285.83623046025156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0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0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254.24879999999925</v>
      </c>
      <c r="P148" s="14">
        <f t="shared" si="141"/>
        <v>61.494863147658698</v>
      </c>
      <c r="Q148" s="22">
        <f t="shared" si="108"/>
        <v>549.92021331550427</v>
      </c>
      <c r="R148" s="61">
        <f t="shared" si="109"/>
        <v>843.25354664883753</v>
      </c>
      <c r="S148" s="61">
        <f ca="1">AVERAGE(OFFSET($R$3,0,0,'Données projet'!$E$9+1,1))-AVERAGE(OFFSET($H$3,0,0,'Données projet'!$E$9+1,1))</f>
        <v>428.8489304403459</v>
      </c>
      <c r="T148" s="61">
        <f t="shared" si="142"/>
        <v>247.01165577562966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1">
        <f t="shared" si="113"/>
        <v>908.04176903767916</v>
      </c>
      <c r="AN148" s="61">
        <f ca="1">AVERAGE(OFFSET($AM$3,0,0,'Données projet'!$E$10+1,1))-AVERAGE(OFFSET($H$3,0,0,'Données projet'!$E$10+1,1))</f>
        <v>475.47920969424894</v>
      </c>
      <c r="AO148" s="61">
        <f t="shared" si="144"/>
        <v>271.73544012419364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-3.4106051316484809E-13</v>
      </c>
      <c r="BE148" s="14">
        <f>BD148*VLOOKUP('Données projet'!$B$11,Paramètres!$A$1:$I$89,3,0)*VLOOKUP('Données projet'!$B$11,Paramètres!$A$1:$I$89,5,0)</f>
        <v>-1.9065282685915009E-13</v>
      </c>
      <c r="BF148" s="14" t="e">
        <f t="shared" si="145"/>
        <v>#NUM!</v>
      </c>
      <c r="BG148" s="22" t="e">
        <f t="shared" si="115"/>
        <v>#NUM!</v>
      </c>
      <c r="BH148" s="61" t="e">
        <f t="shared" si="116"/>
        <v>#NUM!</v>
      </c>
      <c r="BI148" s="61">
        <f ca="1">AVERAGE(OFFSET($BH$3,0,0,'Données projet'!$E$11+1,1))-AVERAGE(OFFSET($H$3,0,0,'Données projet'!$E$11+1,1))</f>
        <v>374.79806286316051</v>
      </c>
      <c r="BJ148" s="61">
        <f t="shared" si="146"/>
        <v>350.01856672839466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0.9182712140814373</v>
      </c>
      <c r="BR148" s="23">
        <f>EXP(-LN(2)/2)*BR147+(1-EXP(-LN(2)/2))/(LN(2)/2)*BL148*BO148*VLOOKUP('Données projet'!$B$11,Paramètres!$A$1:$I$89,3,0)*0.475*44/12</f>
        <v>5.4010106251226273E-17</v>
      </c>
      <c r="BS148" s="24">
        <f t="shared" si="117"/>
        <v>0.9182712140814373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5.6843418860808015E-13</v>
      </c>
      <c r="BZ148" s="14">
        <f>BY148*VLOOKUP('Données projet'!$B$12,Paramètres!$A$1:$I$89,3,0)*VLOOKUP('Données projet'!$B$12,Paramètres!$A$1:$I$89,5,0)</f>
        <v>2.6602720026858149E-13</v>
      </c>
      <c r="CA148" s="14">
        <f t="shared" si="147"/>
        <v>3.5662905043956649E-12</v>
      </c>
      <c r="CB148" s="22">
        <f t="shared" si="118"/>
        <v>6.6746200022902298E-12</v>
      </c>
      <c r="CC148" s="61">
        <f t="shared" si="119"/>
        <v>293.33333333333997</v>
      </c>
      <c r="CD148" s="61">
        <f ca="1">AVERAGE(OFFSET($CC$3,0,0,'Données projet'!$E$12+1,1))-AVERAGE(OFFSET($H$3,0,0,'Données projet'!$E$12+1,1))</f>
        <v>285.59863510278109</v>
      </c>
      <c r="CE148" s="61">
        <f t="shared" si="148"/>
        <v>190.4880882944471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5.4683368944097308E-14</v>
      </c>
      <c r="CV148" s="14">
        <f t="shared" si="149"/>
        <v>8.8129432816788268E-13</v>
      </c>
      <c r="CW148" s="22">
        <f t="shared" si="121"/>
        <v>1.6301611558033651E-12</v>
      </c>
      <c r="CX148" s="61">
        <f t="shared" si="122"/>
        <v>293.33333333333496</v>
      </c>
      <c r="CY148" s="61">
        <f ca="1">AVERAGE(OFFSET($CX$3,0,0,'Données projet'!$E$13+1,1))-AVERAGE(OFFSET($H$3,0,0,'Données projet'!$E$13+1,1))</f>
        <v>273.72618036666552</v>
      </c>
      <c r="CZ148" s="61">
        <f t="shared" si="150"/>
        <v>157.67999791700714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1.7053025658242404E-13</v>
      </c>
      <c r="DP148" s="18">
        <f>DO148*VLOOKUP('Données projet'!$B$14,Paramètres!$A$1:$I$89,3,0)*VLOOKUP('Données projet'!$B$14,Paramètres!$A$1:$I$89,5,0)</f>
        <v>1.1439169611549005E-13</v>
      </c>
      <c r="DQ148" s="14">
        <f t="shared" si="151"/>
        <v>1.6918016515029816E-12</v>
      </c>
      <c r="DR148" s="22">
        <f t="shared" si="124"/>
        <v>3.1457867471021712E-12</v>
      </c>
      <c r="DS148" s="61">
        <f t="shared" si="125"/>
        <v>293.33333333333644</v>
      </c>
      <c r="DT148" s="61">
        <f ca="1">AVERAGE(OFFSET($DS$3,0,0,'Données projet'!$E$14+1,1))-AVERAGE(OFFSET($H$3,0,0,'Données projet'!$E$14+1,1))</f>
        <v>312.06797204903796</v>
      </c>
      <c r="DU148" s="61">
        <f t="shared" si="152"/>
        <v>258.20189001775151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1.4210854715202004E-13</v>
      </c>
      <c r="EK148" s="18">
        <f>EJ148*VLOOKUP('Données projet'!$B$15,Paramètres!$A$1:$I$89,3,0)*VLOOKUP('Données projet'!$B$15,Paramètres!$A$1:$I$89,5,0)</f>
        <v>1.1527845344971866E-13</v>
      </c>
      <c r="EL148" s="14">
        <f t="shared" si="153"/>
        <v>1.7033846239409443E-12</v>
      </c>
      <c r="EM148" s="22">
        <f t="shared" si="127"/>
        <v>3.1675048597887374E-12</v>
      </c>
      <c r="EN148" s="61">
        <f t="shared" si="128"/>
        <v>293.3333333333365</v>
      </c>
      <c r="EO148" s="61">
        <f ca="1">AVERAGE(OFFSET($EN$3,0,0,'Données projet'!$E$15+1,1))-AVERAGE(OFFSET($H$3,0,0,'Données projet'!$E$15+1,1))</f>
        <v>222.15256609836689</v>
      </c>
      <c r="EP148" s="61">
        <f t="shared" si="154"/>
        <v>221.10360210521077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1.1368683772161603E-13</v>
      </c>
      <c r="FF148" s="18">
        <f>FE148*VLOOKUP('Données projet'!$B$16,Paramètres!$A$1:$I$89,3,0)*VLOOKUP('Données projet'!$B$16,Paramètres!$A$1:$I$89,5,0)</f>
        <v>8.8675733422860506E-14</v>
      </c>
      <c r="FG148" s="14">
        <f t="shared" si="155"/>
        <v>1.3509285393066301E-12</v>
      </c>
      <c r="FH148" s="22">
        <f t="shared" si="130"/>
        <v>2.5073107750038623E-12</v>
      </c>
      <c r="FI148" s="61">
        <f t="shared" si="131"/>
        <v>293.33333333333582</v>
      </c>
      <c r="FJ148" s="61">
        <f ca="1">AVERAGE(OFFSET($FI$3,0,0,'Données projet'!$E$16+1,1))-AVERAGE(OFFSET($H$3,0,0,'Données projet'!$E$16+1,1))</f>
        <v>292.57482726862594</v>
      </c>
      <c r="FK148" s="61">
        <f t="shared" si="156"/>
        <v>283.48738729114024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2.4</v>
      </c>
      <c r="FZ148" s="13">
        <f>IF('Données projet'!$A$244&gt;35,FZ147+FY148-GH147,IF(A148&lt;'Données projet'!$A$244,$FW$205^A148,IF(A148='Données projet'!$A$244,'Données projet'!$B$244,FZ147+FY148-GH147)))</f>
        <v>280.99999999999915</v>
      </c>
      <c r="GA148" s="18">
        <f>FZ148*VLOOKUP('Données projet'!$B$17,Paramètres!$A$1:$I$89,3,0)*VLOOKUP('Données projet'!$B$17,Paramètres!$A$1:$I$89,5,0)</f>
        <v>271.78319999999917</v>
      </c>
      <c r="GB148" s="14">
        <f t="shared" si="157"/>
        <v>65.227564224775008</v>
      </c>
      <c r="GC148" s="22">
        <f t="shared" si="133"/>
        <v>586.96041435814834</v>
      </c>
      <c r="GD148" s="61">
        <f t="shared" si="134"/>
        <v>880.29374769148171</v>
      </c>
      <c r="GE148" s="61">
        <f ca="1">AVERAGE(OFFSET($GD$3,0,0,'Données projet'!$E$17+1,1))-AVERAGE(OFFSET($H$3,0,0,'Données projet'!$E$17+1,1))</f>
        <v>455.50822833641354</v>
      </c>
      <c r="GF148" s="61">
        <f t="shared" si="158"/>
        <v>261.14722581688039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0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0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2.4</v>
      </c>
      <c r="GU148" s="13">
        <f>IF('Données projet'!$A$270&gt;35,GU147+GT148-HC147,IF(A148&lt;'Données projet'!$A$270,$GR$205^A148,IF(A148='Données projet'!$A$270,'Données projet'!$B$270,GU147+GT148-HC147)))</f>
        <v>280.99999999999915</v>
      </c>
      <c r="GV148" s="18">
        <f>GU148*VLOOKUP('Données projet'!$B$18,Paramètres!$A$1:$I$89,3,0)*VLOOKUP('Données projet'!$B$18,Paramètres!$A$1:$I$89,5,0)</f>
        <v>302.46839999999906</v>
      </c>
      <c r="GW148" s="14">
        <f t="shared" si="159"/>
        <v>71.693687882090543</v>
      </c>
      <c r="GX148" s="22">
        <f t="shared" si="136"/>
        <v>651.66563639463936</v>
      </c>
      <c r="GY148" s="61">
        <f t="shared" si="137"/>
        <v>944.99896972797274</v>
      </c>
      <c r="GZ148" s="61">
        <f ca="1">AVERAGE(OFFSET($GY$3,0,0,'Données projet'!$E$18+1,1))-AVERAGE(OFFSET($H$3,0,0,'Données projet'!$E$18+1,1))</f>
        <v>502.07782026233912</v>
      </c>
      <c r="HA148" s="61">
        <f t="shared" si="160"/>
        <v>285.83623046025156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0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0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256.42031999999921</v>
      </c>
      <c r="P149" s="14">
        <f t="shared" si="141"/>
        <v>61.958720258016747</v>
      </c>
      <c r="Q149" s="22">
        <f t="shared" si="108"/>
        <v>554.51016178271107</v>
      </c>
      <c r="R149" s="61">
        <f t="shared" si="109"/>
        <v>847.84349511604432</v>
      </c>
      <c r="S149" s="61">
        <f ca="1">AVERAGE(OFFSET($R$3,0,0,'Données projet'!$E$9+1,1))-AVERAGE(OFFSET($H$3,0,0,'Données projet'!$E$9+1,1))</f>
        <v>428.8489304403459</v>
      </c>
      <c r="T149" s="61">
        <f t="shared" si="142"/>
        <v>247.01165577562966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1">
        <f t="shared" si="113"/>
        <v>913.17374782605748</v>
      </c>
      <c r="AN149" s="61">
        <f ca="1">AVERAGE(OFFSET($AM$3,0,0,'Données projet'!$E$10+1,1))-AVERAGE(OFFSET($H$3,0,0,'Données projet'!$E$10+1,1))</f>
        <v>475.47920969424894</v>
      </c>
      <c r="AO149" s="61">
        <f t="shared" si="144"/>
        <v>271.73544012419364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-3.4106051316484809E-13</v>
      </c>
      <c r="BE149" s="14">
        <f>BD149*VLOOKUP('Données projet'!$B$11,Paramètres!$A$1:$I$89,3,0)*VLOOKUP('Données projet'!$B$11,Paramètres!$A$1:$I$89,5,0)</f>
        <v>-1.9065282685915009E-13</v>
      </c>
      <c r="BF149" s="14" t="e">
        <f t="shared" si="145"/>
        <v>#NUM!</v>
      </c>
      <c r="BG149" s="22" t="e">
        <f t="shared" si="115"/>
        <v>#NUM!</v>
      </c>
      <c r="BH149" s="61" t="e">
        <f t="shared" si="116"/>
        <v>#NUM!</v>
      </c>
      <c r="BI149" s="61">
        <f ca="1">AVERAGE(OFFSET($BH$3,0,0,'Données projet'!$E$11+1,1))-AVERAGE(OFFSET($H$3,0,0,'Données projet'!$E$11+1,1))</f>
        <v>374.79806286316051</v>
      </c>
      <c r="BJ149" s="61">
        <f t="shared" si="146"/>
        <v>350.01856672839466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0.89316103944259595</v>
      </c>
      <c r="BR149" s="23">
        <f>EXP(-LN(2)/2)*BR148+(1-EXP(-LN(2)/2))/(LN(2)/2)*BL149*BO149*VLOOKUP('Données projet'!$B$11,Paramètres!$A$1:$I$89,3,0)*0.475*44/12</f>
        <v>3.8190912382848042E-17</v>
      </c>
      <c r="BS149" s="24">
        <f t="shared" si="117"/>
        <v>0.89316103944259595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5.6843418860808015E-13</v>
      </c>
      <c r="BZ149" s="14">
        <f>BY149*VLOOKUP('Données projet'!$B$12,Paramètres!$A$1:$I$89,3,0)*VLOOKUP('Données projet'!$B$12,Paramètres!$A$1:$I$89,5,0)</f>
        <v>2.6602720026858149E-13</v>
      </c>
      <c r="CA149" s="14">
        <f t="shared" si="147"/>
        <v>3.5662905043956649E-12</v>
      </c>
      <c r="CB149" s="22">
        <f t="shared" si="118"/>
        <v>6.6746200022902298E-12</v>
      </c>
      <c r="CC149" s="61">
        <f t="shared" si="119"/>
        <v>293.33333333333997</v>
      </c>
      <c r="CD149" s="61">
        <f ca="1">AVERAGE(OFFSET($CC$3,0,0,'Données projet'!$E$12+1,1))-AVERAGE(OFFSET($H$3,0,0,'Données projet'!$E$12+1,1))</f>
        <v>285.59863510278109</v>
      </c>
      <c r="CE149" s="61">
        <f t="shared" si="148"/>
        <v>190.4880882944471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5.4683368944097308E-14</v>
      </c>
      <c r="CV149" s="14">
        <f t="shared" si="149"/>
        <v>8.8129432816788268E-13</v>
      </c>
      <c r="CW149" s="22">
        <f t="shared" si="121"/>
        <v>1.6301611558033651E-12</v>
      </c>
      <c r="CX149" s="61">
        <f t="shared" si="122"/>
        <v>293.33333333333496</v>
      </c>
      <c r="CY149" s="61">
        <f ca="1">AVERAGE(OFFSET($CX$3,0,0,'Données projet'!$E$13+1,1))-AVERAGE(OFFSET($H$3,0,0,'Données projet'!$E$13+1,1))</f>
        <v>273.72618036666552</v>
      </c>
      <c r="CZ149" s="61">
        <f t="shared" si="150"/>
        <v>157.67999791700714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1.7053025658242404E-13</v>
      </c>
      <c r="DP149" s="18">
        <f>DO149*VLOOKUP('Données projet'!$B$14,Paramètres!$A$1:$I$89,3,0)*VLOOKUP('Données projet'!$B$14,Paramètres!$A$1:$I$89,5,0)</f>
        <v>1.1439169611549005E-13</v>
      </c>
      <c r="DQ149" s="14">
        <f t="shared" si="151"/>
        <v>1.6918016515029816E-12</v>
      </c>
      <c r="DR149" s="22">
        <f t="shared" si="124"/>
        <v>3.1457867471021712E-12</v>
      </c>
      <c r="DS149" s="61">
        <f t="shared" si="125"/>
        <v>293.33333333333644</v>
      </c>
      <c r="DT149" s="61">
        <f ca="1">AVERAGE(OFFSET($DS$3,0,0,'Données projet'!$E$14+1,1))-AVERAGE(OFFSET($H$3,0,0,'Données projet'!$E$14+1,1))</f>
        <v>312.06797204903796</v>
      </c>
      <c r="DU149" s="61">
        <f t="shared" si="152"/>
        <v>258.20189001775151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1.4210854715202004E-13</v>
      </c>
      <c r="EK149" s="18">
        <f>EJ149*VLOOKUP('Données projet'!$B$15,Paramètres!$A$1:$I$89,3,0)*VLOOKUP('Données projet'!$B$15,Paramètres!$A$1:$I$89,5,0)</f>
        <v>1.1527845344971866E-13</v>
      </c>
      <c r="EL149" s="14">
        <f t="shared" si="153"/>
        <v>1.7033846239409443E-12</v>
      </c>
      <c r="EM149" s="22">
        <f t="shared" si="127"/>
        <v>3.1675048597887374E-12</v>
      </c>
      <c r="EN149" s="61">
        <f t="shared" si="128"/>
        <v>293.3333333333365</v>
      </c>
      <c r="EO149" s="61">
        <f ca="1">AVERAGE(OFFSET($EN$3,0,0,'Données projet'!$E$15+1,1))-AVERAGE(OFFSET($H$3,0,0,'Données projet'!$E$15+1,1))</f>
        <v>222.15256609836689</v>
      </c>
      <c r="EP149" s="61">
        <f t="shared" si="154"/>
        <v>221.10360210521077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1.1368683772161603E-13</v>
      </c>
      <c r="FF149" s="18">
        <f>FE149*VLOOKUP('Données projet'!$B$16,Paramètres!$A$1:$I$89,3,0)*VLOOKUP('Données projet'!$B$16,Paramètres!$A$1:$I$89,5,0)</f>
        <v>8.8675733422860506E-14</v>
      </c>
      <c r="FG149" s="14">
        <f t="shared" si="155"/>
        <v>1.3509285393066301E-12</v>
      </c>
      <c r="FH149" s="22">
        <f t="shared" si="130"/>
        <v>2.5073107750038623E-12</v>
      </c>
      <c r="FI149" s="61">
        <f t="shared" si="131"/>
        <v>293.33333333333582</v>
      </c>
      <c r="FJ149" s="61">
        <f ca="1">AVERAGE(OFFSET($FI$3,0,0,'Données projet'!$E$16+1,1))-AVERAGE(OFFSET($H$3,0,0,'Données projet'!$E$16+1,1))</f>
        <v>292.57482726862594</v>
      </c>
      <c r="FK149" s="61">
        <f t="shared" si="156"/>
        <v>283.48738729114024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2.4</v>
      </c>
      <c r="FZ149" s="13">
        <f>IF('Données projet'!$A$244&gt;35,FZ148+FY149-GH148,IF(A149&lt;'Données projet'!$A$244,$FW$205^A149,IF(A149='Données projet'!$A$244,'Données projet'!$B$244,FZ148+FY149-GH148)))</f>
        <v>283.39999999999912</v>
      </c>
      <c r="GA149" s="18">
        <f>FZ149*VLOOKUP('Données projet'!$B$17,Paramètres!$A$1:$I$89,3,0)*VLOOKUP('Données projet'!$B$17,Paramètres!$A$1:$I$89,5,0)</f>
        <v>274.10447999999917</v>
      </c>
      <c r="GB149" s="14">
        <f t="shared" si="157"/>
        <v>65.719577181765331</v>
      </c>
      <c r="GC149" s="22">
        <f t="shared" si="133"/>
        <v>591.86023292490643</v>
      </c>
      <c r="GD149" s="61">
        <f t="shared" si="134"/>
        <v>885.1935662582398</v>
      </c>
      <c r="GE149" s="61">
        <f ca="1">AVERAGE(OFFSET($GD$3,0,0,'Données projet'!$E$17+1,1))-AVERAGE(OFFSET($H$3,0,0,'Données projet'!$E$17+1,1))</f>
        <v>455.50822833641354</v>
      </c>
      <c r="GF149" s="61">
        <f t="shared" si="158"/>
        <v>261.14722581688039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0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0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2.4</v>
      </c>
      <c r="GU149" s="13">
        <f>IF('Données projet'!$A$270&gt;35,GU148+GT149-HC148,IF(A149&lt;'Données projet'!$A$270,$GR$205^A149,IF(A149='Données projet'!$A$270,'Données projet'!$B$270,GU148+GT149-HC148)))</f>
        <v>283.39999999999912</v>
      </c>
      <c r="GV149" s="18">
        <f>GU149*VLOOKUP('Données projet'!$B$18,Paramètres!$A$1:$I$89,3,0)*VLOOKUP('Données projet'!$B$18,Paramètres!$A$1:$I$89,5,0)</f>
        <v>305.05175999999904</v>
      </c>
      <c r="GW149" s="14">
        <f t="shared" si="159"/>
        <v>72.234474952581991</v>
      </c>
      <c r="GX149" s="22">
        <f t="shared" si="136"/>
        <v>657.10685920907861</v>
      </c>
      <c r="GY149" s="61">
        <f t="shared" si="137"/>
        <v>950.44019254241198</v>
      </c>
      <c r="GZ149" s="61">
        <f ca="1">AVERAGE(OFFSET($GY$3,0,0,'Données projet'!$E$18+1,1))-AVERAGE(OFFSET($H$3,0,0,'Données projet'!$E$18+1,1))</f>
        <v>502.07782026233912</v>
      </c>
      <c r="HA149" s="61">
        <f t="shared" si="160"/>
        <v>285.83623046025156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0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0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258.59183999999919</v>
      </c>
      <c r="P150" s="14">
        <f t="shared" si="141"/>
        <v>62.422120343276475</v>
      </c>
      <c r="Q150" s="22">
        <f t="shared" si="108"/>
        <v>559.09931426453841</v>
      </c>
      <c r="R150" s="61">
        <f t="shared" si="109"/>
        <v>852.43264759787166</v>
      </c>
      <c r="S150" s="61">
        <f ca="1">AVERAGE(OFFSET($R$3,0,0,'Données projet'!$E$9+1,1))-AVERAGE(OFFSET($H$3,0,0,'Données projet'!$E$9+1,1))</f>
        <v>428.8489304403459</v>
      </c>
      <c r="T150" s="61">
        <f t="shared" si="142"/>
        <v>247.01165577562966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1">
        <f t="shared" si="113"/>
        <v>918.30484631513332</v>
      </c>
      <c r="AN150" s="61">
        <f ca="1">AVERAGE(OFFSET($AM$3,0,0,'Données projet'!$E$10+1,1))-AVERAGE(OFFSET($H$3,0,0,'Données projet'!$E$10+1,1))</f>
        <v>475.47920969424894</v>
      </c>
      <c r="AO150" s="61">
        <f t="shared" si="144"/>
        <v>271.73544012419364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-3.4106051316484809E-13</v>
      </c>
      <c r="BE150" s="14">
        <f>BD150*VLOOKUP('Données projet'!$B$11,Paramètres!$A$1:$I$89,3,0)*VLOOKUP('Données projet'!$B$11,Paramètres!$A$1:$I$89,5,0)</f>
        <v>-1.9065282685915009E-13</v>
      </c>
      <c r="BF150" s="14" t="e">
        <f t="shared" si="145"/>
        <v>#NUM!</v>
      </c>
      <c r="BG150" s="22" t="e">
        <f t="shared" si="115"/>
        <v>#NUM!</v>
      </c>
      <c r="BH150" s="61" t="e">
        <f t="shared" si="116"/>
        <v>#NUM!</v>
      </c>
      <c r="BI150" s="61">
        <f ca="1">AVERAGE(OFFSET($BH$3,0,0,'Données projet'!$E$11+1,1))-AVERAGE(OFFSET($H$3,0,0,'Données projet'!$E$11+1,1))</f>
        <v>374.79806286316051</v>
      </c>
      <c r="BJ150" s="61">
        <f t="shared" si="146"/>
        <v>350.01856672839466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0.86873750384974047</v>
      </c>
      <c r="BR150" s="23">
        <f>EXP(-LN(2)/2)*BR149+(1-EXP(-LN(2)/2))/(LN(2)/2)*BL150*BO150*VLOOKUP('Données projet'!$B$11,Paramètres!$A$1:$I$89,3,0)*0.475*44/12</f>
        <v>2.7005053125613139E-17</v>
      </c>
      <c r="BS150" s="24">
        <f t="shared" si="117"/>
        <v>0.86873750384974047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5.6843418860808015E-13</v>
      </c>
      <c r="BZ150" s="14">
        <f>BY150*VLOOKUP('Données projet'!$B$12,Paramètres!$A$1:$I$89,3,0)*VLOOKUP('Données projet'!$B$12,Paramètres!$A$1:$I$89,5,0)</f>
        <v>2.6602720026858149E-13</v>
      </c>
      <c r="CA150" s="14">
        <f t="shared" si="147"/>
        <v>3.5662905043956649E-12</v>
      </c>
      <c r="CB150" s="22">
        <f t="shared" si="118"/>
        <v>6.6746200022902298E-12</v>
      </c>
      <c r="CC150" s="61">
        <f t="shared" si="119"/>
        <v>293.33333333333997</v>
      </c>
      <c r="CD150" s="61">
        <f ca="1">AVERAGE(OFFSET($CC$3,0,0,'Données projet'!$E$12+1,1))-AVERAGE(OFFSET($H$3,0,0,'Données projet'!$E$12+1,1))</f>
        <v>285.59863510278109</v>
      </c>
      <c r="CE150" s="61">
        <f t="shared" si="148"/>
        <v>190.4880882944471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5.4683368944097308E-14</v>
      </c>
      <c r="CV150" s="14">
        <f t="shared" si="149"/>
        <v>8.8129432816788268E-13</v>
      </c>
      <c r="CW150" s="22">
        <f t="shared" si="121"/>
        <v>1.6301611558033651E-12</v>
      </c>
      <c r="CX150" s="61">
        <f t="shared" si="122"/>
        <v>293.33333333333496</v>
      </c>
      <c r="CY150" s="61">
        <f ca="1">AVERAGE(OFFSET($CX$3,0,0,'Données projet'!$E$13+1,1))-AVERAGE(OFFSET($H$3,0,0,'Données projet'!$E$13+1,1))</f>
        <v>273.72618036666552</v>
      </c>
      <c r="CZ150" s="61">
        <f t="shared" si="150"/>
        <v>157.67999791700714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1.7053025658242404E-13</v>
      </c>
      <c r="DP150" s="18">
        <f>DO150*VLOOKUP('Données projet'!$B$14,Paramètres!$A$1:$I$89,3,0)*VLOOKUP('Données projet'!$B$14,Paramètres!$A$1:$I$89,5,0)</f>
        <v>1.1439169611549005E-13</v>
      </c>
      <c r="DQ150" s="14">
        <f t="shared" si="151"/>
        <v>1.6918016515029816E-12</v>
      </c>
      <c r="DR150" s="22">
        <f t="shared" si="124"/>
        <v>3.1457867471021712E-12</v>
      </c>
      <c r="DS150" s="61">
        <f t="shared" si="125"/>
        <v>293.33333333333644</v>
      </c>
      <c r="DT150" s="61">
        <f ca="1">AVERAGE(OFFSET($DS$3,0,0,'Données projet'!$E$14+1,1))-AVERAGE(OFFSET($H$3,0,0,'Données projet'!$E$14+1,1))</f>
        <v>312.06797204903796</v>
      </c>
      <c r="DU150" s="61">
        <f t="shared" si="152"/>
        <v>258.20189001775151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1.4210854715202004E-13</v>
      </c>
      <c r="EK150" s="18">
        <f>EJ150*VLOOKUP('Données projet'!$B$15,Paramètres!$A$1:$I$89,3,0)*VLOOKUP('Données projet'!$B$15,Paramètres!$A$1:$I$89,5,0)</f>
        <v>1.1527845344971866E-13</v>
      </c>
      <c r="EL150" s="14">
        <f t="shared" si="153"/>
        <v>1.7033846239409443E-12</v>
      </c>
      <c r="EM150" s="22">
        <f t="shared" si="127"/>
        <v>3.1675048597887374E-12</v>
      </c>
      <c r="EN150" s="61">
        <f t="shared" si="128"/>
        <v>293.3333333333365</v>
      </c>
      <c r="EO150" s="61">
        <f ca="1">AVERAGE(OFFSET($EN$3,0,0,'Données projet'!$E$15+1,1))-AVERAGE(OFFSET($H$3,0,0,'Données projet'!$E$15+1,1))</f>
        <v>222.15256609836689</v>
      </c>
      <c r="EP150" s="61">
        <f t="shared" si="154"/>
        <v>221.10360210521077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1.1368683772161603E-13</v>
      </c>
      <c r="FF150" s="18">
        <f>FE150*VLOOKUP('Données projet'!$B$16,Paramètres!$A$1:$I$89,3,0)*VLOOKUP('Données projet'!$B$16,Paramètres!$A$1:$I$89,5,0)</f>
        <v>8.8675733422860506E-14</v>
      </c>
      <c r="FG150" s="14">
        <f t="shared" si="155"/>
        <v>1.3509285393066301E-12</v>
      </c>
      <c r="FH150" s="22">
        <f t="shared" si="130"/>
        <v>2.5073107750038623E-12</v>
      </c>
      <c r="FI150" s="61">
        <f t="shared" si="131"/>
        <v>293.33333333333582</v>
      </c>
      <c r="FJ150" s="61">
        <f ca="1">AVERAGE(OFFSET($FI$3,0,0,'Données projet'!$E$16+1,1))-AVERAGE(OFFSET($H$3,0,0,'Données projet'!$E$16+1,1))</f>
        <v>292.57482726862594</v>
      </c>
      <c r="FK150" s="61">
        <f t="shared" si="156"/>
        <v>283.48738729114024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2.4</v>
      </c>
      <c r="FZ150" s="13">
        <f>IF('Données projet'!$A$244&gt;35,FZ149+FY150-GH149,IF(A150&lt;'Données projet'!$A$244,$FW$205^A150,IF(A150='Données projet'!$A$244,'Données projet'!$B$244,FZ149+FY150-GH149)))</f>
        <v>285.7999999999991</v>
      </c>
      <c r="GA150" s="18">
        <f>FZ150*VLOOKUP('Données projet'!$B$17,Paramètres!$A$1:$I$89,3,0)*VLOOKUP('Données projet'!$B$17,Paramètres!$A$1:$I$89,5,0)</f>
        <v>276.42575999999912</v>
      </c>
      <c r="GB150" s="14">
        <f t="shared" si="157"/>
        <v>66.211105372509707</v>
      </c>
      <c r="GC150" s="22">
        <f t="shared" si="133"/>
        <v>596.75920719045291</v>
      </c>
      <c r="GD150" s="61">
        <f t="shared" si="134"/>
        <v>890.09254052378628</v>
      </c>
      <c r="GE150" s="61">
        <f ca="1">AVERAGE(OFFSET($GD$3,0,0,'Données projet'!$E$17+1,1))-AVERAGE(OFFSET($H$3,0,0,'Données projet'!$E$17+1,1))</f>
        <v>455.50822833641354</v>
      </c>
      <c r="GF150" s="61">
        <f t="shared" si="158"/>
        <v>261.14722581688039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0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0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2.4</v>
      </c>
      <c r="GU150" s="13">
        <f>IF('Données projet'!$A$270&gt;35,GU149+GT150-HC149,IF(A150&lt;'Données projet'!$A$270,$GR$205^A150,IF(A150='Données projet'!$A$270,'Données projet'!$B$270,GU149+GT150-HC149)))</f>
        <v>285.7999999999991</v>
      </c>
      <c r="GV150" s="18">
        <f>GU150*VLOOKUP('Données projet'!$B$18,Paramètres!$A$1:$I$89,3,0)*VLOOKUP('Données projet'!$B$18,Paramètres!$A$1:$I$89,5,0)</f>
        <v>307.63511999999901</v>
      </c>
      <c r="GW150" s="14">
        <f t="shared" si="159"/>
        <v>72.774729201093322</v>
      </c>
      <c r="GX150" s="22">
        <f t="shared" si="136"/>
        <v>662.54715402523584</v>
      </c>
      <c r="GY150" s="61">
        <f t="shared" si="137"/>
        <v>955.8804873585691</v>
      </c>
      <c r="GZ150" s="61">
        <f ca="1">AVERAGE(OFFSET($GY$3,0,0,'Données projet'!$E$18+1,1))-AVERAGE(OFFSET($H$3,0,0,'Données projet'!$E$18+1,1))</f>
        <v>502.07782026233912</v>
      </c>
      <c r="HA150" s="61">
        <f t="shared" si="160"/>
        <v>285.83623046025156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0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0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260.76335999999918</v>
      </c>
      <c r="P151" s="14">
        <f t="shared" si="141"/>
        <v>62.885067686031789</v>
      </c>
      <c r="Q151" s="22">
        <f t="shared" si="108"/>
        <v>563.68767821983727</v>
      </c>
      <c r="R151" s="61">
        <f t="shared" si="109"/>
        <v>857.02101155317064</v>
      </c>
      <c r="S151" s="61">
        <f ca="1">AVERAGE(OFFSET($R$3,0,0,'Données projet'!$E$9+1,1))-AVERAGE(OFFSET($H$3,0,0,'Données projet'!$E$9+1,1))</f>
        <v>428.8489304403459</v>
      </c>
      <c r="T151" s="61">
        <f t="shared" si="142"/>
        <v>247.01165577562966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1">
        <f t="shared" si="113"/>
        <v>923.43507275382922</v>
      </c>
      <c r="AN151" s="61">
        <f ca="1">AVERAGE(OFFSET($AM$3,0,0,'Données projet'!$E$10+1,1))-AVERAGE(OFFSET($H$3,0,0,'Données projet'!$E$10+1,1))</f>
        <v>475.47920969424894</v>
      </c>
      <c r="AO151" s="61">
        <f t="shared" si="144"/>
        <v>271.73544012419364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-3.4106051316484809E-13</v>
      </c>
      <c r="BE151" s="14">
        <f>BD151*VLOOKUP('Données projet'!$B$11,Paramètres!$A$1:$I$89,3,0)*VLOOKUP('Données projet'!$B$11,Paramètres!$A$1:$I$89,5,0)</f>
        <v>-1.9065282685915009E-13</v>
      </c>
      <c r="BF151" s="14" t="e">
        <f t="shared" si="145"/>
        <v>#NUM!</v>
      </c>
      <c r="BG151" s="22" t="e">
        <f t="shared" si="115"/>
        <v>#NUM!</v>
      </c>
      <c r="BH151" s="61" t="e">
        <f t="shared" si="116"/>
        <v>#NUM!</v>
      </c>
      <c r="BI151" s="61">
        <f ca="1">AVERAGE(OFFSET($BH$3,0,0,'Données projet'!$E$11+1,1))-AVERAGE(OFFSET($H$3,0,0,'Données projet'!$E$11+1,1))</f>
        <v>374.79806286316051</v>
      </c>
      <c r="BJ151" s="61">
        <f t="shared" si="146"/>
        <v>350.01856672839466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0.8449818311220495</v>
      </c>
      <c r="BR151" s="23">
        <f>EXP(-LN(2)/2)*BR150+(1-EXP(-LN(2)/2))/(LN(2)/2)*BL151*BO151*VLOOKUP('Données projet'!$B$11,Paramètres!$A$1:$I$89,3,0)*0.475*44/12</f>
        <v>1.9095456191424024E-17</v>
      </c>
      <c r="BS151" s="24">
        <f t="shared" si="117"/>
        <v>0.8449818311220495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5.6843418860808015E-13</v>
      </c>
      <c r="BZ151" s="14">
        <f>BY151*VLOOKUP('Données projet'!$B$12,Paramètres!$A$1:$I$89,3,0)*VLOOKUP('Données projet'!$B$12,Paramètres!$A$1:$I$89,5,0)</f>
        <v>2.6602720026858149E-13</v>
      </c>
      <c r="CA151" s="14">
        <f t="shared" si="147"/>
        <v>3.5662905043956649E-12</v>
      </c>
      <c r="CB151" s="22">
        <f t="shared" si="118"/>
        <v>6.6746200022902298E-12</v>
      </c>
      <c r="CC151" s="61">
        <f t="shared" si="119"/>
        <v>293.33333333333997</v>
      </c>
      <c r="CD151" s="61">
        <f ca="1">AVERAGE(OFFSET($CC$3,0,0,'Données projet'!$E$12+1,1))-AVERAGE(OFFSET($H$3,0,0,'Données projet'!$E$12+1,1))</f>
        <v>285.59863510278109</v>
      </c>
      <c r="CE151" s="61">
        <f t="shared" si="148"/>
        <v>190.4880882944471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5.4683368944097308E-14</v>
      </c>
      <c r="CV151" s="14">
        <f t="shared" si="149"/>
        <v>8.8129432816788268E-13</v>
      </c>
      <c r="CW151" s="22">
        <f t="shared" si="121"/>
        <v>1.6301611558033651E-12</v>
      </c>
      <c r="CX151" s="61">
        <f t="shared" si="122"/>
        <v>293.33333333333496</v>
      </c>
      <c r="CY151" s="61">
        <f ca="1">AVERAGE(OFFSET($CX$3,0,0,'Données projet'!$E$13+1,1))-AVERAGE(OFFSET($H$3,0,0,'Données projet'!$E$13+1,1))</f>
        <v>273.72618036666552</v>
      </c>
      <c r="CZ151" s="61">
        <f t="shared" si="150"/>
        <v>157.67999791700714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1.7053025658242404E-13</v>
      </c>
      <c r="DP151" s="18">
        <f>DO151*VLOOKUP('Données projet'!$B$14,Paramètres!$A$1:$I$89,3,0)*VLOOKUP('Données projet'!$B$14,Paramètres!$A$1:$I$89,5,0)</f>
        <v>1.1439169611549005E-13</v>
      </c>
      <c r="DQ151" s="14">
        <f t="shared" si="151"/>
        <v>1.6918016515029816E-12</v>
      </c>
      <c r="DR151" s="22">
        <f t="shared" si="124"/>
        <v>3.1457867471021712E-12</v>
      </c>
      <c r="DS151" s="61">
        <f t="shared" si="125"/>
        <v>293.33333333333644</v>
      </c>
      <c r="DT151" s="61">
        <f ca="1">AVERAGE(OFFSET($DS$3,0,0,'Données projet'!$E$14+1,1))-AVERAGE(OFFSET($H$3,0,0,'Données projet'!$E$14+1,1))</f>
        <v>312.06797204903796</v>
      </c>
      <c r="DU151" s="61">
        <f t="shared" si="152"/>
        <v>258.20189001775151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1.4210854715202004E-13</v>
      </c>
      <c r="EK151" s="18">
        <f>EJ151*VLOOKUP('Données projet'!$B$15,Paramètres!$A$1:$I$89,3,0)*VLOOKUP('Données projet'!$B$15,Paramètres!$A$1:$I$89,5,0)</f>
        <v>1.1527845344971866E-13</v>
      </c>
      <c r="EL151" s="14">
        <f t="shared" si="153"/>
        <v>1.7033846239409443E-12</v>
      </c>
      <c r="EM151" s="22">
        <f t="shared" si="127"/>
        <v>3.1675048597887374E-12</v>
      </c>
      <c r="EN151" s="61">
        <f t="shared" si="128"/>
        <v>293.3333333333365</v>
      </c>
      <c r="EO151" s="61">
        <f ca="1">AVERAGE(OFFSET($EN$3,0,0,'Données projet'!$E$15+1,1))-AVERAGE(OFFSET($H$3,0,0,'Données projet'!$E$15+1,1))</f>
        <v>222.15256609836689</v>
      </c>
      <c r="EP151" s="61">
        <f t="shared" si="154"/>
        <v>221.10360210521077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1.1368683772161603E-13</v>
      </c>
      <c r="FF151" s="18">
        <f>FE151*VLOOKUP('Données projet'!$B$16,Paramètres!$A$1:$I$89,3,0)*VLOOKUP('Données projet'!$B$16,Paramètres!$A$1:$I$89,5,0)</f>
        <v>8.8675733422860506E-14</v>
      </c>
      <c r="FG151" s="14">
        <f t="shared" si="155"/>
        <v>1.3509285393066301E-12</v>
      </c>
      <c r="FH151" s="22">
        <f t="shared" si="130"/>
        <v>2.5073107750038623E-12</v>
      </c>
      <c r="FI151" s="61">
        <f t="shared" si="131"/>
        <v>293.33333333333582</v>
      </c>
      <c r="FJ151" s="61">
        <f ca="1">AVERAGE(OFFSET($FI$3,0,0,'Données projet'!$E$16+1,1))-AVERAGE(OFFSET($H$3,0,0,'Données projet'!$E$16+1,1))</f>
        <v>292.57482726862594</v>
      </c>
      <c r="FK151" s="61">
        <f t="shared" si="156"/>
        <v>283.48738729114024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2.4</v>
      </c>
      <c r="FZ151" s="13">
        <f>IF('Données projet'!$A$244&gt;35,FZ150+FY151-GH150,IF(A151&lt;'Données projet'!$A$244,$FW$205^A151,IF(A151='Données projet'!$A$244,'Données projet'!$B$244,FZ150+FY151-GH150)))</f>
        <v>288.19999999999908</v>
      </c>
      <c r="GA151" s="18">
        <f>FZ151*VLOOKUP('Données projet'!$B$17,Paramètres!$A$1:$I$89,3,0)*VLOOKUP('Données projet'!$B$17,Paramètres!$A$1:$I$89,5,0)</f>
        <v>278.74703999999912</v>
      </c>
      <c r="GB151" s="14">
        <f t="shared" si="157"/>
        <v>66.702153339553078</v>
      </c>
      <c r="GC151" s="22">
        <f t="shared" si="133"/>
        <v>601.65734506638671</v>
      </c>
      <c r="GD151" s="61">
        <f t="shared" si="134"/>
        <v>894.99067839972008</v>
      </c>
      <c r="GE151" s="61">
        <f ca="1">AVERAGE(OFFSET($GD$3,0,0,'Données projet'!$E$17+1,1))-AVERAGE(OFFSET($H$3,0,0,'Données projet'!$E$17+1,1))</f>
        <v>455.50822833641354</v>
      </c>
      <c r="GF151" s="61">
        <f t="shared" si="158"/>
        <v>261.14722581688039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0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0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2.4</v>
      </c>
      <c r="GU151" s="13">
        <f>IF('Données projet'!$A$270&gt;35,GU150+GT151-HC150,IF(A151&lt;'Données projet'!$A$270,$GR$205^A151,IF(A151='Données projet'!$A$270,'Données projet'!$B$270,GU150+GT151-HC150)))</f>
        <v>288.19999999999908</v>
      </c>
      <c r="GV151" s="18">
        <f>GU151*VLOOKUP('Données projet'!$B$18,Paramètres!$A$1:$I$89,3,0)*VLOOKUP('Données projet'!$B$18,Paramètres!$A$1:$I$89,5,0)</f>
        <v>310.21847999999898</v>
      </c>
      <c r="GW151" s="14">
        <f t="shared" si="159"/>
        <v>73.314455620479777</v>
      </c>
      <c r="GX151" s="22">
        <f t="shared" si="136"/>
        <v>667.98652953900034</v>
      </c>
      <c r="GY151" s="61">
        <f t="shared" si="137"/>
        <v>961.31986287233372</v>
      </c>
      <c r="GZ151" s="61">
        <f ca="1">AVERAGE(OFFSET($GY$3,0,0,'Données projet'!$E$18+1,1))-AVERAGE(OFFSET($H$3,0,0,'Données projet'!$E$18+1,1))</f>
        <v>502.07782026233912</v>
      </c>
      <c r="HA151" s="61">
        <f t="shared" si="160"/>
        <v>285.83623046025156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0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0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262.93487999999911</v>
      </c>
      <c r="P152" s="14">
        <f t="shared" si="141"/>
        <v>63.347566493432595</v>
      </c>
      <c r="Q152" s="22">
        <f t="shared" si="108"/>
        <v>568.27526097606028</v>
      </c>
      <c r="R152" s="61">
        <f t="shared" si="109"/>
        <v>861.60859430939354</v>
      </c>
      <c r="S152" s="61">
        <f ca="1">AVERAGE(OFFSET($R$3,0,0,'Données projet'!$E$9+1,1))-AVERAGE(OFFSET($H$3,0,0,'Données projet'!$E$9+1,1))</f>
        <v>428.8489304403459</v>
      </c>
      <c r="T152" s="61">
        <f t="shared" si="142"/>
        <v>247.01165577562966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1">
        <f t="shared" si="113"/>
        <v>928.56443524575025</v>
      </c>
      <c r="AN152" s="61">
        <f ca="1">AVERAGE(OFFSET($AM$3,0,0,'Données projet'!$E$10+1,1))-AVERAGE(OFFSET($H$3,0,0,'Données projet'!$E$10+1,1))</f>
        <v>475.47920969424894</v>
      </c>
      <c r="AO152" s="61">
        <f t="shared" si="144"/>
        <v>271.73544012419364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-3.4106051316484809E-13</v>
      </c>
      <c r="BE152" s="14">
        <f>BD152*VLOOKUP('Données projet'!$B$11,Paramètres!$A$1:$I$89,3,0)*VLOOKUP('Données projet'!$B$11,Paramètres!$A$1:$I$89,5,0)</f>
        <v>-1.9065282685915009E-13</v>
      </c>
      <c r="BF152" s="14" t="e">
        <f t="shared" si="145"/>
        <v>#NUM!</v>
      </c>
      <c r="BG152" s="22" t="e">
        <f t="shared" si="115"/>
        <v>#NUM!</v>
      </c>
      <c r="BH152" s="61" t="e">
        <f t="shared" si="116"/>
        <v>#NUM!</v>
      </c>
      <c r="BI152" s="61">
        <f ca="1">AVERAGE(OFFSET($BH$3,0,0,'Données projet'!$E$11+1,1))-AVERAGE(OFFSET($H$3,0,0,'Données projet'!$E$11+1,1))</f>
        <v>374.79806286316051</v>
      </c>
      <c r="BJ152" s="61">
        <f t="shared" si="146"/>
        <v>350.01856672839466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0.82187575851435379</v>
      </c>
      <c r="BR152" s="23">
        <f>EXP(-LN(2)/2)*BR151+(1-EXP(-LN(2)/2))/(LN(2)/2)*BL152*BO152*VLOOKUP('Données projet'!$B$11,Paramètres!$A$1:$I$89,3,0)*0.475*44/12</f>
        <v>1.3502526562806573E-17</v>
      </c>
      <c r="BS152" s="24">
        <f t="shared" si="117"/>
        <v>0.82187575851435379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5.6843418860808015E-13</v>
      </c>
      <c r="BZ152" s="14">
        <f>BY152*VLOOKUP('Données projet'!$B$12,Paramètres!$A$1:$I$89,3,0)*VLOOKUP('Données projet'!$B$12,Paramètres!$A$1:$I$89,5,0)</f>
        <v>2.6602720026858149E-13</v>
      </c>
      <c r="CA152" s="14">
        <f t="shared" si="147"/>
        <v>3.5662905043956649E-12</v>
      </c>
      <c r="CB152" s="22">
        <f t="shared" si="118"/>
        <v>6.6746200022902298E-12</v>
      </c>
      <c r="CC152" s="61">
        <f t="shared" si="119"/>
        <v>293.33333333333997</v>
      </c>
      <c r="CD152" s="61">
        <f ca="1">AVERAGE(OFFSET($CC$3,0,0,'Données projet'!$E$12+1,1))-AVERAGE(OFFSET($H$3,0,0,'Données projet'!$E$12+1,1))</f>
        <v>285.59863510278109</v>
      </c>
      <c r="CE152" s="61">
        <f t="shared" si="148"/>
        <v>190.4880882944471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5.4683368944097308E-14</v>
      </c>
      <c r="CV152" s="14">
        <f t="shared" si="149"/>
        <v>8.8129432816788268E-13</v>
      </c>
      <c r="CW152" s="22">
        <f t="shared" si="121"/>
        <v>1.6301611558033651E-12</v>
      </c>
      <c r="CX152" s="61">
        <f t="shared" si="122"/>
        <v>293.33333333333496</v>
      </c>
      <c r="CY152" s="61">
        <f ca="1">AVERAGE(OFFSET($CX$3,0,0,'Données projet'!$E$13+1,1))-AVERAGE(OFFSET($H$3,0,0,'Données projet'!$E$13+1,1))</f>
        <v>273.72618036666552</v>
      </c>
      <c r="CZ152" s="61">
        <f t="shared" si="150"/>
        <v>157.67999791700714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1.7053025658242404E-13</v>
      </c>
      <c r="DP152" s="18">
        <f>DO152*VLOOKUP('Données projet'!$B$14,Paramètres!$A$1:$I$89,3,0)*VLOOKUP('Données projet'!$B$14,Paramètres!$A$1:$I$89,5,0)</f>
        <v>1.1439169611549005E-13</v>
      </c>
      <c r="DQ152" s="14">
        <f t="shared" si="151"/>
        <v>1.6918016515029816E-12</v>
      </c>
      <c r="DR152" s="22">
        <f t="shared" si="124"/>
        <v>3.1457867471021712E-12</v>
      </c>
      <c r="DS152" s="61">
        <f t="shared" si="125"/>
        <v>293.33333333333644</v>
      </c>
      <c r="DT152" s="61">
        <f ca="1">AVERAGE(OFFSET($DS$3,0,0,'Données projet'!$E$14+1,1))-AVERAGE(OFFSET($H$3,0,0,'Données projet'!$E$14+1,1))</f>
        <v>312.06797204903796</v>
      </c>
      <c r="DU152" s="61">
        <f t="shared" si="152"/>
        <v>258.20189001775151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1.4210854715202004E-13</v>
      </c>
      <c r="EK152" s="18">
        <f>EJ152*VLOOKUP('Données projet'!$B$15,Paramètres!$A$1:$I$89,3,0)*VLOOKUP('Données projet'!$B$15,Paramètres!$A$1:$I$89,5,0)</f>
        <v>1.1527845344971866E-13</v>
      </c>
      <c r="EL152" s="14">
        <f t="shared" si="153"/>
        <v>1.7033846239409443E-12</v>
      </c>
      <c r="EM152" s="22">
        <f t="shared" si="127"/>
        <v>3.1675048597887374E-12</v>
      </c>
      <c r="EN152" s="61">
        <f t="shared" si="128"/>
        <v>293.3333333333365</v>
      </c>
      <c r="EO152" s="61">
        <f ca="1">AVERAGE(OFFSET($EN$3,0,0,'Données projet'!$E$15+1,1))-AVERAGE(OFFSET($H$3,0,0,'Données projet'!$E$15+1,1))</f>
        <v>222.15256609836689</v>
      </c>
      <c r="EP152" s="61">
        <f t="shared" si="154"/>
        <v>221.10360210521077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1.1368683772161603E-13</v>
      </c>
      <c r="FF152" s="18">
        <f>FE152*VLOOKUP('Données projet'!$B$16,Paramètres!$A$1:$I$89,3,0)*VLOOKUP('Données projet'!$B$16,Paramètres!$A$1:$I$89,5,0)</f>
        <v>8.8675733422860506E-14</v>
      </c>
      <c r="FG152" s="14">
        <f t="shared" si="155"/>
        <v>1.3509285393066301E-12</v>
      </c>
      <c r="FH152" s="22">
        <f t="shared" si="130"/>
        <v>2.5073107750038623E-12</v>
      </c>
      <c r="FI152" s="61">
        <f t="shared" si="131"/>
        <v>293.33333333333582</v>
      </c>
      <c r="FJ152" s="61">
        <f ca="1">AVERAGE(OFFSET($FI$3,0,0,'Données projet'!$E$16+1,1))-AVERAGE(OFFSET($H$3,0,0,'Données projet'!$E$16+1,1))</f>
        <v>292.57482726862594</v>
      </c>
      <c r="FK152" s="61">
        <f t="shared" si="156"/>
        <v>283.48738729114024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2.4</v>
      </c>
      <c r="FZ152" s="13">
        <f>IF('Données projet'!$A$244&gt;35,FZ151+FY152-GH151,IF(A152&lt;'Données projet'!$A$244,$FW$205^A152,IF(A152='Données projet'!$A$244,'Données projet'!$B$244,FZ151+FY152-GH151)))</f>
        <v>290.59999999999906</v>
      </c>
      <c r="GA152" s="18">
        <f>FZ152*VLOOKUP('Données projet'!$B$17,Paramètres!$A$1:$I$89,3,0)*VLOOKUP('Données projet'!$B$17,Paramètres!$A$1:$I$89,5,0)</f>
        <v>281.06831999999906</v>
      </c>
      <c r="GB152" s="14">
        <f t="shared" si="157"/>
        <v>67.192725545416479</v>
      </c>
      <c r="GC152" s="22">
        <f t="shared" si="133"/>
        <v>606.55465432493213</v>
      </c>
      <c r="GD152" s="61">
        <f t="shared" si="134"/>
        <v>899.8879876582655</v>
      </c>
      <c r="GE152" s="61">
        <f ca="1">AVERAGE(OFFSET($GD$3,0,0,'Données projet'!$E$17+1,1))-AVERAGE(OFFSET($H$3,0,0,'Données projet'!$E$17+1,1))</f>
        <v>455.50822833641354</v>
      </c>
      <c r="GF152" s="61">
        <f t="shared" si="158"/>
        <v>261.14722581688039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0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0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2.4</v>
      </c>
      <c r="GU152" s="13">
        <f>IF('Données projet'!$A$270&gt;35,GU151+GT152-HC151,IF(A152&lt;'Données projet'!$A$270,$GR$205^A152,IF(A152='Données projet'!$A$270,'Données projet'!$B$270,GU151+GT152-HC151)))</f>
        <v>290.59999999999906</v>
      </c>
      <c r="GV152" s="18">
        <f>GU152*VLOOKUP('Données projet'!$B$18,Paramètres!$A$1:$I$89,3,0)*VLOOKUP('Données projet'!$B$18,Paramètres!$A$1:$I$89,5,0)</f>
        <v>312.80183999999895</v>
      </c>
      <c r="GW152" s="14">
        <f t="shared" si="159"/>
        <v>73.853659115640198</v>
      </c>
      <c r="GX152" s="22">
        <f t="shared" si="136"/>
        <v>673.42499429307145</v>
      </c>
      <c r="GY152" s="61">
        <f t="shared" si="137"/>
        <v>966.75832762640471</v>
      </c>
      <c r="GZ152" s="61">
        <f ca="1">AVERAGE(OFFSET($GY$3,0,0,'Données projet'!$E$18+1,1))-AVERAGE(OFFSET($H$3,0,0,'Données projet'!$E$18+1,1))</f>
        <v>502.07782026233912</v>
      </c>
      <c r="HA152" s="61">
        <f t="shared" si="160"/>
        <v>285.83623046025156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0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0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265.1063999999991</v>
      </c>
      <c r="P153" s="14">
        <f t="shared" si="141"/>
        <v>63.809620899125136</v>
      </c>
      <c r="Q153" s="22">
        <f t="shared" si="108"/>
        <v>572.86206973264132</v>
      </c>
      <c r="R153" s="61">
        <f t="shared" si="109"/>
        <v>866.19540306597469</v>
      </c>
      <c r="S153" s="61">
        <f ca="1">AVERAGE(OFFSET($R$3,0,0,'Données projet'!$E$9+1,1))-AVERAGE(OFFSET($H$3,0,0,'Données projet'!$E$9+1,1))</f>
        <v>428.8489304403459</v>
      </c>
      <c r="T153" s="61">
        <f t="shared" si="142"/>
        <v>247.01165577562966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1">
        <f t="shared" si="113"/>
        <v>933.69294175292316</v>
      </c>
      <c r="AN153" s="61">
        <f ca="1">AVERAGE(OFFSET($AM$3,0,0,'Données projet'!$E$10+1,1))-AVERAGE(OFFSET($H$3,0,0,'Données projet'!$E$10+1,1))</f>
        <v>475.47920969424894</v>
      </c>
      <c r="AO153" s="61">
        <f t="shared" si="144"/>
        <v>271.73544012419364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-3.4106051316484809E-13</v>
      </c>
      <c r="BE153" s="14">
        <f>BD153*VLOOKUP('Données projet'!$B$11,Paramètres!$A$1:$I$89,3,0)*VLOOKUP('Données projet'!$B$11,Paramètres!$A$1:$I$89,5,0)</f>
        <v>-1.9065282685915009E-13</v>
      </c>
      <c r="BF153" s="14" t="e">
        <f t="shared" si="145"/>
        <v>#NUM!</v>
      </c>
      <c r="BG153" s="22" t="e">
        <f t="shared" si="115"/>
        <v>#NUM!</v>
      </c>
      <c r="BH153" s="61" t="e">
        <f t="shared" si="116"/>
        <v>#NUM!</v>
      </c>
      <c r="BI153" s="61">
        <f ca="1">AVERAGE(OFFSET($BH$3,0,0,'Données projet'!$E$11+1,1))-AVERAGE(OFFSET($H$3,0,0,'Données projet'!$E$11+1,1))</f>
        <v>374.79806286316051</v>
      </c>
      <c r="BJ153" s="61">
        <f t="shared" si="146"/>
        <v>350.01856672839466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0.7994015226772111</v>
      </c>
      <c r="BR153" s="23">
        <f>EXP(-LN(2)/2)*BR152+(1-EXP(-LN(2)/2))/(LN(2)/2)*BL153*BO153*VLOOKUP('Données projet'!$B$11,Paramètres!$A$1:$I$89,3,0)*0.475*44/12</f>
        <v>9.5477280957120135E-18</v>
      </c>
      <c r="BS153" s="24">
        <f t="shared" si="117"/>
        <v>0.7994015226772111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5.6843418860808015E-13</v>
      </c>
      <c r="BZ153" s="14">
        <f>BY153*VLOOKUP('Données projet'!$B$12,Paramètres!$A$1:$I$89,3,0)*VLOOKUP('Données projet'!$B$12,Paramètres!$A$1:$I$89,5,0)</f>
        <v>2.6602720026858149E-13</v>
      </c>
      <c r="CA153" s="14">
        <f t="shared" si="147"/>
        <v>3.5662905043956649E-12</v>
      </c>
      <c r="CB153" s="22">
        <f t="shared" si="118"/>
        <v>6.6746200022902298E-12</v>
      </c>
      <c r="CC153" s="61">
        <f t="shared" si="119"/>
        <v>293.33333333333997</v>
      </c>
      <c r="CD153" s="61">
        <f ca="1">AVERAGE(OFFSET($CC$3,0,0,'Données projet'!$E$12+1,1))-AVERAGE(OFFSET($H$3,0,0,'Données projet'!$E$12+1,1))</f>
        <v>285.59863510278109</v>
      </c>
      <c r="CE153" s="61">
        <f t="shared" si="148"/>
        <v>190.4880882944471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5.4683368944097308E-14</v>
      </c>
      <c r="CV153" s="14">
        <f t="shared" si="149"/>
        <v>8.8129432816788268E-13</v>
      </c>
      <c r="CW153" s="22">
        <f t="shared" si="121"/>
        <v>1.6301611558033651E-12</v>
      </c>
      <c r="CX153" s="61">
        <f t="shared" si="122"/>
        <v>293.33333333333496</v>
      </c>
      <c r="CY153" s="61">
        <f ca="1">AVERAGE(OFFSET($CX$3,0,0,'Données projet'!$E$13+1,1))-AVERAGE(OFFSET($H$3,0,0,'Données projet'!$E$13+1,1))</f>
        <v>273.72618036666552</v>
      </c>
      <c r="CZ153" s="61">
        <f t="shared" si="150"/>
        <v>157.67999791700714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1.7053025658242404E-13</v>
      </c>
      <c r="DP153" s="18">
        <f>DO153*VLOOKUP('Données projet'!$B$14,Paramètres!$A$1:$I$89,3,0)*VLOOKUP('Données projet'!$B$14,Paramètres!$A$1:$I$89,5,0)</f>
        <v>1.1439169611549005E-13</v>
      </c>
      <c r="DQ153" s="14">
        <f t="shared" si="151"/>
        <v>1.6918016515029816E-12</v>
      </c>
      <c r="DR153" s="22">
        <f t="shared" si="124"/>
        <v>3.1457867471021712E-12</v>
      </c>
      <c r="DS153" s="61">
        <f t="shared" si="125"/>
        <v>293.33333333333644</v>
      </c>
      <c r="DT153" s="61">
        <f ca="1">AVERAGE(OFFSET($DS$3,0,0,'Données projet'!$E$14+1,1))-AVERAGE(OFFSET($H$3,0,0,'Données projet'!$E$14+1,1))</f>
        <v>312.06797204903796</v>
      </c>
      <c r="DU153" s="61">
        <f t="shared" si="152"/>
        <v>258.20189001775151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1.4210854715202004E-13</v>
      </c>
      <c r="EK153" s="18">
        <f>EJ153*VLOOKUP('Données projet'!$B$15,Paramètres!$A$1:$I$89,3,0)*VLOOKUP('Données projet'!$B$15,Paramètres!$A$1:$I$89,5,0)</f>
        <v>1.1527845344971866E-13</v>
      </c>
      <c r="EL153" s="14">
        <f t="shared" si="153"/>
        <v>1.7033846239409443E-12</v>
      </c>
      <c r="EM153" s="22">
        <f t="shared" si="127"/>
        <v>3.1675048597887374E-12</v>
      </c>
      <c r="EN153" s="61">
        <f t="shared" si="128"/>
        <v>293.3333333333365</v>
      </c>
      <c r="EO153" s="61">
        <f ca="1">AVERAGE(OFFSET($EN$3,0,0,'Données projet'!$E$15+1,1))-AVERAGE(OFFSET($H$3,0,0,'Données projet'!$E$15+1,1))</f>
        <v>222.15256609836689</v>
      </c>
      <c r="EP153" s="61">
        <f t="shared" si="154"/>
        <v>221.10360210521077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1.1368683772161603E-13</v>
      </c>
      <c r="FF153" s="18">
        <f>FE153*VLOOKUP('Données projet'!$B$16,Paramètres!$A$1:$I$89,3,0)*VLOOKUP('Données projet'!$B$16,Paramètres!$A$1:$I$89,5,0)</f>
        <v>8.8675733422860506E-14</v>
      </c>
      <c r="FG153" s="14">
        <f t="shared" si="155"/>
        <v>1.3509285393066301E-12</v>
      </c>
      <c r="FH153" s="22">
        <f t="shared" si="130"/>
        <v>2.5073107750038623E-12</v>
      </c>
      <c r="FI153" s="61">
        <f t="shared" si="131"/>
        <v>293.33333333333582</v>
      </c>
      <c r="FJ153" s="61">
        <f ca="1">AVERAGE(OFFSET($FI$3,0,0,'Données projet'!$E$16+1,1))-AVERAGE(OFFSET($H$3,0,0,'Données projet'!$E$16+1,1))</f>
        <v>292.57482726862594</v>
      </c>
      <c r="FK153" s="61">
        <f t="shared" si="156"/>
        <v>283.48738729114024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>
        <f>VLOOKUP(A153,'Données projet'!$A$243:$I$263,2,0)</f>
        <v>293</v>
      </c>
      <c r="FX153" s="13">
        <f>VLOOKUP(A153,'Données projet'!$A$243:$I$263,9,0)</f>
        <v>2.4</v>
      </c>
      <c r="FY153" s="13">
        <f t="array" ref="FY153">INDEX(FX:FX,MIN(IF(ISNUMBER(FX153:FX349),ROW(FX153:FX349),"")))</f>
        <v>2.4</v>
      </c>
      <c r="FZ153" s="13">
        <f>IF('Données projet'!$A$244&gt;35,FZ152+FY153-GH152,IF(A153&lt;'Données projet'!$A$244,$FW$205^A153,IF(A153='Données projet'!$A$244,'Données projet'!$B$244,FZ152+FY153-GH152)))</f>
        <v>292.99999999999903</v>
      </c>
      <c r="GA153" s="18">
        <f>FZ153*VLOOKUP('Données projet'!$B$17,Paramètres!$A$1:$I$89,3,0)*VLOOKUP('Données projet'!$B$17,Paramètres!$A$1:$I$89,5,0)</f>
        <v>283.38959999999906</v>
      </c>
      <c r="GB153" s="14">
        <f t="shared" si="157"/>
        <v>67.682826374656187</v>
      </c>
      <c r="GC153" s="22">
        <f t="shared" si="133"/>
        <v>611.45114260252456</v>
      </c>
      <c r="GD153" s="61">
        <f t="shared" si="134"/>
        <v>904.78447593585793</v>
      </c>
      <c r="GE153" s="61">
        <f ca="1">AVERAGE(OFFSET($GD$3,0,0,'Données projet'!$E$17+1,1))-AVERAGE(OFFSET($H$3,0,0,'Données projet'!$E$17+1,1))</f>
        <v>455.50822833641354</v>
      </c>
      <c r="GF153" s="61">
        <f t="shared" si="158"/>
        <v>261.14722581688039</v>
      </c>
      <c r="GG153" s="16">
        <f>IF(ISNA(VLOOKUP(A153,'Données projet'!$A$243:$I$263,3,0)),0,VLOOKUP(A153,'Données projet'!$A$243:$I$263,3,0))</f>
        <v>13</v>
      </c>
      <c r="GH153" s="16">
        <f>IF(ISNA(VLOOKUP(A153,'Données projet'!$A$243:$I$263,4,0)),0,VLOOKUP(A153,'Données projet'!$A$243:$I$263,4,0))</f>
        <v>293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0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0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>
        <f>VLOOKUP(A153,'Données projet'!$A$269:$I$289,2,0)</f>
        <v>293</v>
      </c>
      <c r="GS153" s="13">
        <f>VLOOKUP(A153,'Données projet'!$A$269:$I$289,9,0)</f>
        <v>2.4</v>
      </c>
      <c r="GT153" s="13">
        <f t="array" ref="GT153">INDEX(GS:GS,MIN(IF(ISNUMBER(GS153:GS349),ROW(GS153:GS349),"")))</f>
        <v>2.4</v>
      </c>
      <c r="GU153" s="13">
        <f>IF('Données projet'!$A$270&gt;35,GU152+GT153-HC152,IF(A153&lt;'Données projet'!$A$270,$GR$205^A153,IF(A153='Données projet'!$A$270,'Données projet'!$B$270,GU152+GT153-HC152)))</f>
        <v>292.99999999999903</v>
      </c>
      <c r="GV153" s="18">
        <f>GU153*VLOOKUP('Données projet'!$B$18,Paramètres!$A$1:$I$89,3,0)*VLOOKUP('Données projet'!$B$18,Paramètres!$A$1:$I$89,5,0)</f>
        <v>315.38519999999892</v>
      </c>
      <c r="GW153" s="14">
        <f t="shared" si="159"/>
        <v>74.392344505779604</v>
      </c>
      <c r="GX153" s="22">
        <f t="shared" si="136"/>
        <v>678.86255668089746</v>
      </c>
      <c r="GY153" s="61">
        <f t="shared" si="137"/>
        <v>972.19589001423083</v>
      </c>
      <c r="GZ153" s="61">
        <f ca="1">AVERAGE(OFFSET($GY$3,0,0,'Données projet'!$E$18+1,1))-AVERAGE(OFFSET($H$3,0,0,'Données projet'!$E$18+1,1))</f>
        <v>502.07782026233912</v>
      </c>
      <c r="HA153" s="61">
        <f t="shared" si="160"/>
        <v>285.83623046025156</v>
      </c>
      <c r="HB153" s="16">
        <f>IF(ISNA(VLOOKUP(A153,'Données projet'!$A$269:$I$289,3,0)),0,VLOOKUP(A153,'Données projet'!$A$269:$I$289,3,0))</f>
        <v>13</v>
      </c>
      <c r="HC153" s="16">
        <f>IF(ISNA(VLOOKUP(A153,'Données projet'!$A$269:$I$289,4,0)),0,VLOOKUP(A153,'Données projet'!$A$269:$I$289,4,0))</f>
        <v>293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0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0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-8.7434273154940449E-13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1" t="e">
        <f t="shared" si="109"/>
        <v>#NUM!</v>
      </c>
      <c r="S154" s="61">
        <f ca="1">AVERAGE(OFFSET($R$3,0,0,'Données projet'!$E$9+1,1))-AVERAGE(OFFSET($H$3,0,0,'Données projet'!$E$9+1,1))</f>
        <v>428.8489304403459</v>
      </c>
      <c r="T154" s="61">
        <f t="shared" si="142"/>
        <v>247.01165577562966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1" t="e">
        <f t="shared" si="113"/>
        <v>#NUM!</v>
      </c>
      <c r="AN154" s="61">
        <f ca="1">AVERAGE(OFFSET($AM$3,0,0,'Données projet'!$E$10+1,1))-AVERAGE(OFFSET($H$3,0,0,'Données projet'!$E$10+1,1))</f>
        <v>475.47920969424894</v>
      </c>
      <c r="AO154" s="61">
        <f t="shared" si="144"/>
        <v>271.73544012419364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-3.4106051316484809E-13</v>
      </c>
      <c r="BE154" s="14">
        <f>BD154*VLOOKUP('Données projet'!$B$11,Paramètres!$A$1:$I$89,3,0)*VLOOKUP('Données projet'!$B$11,Paramètres!$A$1:$I$89,5,0)</f>
        <v>-1.9065282685915009E-13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1" t="e">
        <f t="shared" si="116"/>
        <v>#NUM!</v>
      </c>
      <c r="BI154" s="61">
        <f ca="1">AVERAGE(OFFSET($BH$3,0,0,'Données projet'!$E$11+1,1))-AVERAGE(OFFSET($H$3,0,0,'Données projet'!$E$11+1,1))</f>
        <v>374.79806286316051</v>
      </c>
      <c r="BJ154" s="61">
        <f t="shared" si="146"/>
        <v>350.01856672839466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0.7775418460009037</v>
      </c>
      <c r="BR154" s="23">
        <f>EXP(-LN(2)/2)*BR153+(1-EXP(-LN(2)/2))/(LN(2)/2)*BL154*BO154*VLOOKUP('Données projet'!$B$11,Paramètres!$A$1:$I$89,3,0)*0.475*44/12</f>
        <v>6.7512632814032872E-18</v>
      </c>
      <c r="BS154" s="24">
        <f t="shared" ref="BS154:BS203" si="169">SUM(BP154:BR154)</f>
        <v>0.7775418460009037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5.6843418860808015E-13</v>
      </c>
      <c r="BZ154" s="14">
        <f>BY154*VLOOKUP('Données projet'!$B$12,Paramètres!$A$1:$I$89,3,0)*VLOOKUP('Données projet'!$B$12,Paramètres!$A$1:$I$89,5,0)</f>
        <v>2.6602720026858149E-13</v>
      </c>
      <c r="CA154" s="14">
        <f t="shared" ref="CA154:CA203" si="170">EXP(-1.0587+0.8836*LN(BZ154)+0.284)</f>
        <v>3.5662905043956649E-12</v>
      </c>
      <c r="CB154" s="22">
        <f t="shared" ref="CB154:CB203" si="171">(BZ154+CA154)*0.475*44/12</f>
        <v>6.6746200022902298E-12</v>
      </c>
      <c r="CC154" s="61">
        <f t="shared" si="119"/>
        <v>293.33333333333997</v>
      </c>
      <c r="CD154" s="61">
        <f ca="1">AVERAGE(OFFSET($CC$3,0,0,'Données projet'!$E$12+1,1))-AVERAGE(OFFSET($H$3,0,0,'Données projet'!$E$12+1,1))</f>
        <v>285.59863510278109</v>
      </c>
      <c r="CE154" s="61">
        <f t="shared" si="148"/>
        <v>190.4880882944471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5.4683368944097308E-14</v>
      </c>
      <c r="CV154" s="14">
        <f t="shared" ref="CV154:CV203" si="173">EXP(-1.0587+0.8836*LN(CU154)+0.284)</f>
        <v>8.8129432816788268E-13</v>
      </c>
      <c r="CW154" s="22">
        <f t="shared" ref="CW154:CW203" si="174">(CU154+CV154)*0.475*44/12</f>
        <v>1.6301611558033651E-12</v>
      </c>
      <c r="CX154" s="61">
        <f t="shared" si="122"/>
        <v>293.33333333333496</v>
      </c>
      <c r="CY154" s="61">
        <f ca="1">AVERAGE(OFFSET($CX$3,0,0,'Données projet'!$E$13+1,1))-AVERAGE(OFFSET($H$3,0,0,'Données projet'!$E$13+1,1))</f>
        <v>273.72618036666552</v>
      </c>
      <c r="CZ154" s="61">
        <f t="shared" si="150"/>
        <v>157.67999791700714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1.7053025658242404E-13</v>
      </c>
      <c r="DP154" s="18">
        <f>DO154*VLOOKUP('Données projet'!$B$14,Paramètres!$A$1:$I$89,3,0)*VLOOKUP('Données projet'!$B$14,Paramètres!$A$1:$I$89,5,0)</f>
        <v>1.1439169611549005E-13</v>
      </c>
      <c r="DQ154" s="14">
        <f t="shared" ref="DQ154:DQ203" si="176">EXP(-1.0587+0.8836*LN(DP154)+0.284)</f>
        <v>1.6918016515029816E-12</v>
      </c>
      <c r="DR154" s="22">
        <f t="shared" ref="DR154:DR203" si="177">(DP154+DQ154)*0.475*44/12</f>
        <v>3.1457867471021712E-12</v>
      </c>
      <c r="DS154" s="61">
        <f t="shared" si="125"/>
        <v>293.33333333333644</v>
      </c>
      <c r="DT154" s="61">
        <f ca="1">AVERAGE(OFFSET($DS$3,0,0,'Données projet'!$E$14+1,1))-AVERAGE(OFFSET($H$3,0,0,'Données projet'!$E$14+1,1))</f>
        <v>312.06797204903796</v>
      </c>
      <c r="DU154" s="61">
        <f t="shared" si="152"/>
        <v>258.20189001775151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1.4210854715202004E-13</v>
      </c>
      <c r="EK154" s="18">
        <f>EJ154*VLOOKUP('Données projet'!$B$15,Paramètres!$A$1:$I$89,3,0)*VLOOKUP('Données projet'!$B$15,Paramètres!$A$1:$I$89,5,0)</f>
        <v>1.1527845344971866E-13</v>
      </c>
      <c r="EL154" s="14">
        <f t="shared" ref="EL154:EL203" si="179">EXP(-1.0587+0.8836*LN(EK154)+0.284)</f>
        <v>1.7033846239409443E-12</v>
      </c>
      <c r="EM154" s="22">
        <f t="shared" ref="EM154:EM203" si="180">(EK154+EL154)*0.475*44/12</f>
        <v>3.1675048597887374E-12</v>
      </c>
      <c r="EN154" s="61">
        <f t="shared" si="128"/>
        <v>293.3333333333365</v>
      </c>
      <c r="EO154" s="61">
        <f ca="1">AVERAGE(OFFSET($EN$3,0,0,'Données projet'!$E$15+1,1))-AVERAGE(OFFSET($H$3,0,0,'Données projet'!$E$15+1,1))</f>
        <v>222.15256609836689</v>
      </c>
      <c r="EP154" s="61">
        <f t="shared" si="154"/>
        <v>221.10360210521077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1.1368683772161603E-13</v>
      </c>
      <c r="FF154" s="18">
        <f>FE154*VLOOKUP('Données projet'!$B$16,Paramètres!$A$1:$I$89,3,0)*VLOOKUP('Données projet'!$B$16,Paramètres!$A$1:$I$89,5,0)</f>
        <v>8.8675733422860506E-14</v>
      </c>
      <c r="FG154" s="14">
        <f t="shared" ref="FG154:FG203" si="182">EXP(-1.0587+0.8836*LN(FF154)+0.284)</f>
        <v>1.3509285393066301E-12</v>
      </c>
      <c r="FH154" s="22">
        <f t="shared" ref="FH154:FH203" si="183">(FF154+FG154)*0.475*44/12</f>
        <v>2.5073107750038623E-12</v>
      </c>
      <c r="FI154" s="61">
        <f t="shared" si="131"/>
        <v>293.33333333333582</v>
      </c>
      <c r="FJ154" s="61">
        <f ca="1">AVERAGE(OFFSET($FI$3,0,0,'Données projet'!$E$16+1,1))-AVERAGE(OFFSET($H$3,0,0,'Données projet'!$E$16+1,1))</f>
        <v>292.57482726862594</v>
      </c>
      <c r="FK154" s="61">
        <f t="shared" si="156"/>
        <v>283.48738729114024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-9.6633812063373625E-13</v>
      </c>
      <c r="GA154" s="18">
        <f>FZ154*VLOOKUP('Données projet'!$B$17,Paramètres!$A$1:$I$89,3,0)*VLOOKUP('Données projet'!$B$17,Paramètres!$A$1:$I$89,5,0)</f>
        <v>-9.3464223027694966E-13</v>
      </c>
      <c r="GB154" s="14" t="e">
        <f t="shared" ref="GB154:GB203" si="185">EXP(-1.0587+0.8836*LN(GA154)+0.284)</f>
        <v>#NUM!</v>
      </c>
      <c r="GC154" s="22" t="e">
        <f t="shared" ref="GC154:GC203" si="186">(GA154+GB154)*0.475*44/12</f>
        <v>#NUM!</v>
      </c>
      <c r="GD154" s="61" t="e">
        <f t="shared" si="134"/>
        <v>#NUM!</v>
      </c>
      <c r="GE154" s="61">
        <f ca="1">AVERAGE(OFFSET($GD$3,0,0,'Données projet'!$E$17+1,1))-AVERAGE(OFFSET($H$3,0,0,'Données projet'!$E$17+1,1))</f>
        <v>455.50822833641354</v>
      </c>
      <c r="GF154" s="61">
        <f t="shared" si="158"/>
        <v>261.14722581688039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0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0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-9.6633812063373625E-13</v>
      </c>
      <c r="GV154" s="18">
        <f>GU154*VLOOKUP('Données projet'!$B$18,Paramètres!$A$1:$I$89,3,0)*VLOOKUP('Données projet'!$B$18,Paramètres!$A$1:$I$89,5,0)</f>
        <v>-1.0401663530501537E-12</v>
      </c>
      <c r="GW154" s="14" t="e">
        <f t="shared" ref="GW154:GW203" si="188">EXP(-1.0587+0.8836*LN(GV154)+0.284)</f>
        <v>#NUM!</v>
      </c>
      <c r="GX154" s="22" t="e">
        <f t="shared" ref="GX154:GX203" si="189">(GV154+GW154)*0.475*44/12</f>
        <v>#NUM!</v>
      </c>
      <c r="GY154" s="61" t="e">
        <f t="shared" si="137"/>
        <v>#NUM!</v>
      </c>
      <c r="GZ154" s="61">
        <f ca="1">AVERAGE(OFFSET($GY$3,0,0,'Données projet'!$E$18+1,1))-AVERAGE(OFFSET($H$3,0,0,'Données projet'!$E$18+1,1))</f>
        <v>502.07782026233912</v>
      </c>
      <c r="HA154" s="61">
        <f t="shared" si="160"/>
        <v>285.83623046025156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0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0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-8.7434273154940449E-13</v>
      </c>
      <c r="P155" s="14" t="e">
        <f t="shared" si="141"/>
        <v>#NUM!</v>
      </c>
      <c r="Q155" s="22" t="e">
        <f t="shared" si="162"/>
        <v>#NUM!</v>
      </c>
      <c r="R155" s="61" t="e">
        <f t="shared" si="109"/>
        <v>#NUM!</v>
      </c>
      <c r="S155" s="61">
        <f ca="1">AVERAGE(OFFSET($R$3,0,0,'Données projet'!$E$9+1,1))-AVERAGE(OFFSET($H$3,0,0,'Données projet'!$E$9+1,1))</f>
        <v>428.8489304403459</v>
      </c>
      <c r="T155" s="61">
        <f t="shared" si="142"/>
        <v>247.01165577562966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1" t="e">
        <f t="shared" si="113"/>
        <v>#NUM!</v>
      </c>
      <c r="AN155" s="61">
        <f ca="1">AVERAGE(OFFSET($AM$3,0,0,'Données projet'!$E$10+1,1))-AVERAGE(OFFSET($H$3,0,0,'Données projet'!$E$10+1,1))</f>
        <v>475.47920969424894</v>
      </c>
      <c r="AO155" s="61">
        <f t="shared" si="144"/>
        <v>271.73544012419364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-3.4106051316484809E-13</v>
      </c>
      <c r="BE155" s="14">
        <f>BD155*VLOOKUP('Données projet'!$B$11,Paramètres!$A$1:$I$89,3,0)*VLOOKUP('Données projet'!$B$11,Paramètres!$A$1:$I$89,5,0)</f>
        <v>-1.9065282685915009E-13</v>
      </c>
      <c r="BF155" s="14" t="e">
        <f t="shared" si="167"/>
        <v>#NUM!</v>
      </c>
      <c r="BG155" s="22" t="e">
        <f t="shared" si="168"/>
        <v>#NUM!</v>
      </c>
      <c r="BH155" s="61" t="e">
        <f t="shared" si="116"/>
        <v>#NUM!</v>
      </c>
      <c r="BI155" s="61">
        <f ca="1">AVERAGE(OFFSET($BH$3,0,0,'Données projet'!$E$11+1,1))-AVERAGE(OFFSET($H$3,0,0,'Données projet'!$E$11+1,1))</f>
        <v>374.79806286316051</v>
      </c>
      <c r="BJ155" s="61">
        <f t="shared" si="146"/>
        <v>350.01856672839466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0.75627992333286043</v>
      </c>
      <c r="BR155" s="23">
        <f>EXP(-LN(2)/2)*BR154+(1-EXP(-LN(2)/2))/(LN(2)/2)*BL155*BO155*VLOOKUP('Données projet'!$B$11,Paramètres!$A$1:$I$89,3,0)*0.475*44/12</f>
        <v>4.7738640478560075E-18</v>
      </c>
      <c r="BS155" s="24">
        <f t="shared" si="169"/>
        <v>0.75627992333286043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5.6843418860808015E-13</v>
      </c>
      <c r="BZ155" s="14">
        <f>BY155*VLOOKUP('Données projet'!$B$12,Paramètres!$A$1:$I$89,3,0)*VLOOKUP('Données projet'!$B$12,Paramètres!$A$1:$I$89,5,0)</f>
        <v>2.6602720026858149E-13</v>
      </c>
      <c r="CA155" s="14">
        <f t="shared" si="170"/>
        <v>3.5662905043956649E-12</v>
      </c>
      <c r="CB155" s="22">
        <f t="shared" si="171"/>
        <v>6.6746200022902298E-12</v>
      </c>
      <c r="CC155" s="61">
        <f t="shared" si="119"/>
        <v>293.33333333333997</v>
      </c>
      <c r="CD155" s="61">
        <f ca="1">AVERAGE(OFFSET($CC$3,0,0,'Données projet'!$E$12+1,1))-AVERAGE(OFFSET($H$3,0,0,'Données projet'!$E$12+1,1))</f>
        <v>285.59863510278109</v>
      </c>
      <c r="CE155" s="61">
        <f t="shared" si="148"/>
        <v>190.4880882944471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5.4683368944097308E-14</v>
      </c>
      <c r="CV155" s="14">
        <f t="shared" si="173"/>
        <v>8.8129432816788268E-13</v>
      </c>
      <c r="CW155" s="22">
        <f t="shared" si="174"/>
        <v>1.6301611558033651E-12</v>
      </c>
      <c r="CX155" s="61">
        <f t="shared" si="122"/>
        <v>293.33333333333496</v>
      </c>
      <c r="CY155" s="61">
        <f ca="1">AVERAGE(OFFSET($CX$3,0,0,'Données projet'!$E$13+1,1))-AVERAGE(OFFSET($H$3,0,0,'Données projet'!$E$13+1,1))</f>
        <v>273.72618036666552</v>
      </c>
      <c r="CZ155" s="61">
        <f t="shared" si="150"/>
        <v>157.67999791700714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1.7053025658242404E-13</v>
      </c>
      <c r="DP155" s="18">
        <f>DO155*VLOOKUP('Données projet'!$B$14,Paramètres!$A$1:$I$89,3,0)*VLOOKUP('Données projet'!$B$14,Paramètres!$A$1:$I$89,5,0)</f>
        <v>1.1439169611549005E-13</v>
      </c>
      <c r="DQ155" s="14">
        <f t="shared" si="176"/>
        <v>1.6918016515029816E-12</v>
      </c>
      <c r="DR155" s="22">
        <f t="shared" si="177"/>
        <v>3.1457867471021712E-12</v>
      </c>
      <c r="DS155" s="61">
        <f t="shared" si="125"/>
        <v>293.33333333333644</v>
      </c>
      <c r="DT155" s="61">
        <f ca="1">AVERAGE(OFFSET($DS$3,0,0,'Données projet'!$E$14+1,1))-AVERAGE(OFFSET($H$3,0,0,'Données projet'!$E$14+1,1))</f>
        <v>312.06797204903796</v>
      </c>
      <c r="DU155" s="61">
        <f t="shared" si="152"/>
        <v>258.20189001775151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1.4210854715202004E-13</v>
      </c>
      <c r="EK155" s="18">
        <f>EJ155*VLOOKUP('Données projet'!$B$15,Paramètres!$A$1:$I$89,3,0)*VLOOKUP('Données projet'!$B$15,Paramètres!$A$1:$I$89,5,0)</f>
        <v>1.1527845344971866E-13</v>
      </c>
      <c r="EL155" s="14">
        <f t="shared" si="179"/>
        <v>1.7033846239409443E-12</v>
      </c>
      <c r="EM155" s="22">
        <f t="shared" si="180"/>
        <v>3.1675048597887374E-12</v>
      </c>
      <c r="EN155" s="61">
        <f t="shared" si="128"/>
        <v>293.3333333333365</v>
      </c>
      <c r="EO155" s="61">
        <f ca="1">AVERAGE(OFFSET($EN$3,0,0,'Données projet'!$E$15+1,1))-AVERAGE(OFFSET($H$3,0,0,'Données projet'!$E$15+1,1))</f>
        <v>222.15256609836689</v>
      </c>
      <c r="EP155" s="61">
        <f t="shared" si="154"/>
        <v>221.10360210521077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1.1368683772161603E-13</v>
      </c>
      <c r="FF155" s="18">
        <f>FE155*VLOOKUP('Données projet'!$B$16,Paramètres!$A$1:$I$89,3,0)*VLOOKUP('Données projet'!$B$16,Paramètres!$A$1:$I$89,5,0)</f>
        <v>8.8675733422860506E-14</v>
      </c>
      <c r="FG155" s="14">
        <f t="shared" si="182"/>
        <v>1.3509285393066301E-12</v>
      </c>
      <c r="FH155" s="22">
        <f t="shared" si="183"/>
        <v>2.5073107750038623E-12</v>
      </c>
      <c r="FI155" s="61">
        <f t="shared" si="131"/>
        <v>293.33333333333582</v>
      </c>
      <c r="FJ155" s="61">
        <f ca="1">AVERAGE(OFFSET($FI$3,0,0,'Données projet'!$E$16+1,1))-AVERAGE(OFFSET($H$3,0,0,'Données projet'!$E$16+1,1))</f>
        <v>292.57482726862594</v>
      </c>
      <c r="FK155" s="61">
        <f t="shared" si="156"/>
        <v>283.48738729114024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-9.6633812063373625E-13</v>
      </c>
      <c r="GA155" s="18">
        <f>FZ155*VLOOKUP('Données projet'!$B$17,Paramètres!$A$1:$I$89,3,0)*VLOOKUP('Données projet'!$B$17,Paramètres!$A$1:$I$89,5,0)</f>
        <v>-9.3464223027694966E-13</v>
      </c>
      <c r="GB155" s="14" t="e">
        <f t="shared" si="185"/>
        <v>#NUM!</v>
      </c>
      <c r="GC155" s="22" t="e">
        <f t="shared" si="186"/>
        <v>#NUM!</v>
      </c>
      <c r="GD155" s="61" t="e">
        <f t="shared" si="134"/>
        <v>#NUM!</v>
      </c>
      <c r="GE155" s="61">
        <f ca="1">AVERAGE(OFFSET($GD$3,0,0,'Données projet'!$E$17+1,1))-AVERAGE(OFFSET($H$3,0,0,'Données projet'!$E$17+1,1))</f>
        <v>455.50822833641354</v>
      </c>
      <c r="GF155" s="61">
        <f t="shared" si="158"/>
        <v>261.14722581688039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0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0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-9.6633812063373625E-13</v>
      </c>
      <c r="GV155" s="18">
        <f>GU155*VLOOKUP('Données projet'!$B$18,Paramètres!$A$1:$I$89,3,0)*VLOOKUP('Données projet'!$B$18,Paramètres!$A$1:$I$89,5,0)</f>
        <v>-1.0401663530501537E-12</v>
      </c>
      <c r="GW155" s="14" t="e">
        <f t="shared" si="188"/>
        <v>#NUM!</v>
      </c>
      <c r="GX155" s="22" t="e">
        <f t="shared" si="189"/>
        <v>#NUM!</v>
      </c>
      <c r="GY155" s="61" t="e">
        <f t="shared" si="137"/>
        <v>#NUM!</v>
      </c>
      <c r="GZ155" s="61">
        <f ca="1">AVERAGE(OFFSET($GY$3,0,0,'Données projet'!$E$18+1,1))-AVERAGE(OFFSET($H$3,0,0,'Données projet'!$E$18+1,1))</f>
        <v>502.07782026233912</v>
      </c>
      <c r="HA155" s="61">
        <f t="shared" si="160"/>
        <v>285.83623046025156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0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0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-8.7434273154940449E-13</v>
      </c>
      <c r="P156" s="14" t="e">
        <f t="shared" si="141"/>
        <v>#NUM!</v>
      </c>
      <c r="Q156" s="22" t="e">
        <f t="shared" si="162"/>
        <v>#NUM!</v>
      </c>
      <c r="R156" s="61" t="e">
        <f t="shared" si="109"/>
        <v>#NUM!</v>
      </c>
      <c r="S156" s="61">
        <f ca="1">AVERAGE(OFFSET($R$3,0,0,'Données projet'!$E$9+1,1))-AVERAGE(OFFSET($H$3,0,0,'Données projet'!$E$9+1,1))</f>
        <v>428.8489304403459</v>
      </c>
      <c r="T156" s="61">
        <f t="shared" si="142"/>
        <v>247.01165577562966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1" t="e">
        <f t="shared" si="113"/>
        <v>#NUM!</v>
      </c>
      <c r="AN156" s="61">
        <f ca="1">AVERAGE(OFFSET($AM$3,0,0,'Données projet'!$E$10+1,1))-AVERAGE(OFFSET($H$3,0,0,'Données projet'!$E$10+1,1))</f>
        <v>475.47920969424894</v>
      </c>
      <c r="AO156" s="61">
        <f t="shared" si="144"/>
        <v>271.73544012419364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-3.4106051316484809E-13</v>
      </c>
      <c r="BE156" s="14">
        <f>BD156*VLOOKUP('Données projet'!$B$11,Paramètres!$A$1:$I$89,3,0)*VLOOKUP('Données projet'!$B$11,Paramètres!$A$1:$I$89,5,0)</f>
        <v>-1.9065282685915009E-13</v>
      </c>
      <c r="BF156" s="14" t="e">
        <f t="shared" si="167"/>
        <v>#NUM!</v>
      </c>
      <c r="BG156" s="22" t="e">
        <f t="shared" si="168"/>
        <v>#NUM!</v>
      </c>
      <c r="BH156" s="61" t="e">
        <f t="shared" si="116"/>
        <v>#NUM!</v>
      </c>
      <c r="BI156" s="61">
        <f ca="1">AVERAGE(OFFSET($BH$3,0,0,'Données projet'!$E$11+1,1))-AVERAGE(OFFSET($H$3,0,0,'Données projet'!$E$11+1,1))</f>
        <v>374.79806286316051</v>
      </c>
      <c r="BJ156" s="61">
        <f t="shared" si="146"/>
        <v>350.01856672839466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0.73559940905829069</v>
      </c>
      <c r="BR156" s="23">
        <f>EXP(-LN(2)/2)*BR155+(1-EXP(-LN(2)/2))/(LN(2)/2)*BL156*BO156*VLOOKUP('Données projet'!$B$11,Paramètres!$A$1:$I$89,3,0)*0.475*44/12</f>
        <v>3.3756316407016444E-18</v>
      </c>
      <c r="BS156" s="24">
        <f t="shared" si="169"/>
        <v>0.73559940905829069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5.6843418860808015E-13</v>
      </c>
      <c r="BZ156" s="14">
        <f>BY156*VLOOKUP('Données projet'!$B$12,Paramètres!$A$1:$I$89,3,0)*VLOOKUP('Données projet'!$B$12,Paramètres!$A$1:$I$89,5,0)</f>
        <v>2.6602720026858149E-13</v>
      </c>
      <c r="CA156" s="14">
        <f t="shared" si="170"/>
        <v>3.5662905043956649E-12</v>
      </c>
      <c r="CB156" s="22">
        <f t="shared" si="171"/>
        <v>6.6746200022902298E-12</v>
      </c>
      <c r="CC156" s="61">
        <f t="shared" si="119"/>
        <v>293.33333333333997</v>
      </c>
      <c r="CD156" s="61">
        <f ca="1">AVERAGE(OFFSET($CC$3,0,0,'Données projet'!$E$12+1,1))-AVERAGE(OFFSET($H$3,0,0,'Données projet'!$E$12+1,1))</f>
        <v>285.59863510278109</v>
      </c>
      <c r="CE156" s="61">
        <f t="shared" si="148"/>
        <v>190.4880882944471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5.4683368944097308E-14</v>
      </c>
      <c r="CV156" s="14">
        <f t="shared" si="173"/>
        <v>8.8129432816788268E-13</v>
      </c>
      <c r="CW156" s="22">
        <f t="shared" si="174"/>
        <v>1.6301611558033651E-12</v>
      </c>
      <c r="CX156" s="61">
        <f t="shared" si="122"/>
        <v>293.33333333333496</v>
      </c>
      <c r="CY156" s="61">
        <f ca="1">AVERAGE(OFFSET($CX$3,0,0,'Données projet'!$E$13+1,1))-AVERAGE(OFFSET($H$3,0,0,'Données projet'!$E$13+1,1))</f>
        <v>273.72618036666552</v>
      </c>
      <c r="CZ156" s="61">
        <f t="shared" si="150"/>
        <v>157.67999791700714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1.7053025658242404E-13</v>
      </c>
      <c r="DP156" s="18">
        <f>DO156*VLOOKUP('Données projet'!$B$14,Paramètres!$A$1:$I$89,3,0)*VLOOKUP('Données projet'!$B$14,Paramètres!$A$1:$I$89,5,0)</f>
        <v>1.1439169611549005E-13</v>
      </c>
      <c r="DQ156" s="14">
        <f t="shared" si="176"/>
        <v>1.6918016515029816E-12</v>
      </c>
      <c r="DR156" s="22">
        <f t="shared" si="177"/>
        <v>3.1457867471021712E-12</v>
      </c>
      <c r="DS156" s="61">
        <f t="shared" si="125"/>
        <v>293.33333333333644</v>
      </c>
      <c r="DT156" s="61">
        <f ca="1">AVERAGE(OFFSET($DS$3,0,0,'Données projet'!$E$14+1,1))-AVERAGE(OFFSET($H$3,0,0,'Données projet'!$E$14+1,1))</f>
        <v>312.06797204903796</v>
      </c>
      <c r="DU156" s="61">
        <f t="shared" si="152"/>
        <v>258.20189001775151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1.4210854715202004E-13</v>
      </c>
      <c r="EK156" s="18">
        <f>EJ156*VLOOKUP('Données projet'!$B$15,Paramètres!$A$1:$I$89,3,0)*VLOOKUP('Données projet'!$B$15,Paramètres!$A$1:$I$89,5,0)</f>
        <v>1.1527845344971866E-13</v>
      </c>
      <c r="EL156" s="14">
        <f t="shared" si="179"/>
        <v>1.7033846239409443E-12</v>
      </c>
      <c r="EM156" s="22">
        <f t="shared" si="180"/>
        <v>3.1675048597887374E-12</v>
      </c>
      <c r="EN156" s="61">
        <f t="shared" si="128"/>
        <v>293.3333333333365</v>
      </c>
      <c r="EO156" s="61">
        <f ca="1">AVERAGE(OFFSET($EN$3,0,0,'Données projet'!$E$15+1,1))-AVERAGE(OFFSET($H$3,0,0,'Données projet'!$E$15+1,1))</f>
        <v>222.15256609836689</v>
      </c>
      <c r="EP156" s="61">
        <f t="shared" si="154"/>
        <v>221.10360210521077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1.1368683772161603E-13</v>
      </c>
      <c r="FF156" s="18">
        <f>FE156*VLOOKUP('Données projet'!$B$16,Paramètres!$A$1:$I$89,3,0)*VLOOKUP('Données projet'!$B$16,Paramètres!$A$1:$I$89,5,0)</f>
        <v>8.8675733422860506E-14</v>
      </c>
      <c r="FG156" s="14">
        <f t="shared" si="182"/>
        <v>1.3509285393066301E-12</v>
      </c>
      <c r="FH156" s="22">
        <f t="shared" si="183"/>
        <v>2.5073107750038623E-12</v>
      </c>
      <c r="FI156" s="61">
        <f t="shared" si="131"/>
        <v>293.33333333333582</v>
      </c>
      <c r="FJ156" s="61">
        <f ca="1">AVERAGE(OFFSET($FI$3,0,0,'Données projet'!$E$16+1,1))-AVERAGE(OFFSET($H$3,0,0,'Données projet'!$E$16+1,1))</f>
        <v>292.57482726862594</v>
      </c>
      <c r="FK156" s="61">
        <f t="shared" si="156"/>
        <v>283.48738729114024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-9.6633812063373625E-13</v>
      </c>
      <c r="GA156" s="18">
        <f>FZ156*VLOOKUP('Données projet'!$B$17,Paramètres!$A$1:$I$89,3,0)*VLOOKUP('Données projet'!$B$17,Paramètres!$A$1:$I$89,5,0)</f>
        <v>-9.3464223027694966E-13</v>
      </c>
      <c r="GB156" s="14" t="e">
        <f t="shared" si="185"/>
        <v>#NUM!</v>
      </c>
      <c r="GC156" s="22" t="e">
        <f t="shared" si="186"/>
        <v>#NUM!</v>
      </c>
      <c r="GD156" s="61" t="e">
        <f t="shared" si="134"/>
        <v>#NUM!</v>
      </c>
      <c r="GE156" s="61">
        <f ca="1">AVERAGE(OFFSET($GD$3,0,0,'Données projet'!$E$17+1,1))-AVERAGE(OFFSET($H$3,0,0,'Données projet'!$E$17+1,1))</f>
        <v>455.50822833641354</v>
      </c>
      <c r="GF156" s="61">
        <f t="shared" si="158"/>
        <v>261.14722581688039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0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0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-9.6633812063373625E-13</v>
      </c>
      <c r="GV156" s="18">
        <f>GU156*VLOOKUP('Données projet'!$B$18,Paramètres!$A$1:$I$89,3,0)*VLOOKUP('Données projet'!$B$18,Paramètres!$A$1:$I$89,5,0)</f>
        <v>-1.0401663530501537E-12</v>
      </c>
      <c r="GW156" s="14" t="e">
        <f t="shared" si="188"/>
        <v>#NUM!</v>
      </c>
      <c r="GX156" s="22" t="e">
        <f t="shared" si="189"/>
        <v>#NUM!</v>
      </c>
      <c r="GY156" s="61" t="e">
        <f t="shared" si="137"/>
        <v>#NUM!</v>
      </c>
      <c r="GZ156" s="61">
        <f ca="1">AVERAGE(OFFSET($GY$3,0,0,'Données projet'!$E$18+1,1))-AVERAGE(OFFSET($H$3,0,0,'Données projet'!$E$18+1,1))</f>
        <v>502.07782026233912</v>
      </c>
      <c r="HA156" s="61">
        <f t="shared" si="160"/>
        <v>285.83623046025156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0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0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-8.7434273154940449E-13</v>
      </c>
      <c r="P157" s="14" t="e">
        <f t="shared" si="141"/>
        <v>#NUM!</v>
      </c>
      <c r="Q157" s="22" t="e">
        <f t="shared" si="162"/>
        <v>#NUM!</v>
      </c>
      <c r="R157" s="61" t="e">
        <f t="shared" si="109"/>
        <v>#NUM!</v>
      </c>
      <c r="S157" s="61">
        <f ca="1">AVERAGE(OFFSET($R$3,0,0,'Données projet'!$E$9+1,1))-AVERAGE(OFFSET($H$3,0,0,'Données projet'!$E$9+1,1))</f>
        <v>428.8489304403459</v>
      </c>
      <c r="T157" s="61">
        <f t="shared" si="142"/>
        <v>247.01165577562966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1" t="e">
        <f t="shared" si="113"/>
        <v>#NUM!</v>
      </c>
      <c r="AN157" s="61">
        <f ca="1">AVERAGE(OFFSET($AM$3,0,0,'Données projet'!$E$10+1,1))-AVERAGE(OFFSET($H$3,0,0,'Données projet'!$E$10+1,1))</f>
        <v>475.47920969424894</v>
      </c>
      <c r="AO157" s="61">
        <f t="shared" si="144"/>
        <v>271.73544012419364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-3.4106051316484809E-13</v>
      </c>
      <c r="BE157" s="14">
        <f>BD157*VLOOKUP('Données projet'!$B$11,Paramètres!$A$1:$I$89,3,0)*VLOOKUP('Données projet'!$B$11,Paramètres!$A$1:$I$89,5,0)</f>
        <v>-1.9065282685915009E-13</v>
      </c>
      <c r="BF157" s="14" t="e">
        <f t="shared" si="167"/>
        <v>#NUM!</v>
      </c>
      <c r="BG157" s="22" t="e">
        <f t="shared" si="168"/>
        <v>#NUM!</v>
      </c>
      <c r="BH157" s="61" t="e">
        <f t="shared" si="116"/>
        <v>#NUM!</v>
      </c>
      <c r="BI157" s="61">
        <f ca="1">AVERAGE(OFFSET($BH$3,0,0,'Données projet'!$E$11+1,1))-AVERAGE(OFFSET($H$3,0,0,'Données projet'!$E$11+1,1))</f>
        <v>374.79806286316051</v>
      </c>
      <c r="BJ157" s="61">
        <f t="shared" si="146"/>
        <v>350.01856672839466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0.7154844045341</v>
      </c>
      <c r="BR157" s="23">
        <f>EXP(-LN(2)/2)*BR156+(1-EXP(-LN(2)/2))/(LN(2)/2)*BL157*BO157*VLOOKUP('Données projet'!$B$11,Paramètres!$A$1:$I$89,3,0)*0.475*44/12</f>
        <v>2.3869320239280042E-18</v>
      </c>
      <c r="BS157" s="24">
        <f t="shared" si="169"/>
        <v>0.7154844045341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5.6843418860808015E-13</v>
      </c>
      <c r="BZ157" s="14">
        <f>BY157*VLOOKUP('Données projet'!$B$12,Paramètres!$A$1:$I$89,3,0)*VLOOKUP('Données projet'!$B$12,Paramètres!$A$1:$I$89,5,0)</f>
        <v>2.6602720026858149E-13</v>
      </c>
      <c r="CA157" s="14">
        <f t="shared" si="170"/>
        <v>3.5662905043956649E-12</v>
      </c>
      <c r="CB157" s="22">
        <f t="shared" si="171"/>
        <v>6.6746200022902298E-12</v>
      </c>
      <c r="CC157" s="61">
        <f t="shared" si="119"/>
        <v>293.33333333333997</v>
      </c>
      <c r="CD157" s="61">
        <f ca="1">AVERAGE(OFFSET($CC$3,0,0,'Données projet'!$E$12+1,1))-AVERAGE(OFFSET($H$3,0,0,'Données projet'!$E$12+1,1))</f>
        <v>285.59863510278109</v>
      </c>
      <c r="CE157" s="61">
        <f t="shared" si="148"/>
        <v>190.4880882944471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5.4683368944097308E-14</v>
      </c>
      <c r="CV157" s="14">
        <f t="shared" si="173"/>
        <v>8.8129432816788268E-13</v>
      </c>
      <c r="CW157" s="22">
        <f t="shared" si="174"/>
        <v>1.6301611558033651E-12</v>
      </c>
      <c r="CX157" s="61">
        <f t="shared" si="122"/>
        <v>293.33333333333496</v>
      </c>
      <c r="CY157" s="61">
        <f ca="1">AVERAGE(OFFSET($CX$3,0,0,'Données projet'!$E$13+1,1))-AVERAGE(OFFSET($H$3,0,0,'Données projet'!$E$13+1,1))</f>
        <v>273.72618036666552</v>
      </c>
      <c r="CZ157" s="61">
        <f t="shared" si="150"/>
        <v>157.67999791700714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1.7053025658242404E-13</v>
      </c>
      <c r="DP157" s="18">
        <f>DO157*VLOOKUP('Données projet'!$B$14,Paramètres!$A$1:$I$89,3,0)*VLOOKUP('Données projet'!$B$14,Paramètres!$A$1:$I$89,5,0)</f>
        <v>1.1439169611549005E-13</v>
      </c>
      <c r="DQ157" s="14">
        <f t="shared" si="176"/>
        <v>1.6918016515029816E-12</v>
      </c>
      <c r="DR157" s="22">
        <f t="shared" si="177"/>
        <v>3.1457867471021712E-12</v>
      </c>
      <c r="DS157" s="61">
        <f t="shared" si="125"/>
        <v>293.33333333333644</v>
      </c>
      <c r="DT157" s="61">
        <f ca="1">AVERAGE(OFFSET($DS$3,0,0,'Données projet'!$E$14+1,1))-AVERAGE(OFFSET($H$3,0,0,'Données projet'!$E$14+1,1))</f>
        <v>312.06797204903796</v>
      </c>
      <c r="DU157" s="61">
        <f t="shared" si="152"/>
        <v>258.20189001775151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1.4210854715202004E-13</v>
      </c>
      <c r="EK157" s="18">
        <f>EJ157*VLOOKUP('Données projet'!$B$15,Paramètres!$A$1:$I$89,3,0)*VLOOKUP('Données projet'!$B$15,Paramètres!$A$1:$I$89,5,0)</f>
        <v>1.1527845344971866E-13</v>
      </c>
      <c r="EL157" s="14">
        <f t="shared" si="179"/>
        <v>1.7033846239409443E-12</v>
      </c>
      <c r="EM157" s="22">
        <f t="shared" si="180"/>
        <v>3.1675048597887374E-12</v>
      </c>
      <c r="EN157" s="61">
        <f t="shared" si="128"/>
        <v>293.3333333333365</v>
      </c>
      <c r="EO157" s="61">
        <f ca="1">AVERAGE(OFFSET($EN$3,0,0,'Données projet'!$E$15+1,1))-AVERAGE(OFFSET($H$3,0,0,'Données projet'!$E$15+1,1))</f>
        <v>222.15256609836689</v>
      </c>
      <c r="EP157" s="61">
        <f t="shared" si="154"/>
        <v>221.10360210521077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1.1368683772161603E-13</v>
      </c>
      <c r="FF157" s="18">
        <f>FE157*VLOOKUP('Données projet'!$B$16,Paramètres!$A$1:$I$89,3,0)*VLOOKUP('Données projet'!$B$16,Paramètres!$A$1:$I$89,5,0)</f>
        <v>8.8675733422860506E-14</v>
      </c>
      <c r="FG157" s="14">
        <f t="shared" si="182"/>
        <v>1.3509285393066301E-12</v>
      </c>
      <c r="FH157" s="22">
        <f t="shared" si="183"/>
        <v>2.5073107750038623E-12</v>
      </c>
      <c r="FI157" s="61">
        <f t="shared" si="131"/>
        <v>293.33333333333582</v>
      </c>
      <c r="FJ157" s="61">
        <f ca="1">AVERAGE(OFFSET($FI$3,0,0,'Données projet'!$E$16+1,1))-AVERAGE(OFFSET($H$3,0,0,'Données projet'!$E$16+1,1))</f>
        <v>292.57482726862594</v>
      </c>
      <c r="FK157" s="61">
        <f t="shared" si="156"/>
        <v>283.48738729114024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-9.6633812063373625E-13</v>
      </c>
      <c r="GA157" s="18">
        <f>FZ157*VLOOKUP('Données projet'!$B$17,Paramètres!$A$1:$I$89,3,0)*VLOOKUP('Données projet'!$B$17,Paramètres!$A$1:$I$89,5,0)</f>
        <v>-9.3464223027694966E-13</v>
      </c>
      <c r="GB157" s="14" t="e">
        <f t="shared" si="185"/>
        <v>#NUM!</v>
      </c>
      <c r="GC157" s="22" t="e">
        <f t="shared" si="186"/>
        <v>#NUM!</v>
      </c>
      <c r="GD157" s="61" t="e">
        <f t="shared" si="134"/>
        <v>#NUM!</v>
      </c>
      <c r="GE157" s="61">
        <f ca="1">AVERAGE(OFFSET($GD$3,0,0,'Données projet'!$E$17+1,1))-AVERAGE(OFFSET($H$3,0,0,'Données projet'!$E$17+1,1))</f>
        <v>455.50822833641354</v>
      </c>
      <c r="GF157" s="61">
        <f t="shared" si="158"/>
        <v>261.14722581688039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0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0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-9.6633812063373625E-13</v>
      </c>
      <c r="GV157" s="18">
        <f>GU157*VLOOKUP('Données projet'!$B$18,Paramètres!$A$1:$I$89,3,0)*VLOOKUP('Données projet'!$B$18,Paramètres!$A$1:$I$89,5,0)</f>
        <v>-1.0401663530501537E-12</v>
      </c>
      <c r="GW157" s="14" t="e">
        <f t="shared" si="188"/>
        <v>#NUM!</v>
      </c>
      <c r="GX157" s="22" t="e">
        <f t="shared" si="189"/>
        <v>#NUM!</v>
      </c>
      <c r="GY157" s="61" t="e">
        <f t="shared" si="137"/>
        <v>#NUM!</v>
      </c>
      <c r="GZ157" s="61">
        <f ca="1">AVERAGE(OFFSET($GY$3,0,0,'Données projet'!$E$18+1,1))-AVERAGE(OFFSET($H$3,0,0,'Données projet'!$E$18+1,1))</f>
        <v>502.07782026233912</v>
      </c>
      <c r="HA157" s="61">
        <f t="shared" si="160"/>
        <v>285.83623046025156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0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0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-8.7434273154940449E-13</v>
      </c>
      <c r="P158" s="14" t="e">
        <f t="shared" si="141"/>
        <v>#NUM!</v>
      </c>
      <c r="Q158" s="22" t="e">
        <f t="shared" si="162"/>
        <v>#NUM!</v>
      </c>
      <c r="R158" s="61" t="e">
        <f t="shared" si="109"/>
        <v>#NUM!</v>
      </c>
      <c r="S158" s="61">
        <f ca="1">AVERAGE(OFFSET($R$3,0,0,'Données projet'!$E$9+1,1))-AVERAGE(OFFSET($H$3,0,0,'Données projet'!$E$9+1,1))</f>
        <v>428.8489304403459</v>
      </c>
      <c r="T158" s="61">
        <f t="shared" si="142"/>
        <v>247.01165577562966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1" t="e">
        <f t="shared" si="113"/>
        <v>#NUM!</v>
      </c>
      <c r="AN158" s="61">
        <f ca="1">AVERAGE(OFFSET($AM$3,0,0,'Données projet'!$E$10+1,1))-AVERAGE(OFFSET($H$3,0,0,'Données projet'!$E$10+1,1))</f>
        <v>475.47920969424894</v>
      </c>
      <c r="AO158" s="61">
        <f t="shared" si="144"/>
        <v>271.73544012419364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-3.4106051316484809E-13</v>
      </c>
      <c r="BE158" s="14">
        <f>BD158*VLOOKUP('Données projet'!$B$11,Paramètres!$A$1:$I$89,3,0)*VLOOKUP('Données projet'!$B$11,Paramètres!$A$1:$I$89,5,0)</f>
        <v>-1.9065282685915009E-13</v>
      </c>
      <c r="BF158" s="14" t="e">
        <f t="shared" si="167"/>
        <v>#NUM!</v>
      </c>
      <c r="BG158" s="22" t="e">
        <f t="shared" si="168"/>
        <v>#NUM!</v>
      </c>
      <c r="BH158" s="61" t="e">
        <f t="shared" si="116"/>
        <v>#NUM!</v>
      </c>
      <c r="BI158" s="61">
        <f ca="1">AVERAGE(OFFSET($BH$3,0,0,'Données projet'!$E$11+1,1))-AVERAGE(OFFSET($H$3,0,0,'Données projet'!$E$11+1,1))</f>
        <v>374.79806286316051</v>
      </c>
      <c r="BJ158" s="61">
        <f t="shared" si="146"/>
        <v>350.01856672839466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0.69591944586642551</v>
      </c>
      <c r="BR158" s="23">
        <f>EXP(-LN(2)/2)*BR157+(1-EXP(-LN(2)/2))/(LN(2)/2)*BL158*BO158*VLOOKUP('Données projet'!$B$11,Paramètres!$A$1:$I$89,3,0)*0.475*44/12</f>
        <v>1.6878158203508224E-18</v>
      </c>
      <c r="BS158" s="24">
        <f t="shared" si="169"/>
        <v>0.69591944586642551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5.6843418860808015E-13</v>
      </c>
      <c r="BZ158" s="14">
        <f>BY158*VLOOKUP('Données projet'!$B$12,Paramètres!$A$1:$I$89,3,0)*VLOOKUP('Données projet'!$B$12,Paramètres!$A$1:$I$89,5,0)</f>
        <v>2.6602720026858149E-13</v>
      </c>
      <c r="CA158" s="14">
        <f t="shared" si="170"/>
        <v>3.5662905043956649E-12</v>
      </c>
      <c r="CB158" s="22">
        <f t="shared" si="171"/>
        <v>6.6746200022902298E-12</v>
      </c>
      <c r="CC158" s="61">
        <f t="shared" si="119"/>
        <v>293.33333333333997</v>
      </c>
      <c r="CD158" s="61">
        <f ca="1">AVERAGE(OFFSET($CC$3,0,0,'Données projet'!$E$12+1,1))-AVERAGE(OFFSET($H$3,0,0,'Données projet'!$E$12+1,1))</f>
        <v>285.59863510278109</v>
      </c>
      <c r="CE158" s="61">
        <f t="shared" si="148"/>
        <v>190.4880882944471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5.4683368944097308E-14</v>
      </c>
      <c r="CV158" s="14">
        <f t="shared" si="173"/>
        <v>8.8129432816788268E-13</v>
      </c>
      <c r="CW158" s="22">
        <f t="shared" si="174"/>
        <v>1.6301611558033651E-12</v>
      </c>
      <c r="CX158" s="61">
        <f t="shared" si="122"/>
        <v>293.33333333333496</v>
      </c>
      <c r="CY158" s="61">
        <f ca="1">AVERAGE(OFFSET($CX$3,0,0,'Données projet'!$E$13+1,1))-AVERAGE(OFFSET($H$3,0,0,'Données projet'!$E$13+1,1))</f>
        <v>273.72618036666552</v>
      </c>
      <c r="CZ158" s="61">
        <f t="shared" si="150"/>
        <v>157.67999791700714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1.7053025658242404E-13</v>
      </c>
      <c r="DP158" s="18">
        <f>DO158*VLOOKUP('Données projet'!$B$14,Paramètres!$A$1:$I$89,3,0)*VLOOKUP('Données projet'!$B$14,Paramètres!$A$1:$I$89,5,0)</f>
        <v>1.1439169611549005E-13</v>
      </c>
      <c r="DQ158" s="14">
        <f t="shared" si="176"/>
        <v>1.6918016515029816E-12</v>
      </c>
      <c r="DR158" s="22">
        <f t="shared" si="177"/>
        <v>3.1457867471021712E-12</v>
      </c>
      <c r="DS158" s="61">
        <f t="shared" si="125"/>
        <v>293.33333333333644</v>
      </c>
      <c r="DT158" s="61">
        <f ca="1">AVERAGE(OFFSET($DS$3,0,0,'Données projet'!$E$14+1,1))-AVERAGE(OFFSET($H$3,0,0,'Données projet'!$E$14+1,1))</f>
        <v>312.06797204903796</v>
      </c>
      <c r="DU158" s="61">
        <f t="shared" si="152"/>
        <v>258.20189001775151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1.4210854715202004E-13</v>
      </c>
      <c r="EK158" s="18">
        <f>EJ158*VLOOKUP('Données projet'!$B$15,Paramètres!$A$1:$I$89,3,0)*VLOOKUP('Données projet'!$B$15,Paramètres!$A$1:$I$89,5,0)</f>
        <v>1.1527845344971866E-13</v>
      </c>
      <c r="EL158" s="14">
        <f t="shared" si="179"/>
        <v>1.7033846239409443E-12</v>
      </c>
      <c r="EM158" s="22">
        <f t="shared" si="180"/>
        <v>3.1675048597887374E-12</v>
      </c>
      <c r="EN158" s="61">
        <f t="shared" si="128"/>
        <v>293.3333333333365</v>
      </c>
      <c r="EO158" s="61">
        <f ca="1">AVERAGE(OFFSET($EN$3,0,0,'Données projet'!$E$15+1,1))-AVERAGE(OFFSET($H$3,0,0,'Données projet'!$E$15+1,1))</f>
        <v>222.15256609836689</v>
      </c>
      <c r="EP158" s="61">
        <f t="shared" si="154"/>
        <v>221.10360210521077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1.1368683772161603E-13</v>
      </c>
      <c r="FF158" s="18">
        <f>FE158*VLOOKUP('Données projet'!$B$16,Paramètres!$A$1:$I$89,3,0)*VLOOKUP('Données projet'!$B$16,Paramètres!$A$1:$I$89,5,0)</f>
        <v>8.8675733422860506E-14</v>
      </c>
      <c r="FG158" s="14">
        <f t="shared" si="182"/>
        <v>1.3509285393066301E-12</v>
      </c>
      <c r="FH158" s="22">
        <f t="shared" si="183"/>
        <v>2.5073107750038623E-12</v>
      </c>
      <c r="FI158" s="61">
        <f t="shared" si="131"/>
        <v>293.33333333333582</v>
      </c>
      <c r="FJ158" s="61">
        <f ca="1">AVERAGE(OFFSET($FI$3,0,0,'Données projet'!$E$16+1,1))-AVERAGE(OFFSET($H$3,0,0,'Données projet'!$E$16+1,1))</f>
        <v>292.57482726862594</v>
      </c>
      <c r="FK158" s="61">
        <f t="shared" si="156"/>
        <v>283.48738729114024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-9.6633812063373625E-13</v>
      </c>
      <c r="GA158" s="18">
        <f>FZ158*VLOOKUP('Données projet'!$B$17,Paramètres!$A$1:$I$89,3,0)*VLOOKUP('Données projet'!$B$17,Paramètres!$A$1:$I$89,5,0)</f>
        <v>-9.3464223027694966E-13</v>
      </c>
      <c r="GB158" s="14" t="e">
        <f t="shared" si="185"/>
        <v>#NUM!</v>
      </c>
      <c r="GC158" s="22" t="e">
        <f t="shared" si="186"/>
        <v>#NUM!</v>
      </c>
      <c r="GD158" s="61" t="e">
        <f t="shared" si="134"/>
        <v>#NUM!</v>
      </c>
      <c r="GE158" s="61">
        <f ca="1">AVERAGE(OFFSET($GD$3,0,0,'Données projet'!$E$17+1,1))-AVERAGE(OFFSET($H$3,0,0,'Données projet'!$E$17+1,1))</f>
        <v>455.50822833641354</v>
      </c>
      <c r="GF158" s="61">
        <f t="shared" si="158"/>
        <v>261.14722581688039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0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0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-9.6633812063373625E-13</v>
      </c>
      <c r="GV158" s="18">
        <f>GU158*VLOOKUP('Données projet'!$B$18,Paramètres!$A$1:$I$89,3,0)*VLOOKUP('Données projet'!$B$18,Paramètres!$A$1:$I$89,5,0)</f>
        <v>-1.0401663530501537E-12</v>
      </c>
      <c r="GW158" s="14" t="e">
        <f t="shared" si="188"/>
        <v>#NUM!</v>
      </c>
      <c r="GX158" s="22" t="e">
        <f t="shared" si="189"/>
        <v>#NUM!</v>
      </c>
      <c r="GY158" s="61" t="e">
        <f t="shared" si="137"/>
        <v>#NUM!</v>
      </c>
      <c r="GZ158" s="61">
        <f ca="1">AVERAGE(OFFSET($GY$3,0,0,'Données projet'!$E$18+1,1))-AVERAGE(OFFSET($H$3,0,0,'Données projet'!$E$18+1,1))</f>
        <v>502.07782026233912</v>
      </c>
      <c r="HA158" s="61">
        <f t="shared" si="160"/>
        <v>285.83623046025156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0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0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-8.7434273154940449E-13</v>
      </c>
      <c r="P159" s="14" t="e">
        <f t="shared" si="141"/>
        <v>#NUM!</v>
      </c>
      <c r="Q159" s="22" t="e">
        <f t="shared" si="162"/>
        <v>#NUM!</v>
      </c>
      <c r="R159" s="61" t="e">
        <f t="shared" si="109"/>
        <v>#NUM!</v>
      </c>
      <c r="S159" s="61">
        <f ca="1">AVERAGE(OFFSET($R$3,0,0,'Données projet'!$E$9+1,1))-AVERAGE(OFFSET($H$3,0,0,'Données projet'!$E$9+1,1))</f>
        <v>428.8489304403459</v>
      </c>
      <c r="T159" s="61">
        <f t="shared" si="142"/>
        <v>247.01165577562966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1" t="e">
        <f t="shared" si="113"/>
        <v>#NUM!</v>
      </c>
      <c r="AN159" s="61">
        <f ca="1">AVERAGE(OFFSET($AM$3,0,0,'Données projet'!$E$10+1,1))-AVERAGE(OFFSET($H$3,0,0,'Données projet'!$E$10+1,1))</f>
        <v>475.47920969424894</v>
      </c>
      <c r="AO159" s="61">
        <f t="shared" si="144"/>
        <v>271.73544012419364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-3.4106051316484809E-13</v>
      </c>
      <c r="BE159" s="14">
        <f>BD159*VLOOKUP('Données projet'!$B$11,Paramètres!$A$1:$I$89,3,0)*VLOOKUP('Données projet'!$B$11,Paramètres!$A$1:$I$89,5,0)</f>
        <v>-1.9065282685915009E-13</v>
      </c>
      <c r="BF159" s="14" t="e">
        <f t="shared" si="167"/>
        <v>#NUM!</v>
      </c>
      <c r="BG159" s="22" t="e">
        <f t="shared" si="168"/>
        <v>#NUM!</v>
      </c>
      <c r="BH159" s="61" t="e">
        <f t="shared" si="116"/>
        <v>#NUM!</v>
      </c>
      <c r="BI159" s="61">
        <f ca="1">AVERAGE(OFFSET($BH$3,0,0,'Données projet'!$E$11+1,1))-AVERAGE(OFFSET($H$3,0,0,'Données projet'!$E$11+1,1))</f>
        <v>374.79806286316051</v>
      </c>
      <c r="BJ159" s="61">
        <f t="shared" si="146"/>
        <v>350.01856672839466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0.67688949202239501</v>
      </c>
      <c r="BR159" s="23">
        <f>EXP(-LN(2)/2)*BR158+(1-EXP(-LN(2)/2))/(LN(2)/2)*BL159*BO159*VLOOKUP('Données projet'!$B$11,Paramètres!$A$1:$I$89,3,0)*0.475*44/12</f>
        <v>1.1934660119640023E-18</v>
      </c>
      <c r="BS159" s="24">
        <f t="shared" si="169"/>
        <v>0.67688949202239501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5.6843418860808015E-13</v>
      </c>
      <c r="BZ159" s="14">
        <f>BY159*VLOOKUP('Données projet'!$B$12,Paramètres!$A$1:$I$89,3,0)*VLOOKUP('Données projet'!$B$12,Paramètres!$A$1:$I$89,5,0)</f>
        <v>2.6602720026858149E-13</v>
      </c>
      <c r="CA159" s="14">
        <f t="shared" si="170"/>
        <v>3.5662905043956649E-12</v>
      </c>
      <c r="CB159" s="22">
        <f t="shared" si="171"/>
        <v>6.6746200022902298E-12</v>
      </c>
      <c r="CC159" s="61">
        <f t="shared" si="119"/>
        <v>293.33333333333997</v>
      </c>
      <c r="CD159" s="61">
        <f ca="1">AVERAGE(OFFSET($CC$3,0,0,'Données projet'!$E$12+1,1))-AVERAGE(OFFSET($H$3,0,0,'Données projet'!$E$12+1,1))</f>
        <v>285.59863510278109</v>
      </c>
      <c r="CE159" s="61">
        <f t="shared" si="148"/>
        <v>190.4880882944471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5.4683368944097308E-14</v>
      </c>
      <c r="CV159" s="14">
        <f t="shared" si="173"/>
        <v>8.8129432816788268E-13</v>
      </c>
      <c r="CW159" s="22">
        <f t="shared" si="174"/>
        <v>1.6301611558033651E-12</v>
      </c>
      <c r="CX159" s="61">
        <f t="shared" si="122"/>
        <v>293.33333333333496</v>
      </c>
      <c r="CY159" s="61">
        <f ca="1">AVERAGE(OFFSET($CX$3,0,0,'Données projet'!$E$13+1,1))-AVERAGE(OFFSET($H$3,0,0,'Données projet'!$E$13+1,1))</f>
        <v>273.72618036666552</v>
      </c>
      <c r="CZ159" s="61">
        <f t="shared" si="150"/>
        <v>157.67999791700714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1.7053025658242404E-13</v>
      </c>
      <c r="DP159" s="18">
        <f>DO159*VLOOKUP('Données projet'!$B$14,Paramètres!$A$1:$I$89,3,0)*VLOOKUP('Données projet'!$B$14,Paramètres!$A$1:$I$89,5,0)</f>
        <v>1.1439169611549005E-13</v>
      </c>
      <c r="DQ159" s="14">
        <f t="shared" si="176"/>
        <v>1.6918016515029816E-12</v>
      </c>
      <c r="DR159" s="22">
        <f t="shared" si="177"/>
        <v>3.1457867471021712E-12</v>
      </c>
      <c r="DS159" s="61">
        <f t="shared" si="125"/>
        <v>293.33333333333644</v>
      </c>
      <c r="DT159" s="61">
        <f ca="1">AVERAGE(OFFSET($DS$3,0,0,'Données projet'!$E$14+1,1))-AVERAGE(OFFSET($H$3,0,0,'Données projet'!$E$14+1,1))</f>
        <v>312.06797204903796</v>
      </c>
      <c r="DU159" s="61">
        <f t="shared" si="152"/>
        <v>258.20189001775151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1.4210854715202004E-13</v>
      </c>
      <c r="EK159" s="18">
        <f>EJ159*VLOOKUP('Données projet'!$B$15,Paramètres!$A$1:$I$89,3,0)*VLOOKUP('Données projet'!$B$15,Paramètres!$A$1:$I$89,5,0)</f>
        <v>1.1527845344971866E-13</v>
      </c>
      <c r="EL159" s="14">
        <f t="shared" si="179"/>
        <v>1.7033846239409443E-12</v>
      </c>
      <c r="EM159" s="22">
        <f t="shared" si="180"/>
        <v>3.1675048597887374E-12</v>
      </c>
      <c r="EN159" s="61">
        <f t="shared" si="128"/>
        <v>293.3333333333365</v>
      </c>
      <c r="EO159" s="61">
        <f ca="1">AVERAGE(OFFSET($EN$3,0,0,'Données projet'!$E$15+1,1))-AVERAGE(OFFSET($H$3,0,0,'Données projet'!$E$15+1,1))</f>
        <v>222.15256609836689</v>
      </c>
      <c r="EP159" s="61">
        <f t="shared" si="154"/>
        <v>221.10360210521077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1.1368683772161603E-13</v>
      </c>
      <c r="FF159" s="18">
        <f>FE159*VLOOKUP('Données projet'!$B$16,Paramètres!$A$1:$I$89,3,0)*VLOOKUP('Données projet'!$B$16,Paramètres!$A$1:$I$89,5,0)</f>
        <v>8.8675733422860506E-14</v>
      </c>
      <c r="FG159" s="14">
        <f t="shared" si="182"/>
        <v>1.3509285393066301E-12</v>
      </c>
      <c r="FH159" s="22">
        <f t="shared" si="183"/>
        <v>2.5073107750038623E-12</v>
      </c>
      <c r="FI159" s="61">
        <f t="shared" si="131"/>
        <v>293.33333333333582</v>
      </c>
      <c r="FJ159" s="61">
        <f ca="1">AVERAGE(OFFSET($FI$3,0,0,'Données projet'!$E$16+1,1))-AVERAGE(OFFSET($H$3,0,0,'Données projet'!$E$16+1,1))</f>
        <v>292.57482726862594</v>
      </c>
      <c r="FK159" s="61">
        <f t="shared" si="156"/>
        <v>283.48738729114024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-9.6633812063373625E-13</v>
      </c>
      <c r="GA159" s="18">
        <f>FZ159*VLOOKUP('Données projet'!$B$17,Paramètres!$A$1:$I$89,3,0)*VLOOKUP('Données projet'!$B$17,Paramètres!$A$1:$I$89,5,0)</f>
        <v>-9.3464223027694966E-13</v>
      </c>
      <c r="GB159" s="14" t="e">
        <f t="shared" si="185"/>
        <v>#NUM!</v>
      </c>
      <c r="GC159" s="22" t="e">
        <f t="shared" si="186"/>
        <v>#NUM!</v>
      </c>
      <c r="GD159" s="61" t="e">
        <f t="shared" si="134"/>
        <v>#NUM!</v>
      </c>
      <c r="GE159" s="61">
        <f ca="1">AVERAGE(OFFSET($GD$3,0,0,'Données projet'!$E$17+1,1))-AVERAGE(OFFSET($H$3,0,0,'Données projet'!$E$17+1,1))</f>
        <v>455.50822833641354</v>
      </c>
      <c r="GF159" s="61">
        <f t="shared" si="158"/>
        <v>261.14722581688039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0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0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-9.6633812063373625E-13</v>
      </c>
      <c r="GV159" s="18">
        <f>GU159*VLOOKUP('Données projet'!$B$18,Paramètres!$A$1:$I$89,3,0)*VLOOKUP('Données projet'!$B$18,Paramètres!$A$1:$I$89,5,0)</f>
        <v>-1.0401663530501537E-12</v>
      </c>
      <c r="GW159" s="14" t="e">
        <f t="shared" si="188"/>
        <v>#NUM!</v>
      </c>
      <c r="GX159" s="22" t="e">
        <f t="shared" si="189"/>
        <v>#NUM!</v>
      </c>
      <c r="GY159" s="61" t="e">
        <f t="shared" si="137"/>
        <v>#NUM!</v>
      </c>
      <c r="GZ159" s="61">
        <f ca="1">AVERAGE(OFFSET($GY$3,0,0,'Données projet'!$E$18+1,1))-AVERAGE(OFFSET($H$3,0,0,'Données projet'!$E$18+1,1))</f>
        <v>502.07782026233912</v>
      </c>
      <c r="HA159" s="61">
        <f t="shared" si="160"/>
        <v>285.83623046025156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0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0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-8.7434273154940449E-13</v>
      </c>
      <c r="P160" s="14" t="e">
        <f t="shared" si="141"/>
        <v>#NUM!</v>
      </c>
      <c r="Q160" s="22" t="e">
        <f t="shared" si="162"/>
        <v>#NUM!</v>
      </c>
      <c r="R160" s="61" t="e">
        <f t="shared" si="109"/>
        <v>#NUM!</v>
      </c>
      <c r="S160" s="61">
        <f ca="1">AVERAGE(OFFSET($R$3,0,0,'Données projet'!$E$9+1,1))-AVERAGE(OFFSET($H$3,0,0,'Données projet'!$E$9+1,1))</f>
        <v>428.8489304403459</v>
      </c>
      <c r="T160" s="61">
        <f t="shared" si="142"/>
        <v>247.01165577562966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1" t="e">
        <f t="shared" si="113"/>
        <v>#NUM!</v>
      </c>
      <c r="AN160" s="61">
        <f ca="1">AVERAGE(OFFSET($AM$3,0,0,'Données projet'!$E$10+1,1))-AVERAGE(OFFSET($H$3,0,0,'Données projet'!$E$10+1,1))</f>
        <v>475.47920969424894</v>
      </c>
      <c r="AO160" s="61">
        <f t="shared" si="144"/>
        <v>271.73544012419364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-3.4106051316484809E-13</v>
      </c>
      <c r="BE160" s="14">
        <f>BD160*VLOOKUP('Données projet'!$B$11,Paramètres!$A$1:$I$89,3,0)*VLOOKUP('Données projet'!$B$11,Paramètres!$A$1:$I$89,5,0)</f>
        <v>-1.9065282685915009E-13</v>
      </c>
      <c r="BF160" s="14" t="e">
        <f t="shared" si="167"/>
        <v>#NUM!</v>
      </c>
      <c r="BG160" s="22" t="e">
        <f t="shared" si="168"/>
        <v>#NUM!</v>
      </c>
      <c r="BH160" s="61" t="e">
        <f t="shared" si="116"/>
        <v>#NUM!</v>
      </c>
      <c r="BI160" s="61">
        <f ca="1">AVERAGE(OFFSET($BH$3,0,0,'Données projet'!$E$11+1,1))-AVERAGE(OFFSET($H$3,0,0,'Données projet'!$E$11+1,1))</f>
        <v>374.79806286316051</v>
      </c>
      <c r="BJ160" s="61">
        <f t="shared" si="146"/>
        <v>350.01856672839466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0.65837991326697132</v>
      </c>
      <c r="BR160" s="23">
        <f>EXP(-LN(2)/2)*BR159+(1-EXP(-LN(2)/2))/(LN(2)/2)*BL160*BO160*VLOOKUP('Données projet'!$B$11,Paramètres!$A$1:$I$89,3,0)*0.475*44/12</f>
        <v>8.4390791017541128E-19</v>
      </c>
      <c r="BS160" s="24">
        <f t="shared" si="169"/>
        <v>0.65837991326697132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5.6843418860808015E-13</v>
      </c>
      <c r="BZ160" s="14">
        <f>BY160*VLOOKUP('Données projet'!$B$12,Paramètres!$A$1:$I$89,3,0)*VLOOKUP('Données projet'!$B$12,Paramètres!$A$1:$I$89,5,0)</f>
        <v>2.6602720026858149E-13</v>
      </c>
      <c r="CA160" s="14">
        <f t="shared" si="170"/>
        <v>3.5662905043956649E-12</v>
      </c>
      <c r="CB160" s="22">
        <f t="shared" si="171"/>
        <v>6.6746200022902298E-12</v>
      </c>
      <c r="CC160" s="61">
        <f t="shared" si="119"/>
        <v>293.33333333333997</v>
      </c>
      <c r="CD160" s="61">
        <f ca="1">AVERAGE(OFFSET($CC$3,0,0,'Données projet'!$E$12+1,1))-AVERAGE(OFFSET($H$3,0,0,'Données projet'!$E$12+1,1))</f>
        <v>285.59863510278109</v>
      </c>
      <c r="CE160" s="61">
        <f t="shared" si="148"/>
        <v>190.4880882944471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5.4683368944097308E-14</v>
      </c>
      <c r="CV160" s="14">
        <f t="shared" si="173"/>
        <v>8.8129432816788268E-13</v>
      </c>
      <c r="CW160" s="22">
        <f t="shared" si="174"/>
        <v>1.6301611558033651E-12</v>
      </c>
      <c r="CX160" s="61">
        <f t="shared" si="122"/>
        <v>293.33333333333496</v>
      </c>
      <c r="CY160" s="61">
        <f ca="1">AVERAGE(OFFSET($CX$3,0,0,'Données projet'!$E$13+1,1))-AVERAGE(OFFSET($H$3,0,0,'Données projet'!$E$13+1,1))</f>
        <v>273.72618036666552</v>
      </c>
      <c r="CZ160" s="61">
        <f t="shared" si="150"/>
        <v>157.67999791700714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1.7053025658242404E-13</v>
      </c>
      <c r="DP160" s="18">
        <f>DO160*VLOOKUP('Données projet'!$B$14,Paramètres!$A$1:$I$89,3,0)*VLOOKUP('Données projet'!$B$14,Paramètres!$A$1:$I$89,5,0)</f>
        <v>1.1439169611549005E-13</v>
      </c>
      <c r="DQ160" s="14">
        <f t="shared" si="176"/>
        <v>1.6918016515029816E-12</v>
      </c>
      <c r="DR160" s="22">
        <f t="shared" si="177"/>
        <v>3.1457867471021712E-12</v>
      </c>
      <c r="DS160" s="61">
        <f t="shared" si="125"/>
        <v>293.33333333333644</v>
      </c>
      <c r="DT160" s="61">
        <f ca="1">AVERAGE(OFFSET($DS$3,0,0,'Données projet'!$E$14+1,1))-AVERAGE(OFFSET($H$3,0,0,'Données projet'!$E$14+1,1))</f>
        <v>312.06797204903796</v>
      </c>
      <c r="DU160" s="61">
        <f t="shared" si="152"/>
        <v>258.20189001775151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1.4210854715202004E-13</v>
      </c>
      <c r="EK160" s="18">
        <f>EJ160*VLOOKUP('Données projet'!$B$15,Paramètres!$A$1:$I$89,3,0)*VLOOKUP('Données projet'!$B$15,Paramètres!$A$1:$I$89,5,0)</f>
        <v>1.1527845344971866E-13</v>
      </c>
      <c r="EL160" s="14">
        <f t="shared" si="179"/>
        <v>1.7033846239409443E-12</v>
      </c>
      <c r="EM160" s="22">
        <f t="shared" si="180"/>
        <v>3.1675048597887374E-12</v>
      </c>
      <c r="EN160" s="61">
        <f t="shared" si="128"/>
        <v>293.3333333333365</v>
      </c>
      <c r="EO160" s="61">
        <f ca="1">AVERAGE(OFFSET($EN$3,0,0,'Données projet'!$E$15+1,1))-AVERAGE(OFFSET($H$3,0,0,'Données projet'!$E$15+1,1))</f>
        <v>222.15256609836689</v>
      </c>
      <c r="EP160" s="61">
        <f t="shared" si="154"/>
        <v>221.10360210521077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1.1368683772161603E-13</v>
      </c>
      <c r="FF160" s="18">
        <f>FE160*VLOOKUP('Données projet'!$B$16,Paramètres!$A$1:$I$89,3,0)*VLOOKUP('Données projet'!$B$16,Paramètres!$A$1:$I$89,5,0)</f>
        <v>8.8675733422860506E-14</v>
      </c>
      <c r="FG160" s="14">
        <f t="shared" si="182"/>
        <v>1.3509285393066301E-12</v>
      </c>
      <c r="FH160" s="22">
        <f t="shared" si="183"/>
        <v>2.5073107750038623E-12</v>
      </c>
      <c r="FI160" s="61">
        <f t="shared" si="131"/>
        <v>293.33333333333582</v>
      </c>
      <c r="FJ160" s="61">
        <f ca="1">AVERAGE(OFFSET($FI$3,0,0,'Données projet'!$E$16+1,1))-AVERAGE(OFFSET($H$3,0,0,'Données projet'!$E$16+1,1))</f>
        <v>292.57482726862594</v>
      </c>
      <c r="FK160" s="61">
        <f t="shared" si="156"/>
        <v>283.48738729114024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-9.6633812063373625E-13</v>
      </c>
      <c r="GA160" s="18">
        <f>FZ160*VLOOKUP('Données projet'!$B$17,Paramètres!$A$1:$I$89,3,0)*VLOOKUP('Données projet'!$B$17,Paramètres!$A$1:$I$89,5,0)</f>
        <v>-9.3464223027694966E-13</v>
      </c>
      <c r="GB160" s="14" t="e">
        <f t="shared" si="185"/>
        <v>#NUM!</v>
      </c>
      <c r="GC160" s="22" t="e">
        <f t="shared" si="186"/>
        <v>#NUM!</v>
      </c>
      <c r="GD160" s="61" t="e">
        <f t="shared" si="134"/>
        <v>#NUM!</v>
      </c>
      <c r="GE160" s="61">
        <f ca="1">AVERAGE(OFFSET($GD$3,0,0,'Données projet'!$E$17+1,1))-AVERAGE(OFFSET($H$3,0,0,'Données projet'!$E$17+1,1))</f>
        <v>455.50822833641354</v>
      </c>
      <c r="GF160" s="61">
        <f t="shared" si="158"/>
        <v>261.14722581688039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0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0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-9.6633812063373625E-13</v>
      </c>
      <c r="GV160" s="18">
        <f>GU160*VLOOKUP('Données projet'!$B$18,Paramètres!$A$1:$I$89,3,0)*VLOOKUP('Données projet'!$B$18,Paramètres!$A$1:$I$89,5,0)</f>
        <v>-1.0401663530501537E-12</v>
      </c>
      <c r="GW160" s="14" t="e">
        <f t="shared" si="188"/>
        <v>#NUM!</v>
      </c>
      <c r="GX160" s="22" t="e">
        <f t="shared" si="189"/>
        <v>#NUM!</v>
      </c>
      <c r="GY160" s="61" t="e">
        <f t="shared" si="137"/>
        <v>#NUM!</v>
      </c>
      <c r="GZ160" s="61">
        <f ca="1">AVERAGE(OFFSET($GY$3,0,0,'Données projet'!$E$18+1,1))-AVERAGE(OFFSET($H$3,0,0,'Données projet'!$E$18+1,1))</f>
        <v>502.07782026233912</v>
      </c>
      <c r="HA160" s="61">
        <f t="shared" si="160"/>
        <v>285.83623046025156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0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0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-8.7434273154940449E-13</v>
      </c>
      <c r="P161" s="14" t="e">
        <f t="shared" si="141"/>
        <v>#NUM!</v>
      </c>
      <c r="Q161" s="22" t="e">
        <f t="shared" si="162"/>
        <v>#NUM!</v>
      </c>
      <c r="R161" s="61" t="e">
        <f t="shared" si="109"/>
        <v>#NUM!</v>
      </c>
      <c r="S161" s="61">
        <f ca="1">AVERAGE(OFFSET($R$3,0,0,'Données projet'!$E$9+1,1))-AVERAGE(OFFSET($H$3,0,0,'Données projet'!$E$9+1,1))</f>
        <v>428.8489304403459</v>
      </c>
      <c r="T161" s="61">
        <f t="shared" si="142"/>
        <v>247.01165577562966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1" t="e">
        <f t="shared" si="113"/>
        <v>#NUM!</v>
      </c>
      <c r="AN161" s="61">
        <f ca="1">AVERAGE(OFFSET($AM$3,0,0,'Données projet'!$E$10+1,1))-AVERAGE(OFFSET($H$3,0,0,'Données projet'!$E$10+1,1))</f>
        <v>475.47920969424894</v>
      </c>
      <c r="AO161" s="61">
        <f t="shared" si="144"/>
        <v>271.73544012419364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-3.4106051316484809E-13</v>
      </c>
      <c r="BE161" s="14">
        <f>BD161*VLOOKUP('Données projet'!$B$11,Paramètres!$A$1:$I$89,3,0)*VLOOKUP('Données projet'!$B$11,Paramètres!$A$1:$I$89,5,0)</f>
        <v>-1.9065282685915009E-13</v>
      </c>
      <c r="BF161" s="14" t="e">
        <f t="shared" si="167"/>
        <v>#NUM!</v>
      </c>
      <c r="BG161" s="22" t="e">
        <f t="shared" si="168"/>
        <v>#NUM!</v>
      </c>
      <c r="BH161" s="61" t="e">
        <f t="shared" si="116"/>
        <v>#NUM!</v>
      </c>
      <c r="BI161" s="61">
        <f ca="1">AVERAGE(OFFSET($BH$3,0,0,'Données projet'!$E$11+1,1))-AVERAGE(OFFSET($H$3,0,0,'Données projet'!$E$11+1,1))</f>
        <v>374.79806286316051</v>
      </c>
      <c r="BJ161" s="61">
        <f t="shared" si="146"/>
        <v>350.01856672839466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0.64037647991599111</v>
      </c>
      <c r="BR161" s="23">
        <f>EXP(-LN(2)/2)*BR160+(1-EXP(-LN(2)/2))/(LN(2)/2)*BL161*BO161*VLOOKUP('Données projet'!$B$11,Paramètres!$A$1:$I$89,3,0)*0.475*44/12</f>
        <v>5.9673300598200123E-19</v>
      </c>
      <c r="BS161" s="24">
        <f t="shared" si="169"/>
        <v>0.64037647991599111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5.6843418860808015E-13</v>
      </c>
      <c r="BZ161" s="14">
        <f>BY161*VLOOKUP('Données projet'!$B$12,Paramètres!$A$1:$I$89,3,0)*VLOOKUP('Données projet'!$B$12,Paramètres!$A$1:$I$89,5,0)</f>
        <v>2.6602720026858149E-13</v>
      </c>
      <c r="CA161" s="14">
        <f t="shared" si="170"/>
        <v>3.5662905043956649E-12</v>
      </c>
      <c r="CB161" s="22">
        <f t="shared" si="171"/>
        <v>6.6746200022902298E-12</v>
      </c>
      <c r="CC161" s="61">
        <f t="shared" si="119"/>
        <v>293.33333333333997</v>
      </c>
      <c r="CD161" s="61">
        <f ca="1">AVERAGE(OFFSET($CC$3,0,0,'Données projet'!$E$12+1,1))-AVERAGE(OFFSET($H$3,0,0,'Données projet'!$E$12+1,1))</f>
        <v>285.59863510278109</v>
      </c>
      <c r="CE161" s="61">
        <f t="shared" si="148"/>
        <v>190.4880882944471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5.4683368944097308E-14</v>
      </c>
      <c r="CV161" s="14">
        <f t="shared" si="173"/>
        <v>8.8129432816788268E-13</v>
      </c>
      <c r="CW161" s="22">
        <f t="shared" si="174"/>
        <v>1.6301611558033651E-12</v>
      </c>
      <c r="CX161" s="61">
        <f t="shared" si="122"/>
        <v>293.33333333333496</v>
      </c>
      <c r="CY161" s="61">
        <f ca="1">AVERAGE(OFFSET($CX$3,0,0,'Données projet'!$E$13+1,1))-AVERAGE(OFFSET($H$3,0,0,'Données projet'!$E$13+1,1))</f>
        <v>273.72618036666552</v>
      </c>
      <c r="CZ161" s="61">
        <f t="shared" si="150"/>
        <v>157.67999791700714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1.7053025658242404E-13</v>
      </c>
      <c r="DP161" s="18">
        <f>DO161*VLOOKUP('Données projet'!$B$14,Paramètres!$A$1:$I$89,3,0)*VLOOKUP('Données projet'!$B$14,Paramètres!$A$1:$I$89,5,0)</f>
        <v>1.1439169611549005E-13</v>
      </c>
      <c r="DQ161" s="14">
        <f t="shared" si="176"/>
        <v>1.6918016515029816E-12</v>
      </c>
      <c r="DR161" s="22">
        <f t="shared" si="177"/>
        <v>3.1457867471021712E-12</v>
      </c>
      <c r="DS161" s="61">
        <f t="shared" si="125"/>
        <v>293.33333333333644</v>
      </c>
      <c r="DT161" s="61">
        <f ca="1">AVERAGE(OFFSET($DS$3,0,0,'Données projet'!$E$14+1,1))-AVERAGE(OFFSET($H$3,0,0,'Données projet'!$E$14+1,1))</f>
        <v>312.06797204903796</v>
      </c>
      <c r="DU161" s="61">
        <f t="shared" si="152"/>
        <v>258.20189001775151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1.4210854715202004E-13</v>
      </c>
      <c r="EK161" s="18">
        <f>EJ161*VLOOKUP('Données projet'!$B$15,Paramètres!$A$1:$I$89,3,0)*VLOOKUP('Données projet'!$B$15,Paramètres!$A$1:$I$89,5,0)</f>
        <v>1.1527845344971866E-13</v>
      </c>
      <c r="EL161" s="14">
        <f t="shared" si="179"/>
        <v>1.7033846239409443E-12</v>
      </c>
      <c r="EM161" s="22">
        <f t="shared" si="180"/>
        <v>3.1675048597887374E-12</v>
      </c>
      <c r="EN161" s="61">
        <f t="shared" si="128"/>
        <v>293.3333333333365</v>
      </c>
      <c r="EO161" s="61">
        <f ca="1">AVERAGE(OFFSET($EN$3,0,0,'Données projet'!$E$15+1,1))-AVERAGE(OFFSET($H$3,0,0,'Données projet'!$E$15+1,1))</f>
        <v>222.15256609836689</v>
      </c>
      <c r="EP161" s="61">
        <f t="shared" si="154"/>
        <v>221.10360210521077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1.1368683772161603E-13</v>
      </c>
      <c r="FF161" s="18">
        <f>FE161*VLOOKUP('Données projet'!$B$16,Paramètres!$A$1:$I$89,3,0)*VLOOKUP('Données projet'!$B$16,Paramètres!$A$1:$I$89,5,0)</f>
        <v>8.8675733422860506E-14</v>
      </c>
      <c r="FG161" s="14">
        <f t="shared" si="182"/>
        <v>1.3509285393066301E-12</v>
      </c>
      <c r="FH161" s="22">
        <f t="shared" si="183"/>
        <v>2.5073107750038623E-12</v>
      </c>
      <c r="FI161" s="61">
        <f t="shared" si="131"/>
        <v>293.33333333333582</v>
      </c>
      <c r="FJ161" s="61">
        <f ca="1">AVERAGE(OFFSET($FI$3,0,0,'Données projet'!$E$16+1,1))-AVERAGE(OFFSET($H$3,0,0,'Données projet'!$E$16+1,1))</f>
        <v>292.57482726862594</v>
      </c>
      <c r="FK161" s="61">
        <f t="shared" si="156"/>
        <v>283.48738729114024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-9.6633812063373625E-13</v>
      </c>
      <c r="GA161" s="18">
        <f>FZ161*VLOOKUP('Données projet'!$B$17,Paramètres!$A$1:$I$89,3,0)*VLOOKUP('Données projet'!$B$17,Paramètres!$A$1:$I$89,5,0)</f>
        <v>-9.3464223027694966E-13</v>
      </c>
      <c r="GB161" s="14" t="e">
        <f t="shared" si="185"/>
        <v>#NUM!</v>
      </c>
      <c r="GC161" s="22" t="e">
        <f t="shared" si="186"/>
        <v>#NUM!</v>
      </c>
      <c r="GD161" s="61" t="e">
        <f t="shared" si="134"/>
        <v>#NUM!</v>
      </c>
      <c r="GE161" s="61">
        <f ca="1">AVERAGE(OFFSET($GD$3,0,0,'Données projet'!$E$17+1,1))-AVERAGE(OFFSET($H$3,0,0,'Données projet'!$E$17+1,1))</f>
        <v>455.50822833641354</v>
      </c>
      <c r="GF161" s="61">
        <f t="shared" si="158"/>
        <v>261.14722581688039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0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0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-9.6633812063373625E-13</v>
      </c>
      <c r="GV161" s="18">
        <f>GU161*VLOOKUP('Données projet'!$B$18,Paramètres!$A$1:$I$89,3,0)*VLOOKUP('Données projet'!$B$18,Paramètres!$A$1:$I$89,5,0)</f>
        <v>-1.0401663530501537E-12</v>
      </c>
      <c r="GW161" s="14" t="e">
        <f t="shared" si="188"/>
        <v>#NUM!</v>
      </c>
      <c r="GX161" s="22" t="e">
        <f t="shared" si="189"/>
        <v>#NUM!</v>
      </c>
      <c r="GY161" s="61" t="e">
        <f t="shared" si="137"/>
        <v>#NUM!</v>
      </c>
      <c r="GZ161" s="61">
        <f ca="1">AVERAGE(OFFSET($GY$3,0,0,'Données projet'!$E$18+1,1))-AVERAGE(OFFSET($H$3,0,0,'Données projet'!$E$18+1,1))</f>
        <v>502.07782026233912</v>
      </c>
      <c r="HA161" s="61">
        <f t="shared" si="160"/>
        <v>285.83623046025156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0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0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-8.7434273154940449E-13</v>
      </c>
      <c r="P162" s="14" t="e">
        <f t="shared" si="141"/>
        <v>#NUM!</v>
      </c>
      <c r="Q162" s="22" t="e">
        <f t="shared" si="162"/>
        <v>#NUM!</v>
      </c>
      <c r="R162" s="61" t="e">
        <f t="shared" si="109"/>
        <v>#NUM!</v>
      </c>
      <c r="S162" s="61">
        <f ca="1">AVERAGE(OFFSET($R$3,0,0,'Données projet'!$E$9+1,1))-AVERAGE(OFFSET($H$3,0,0,'Données projet'!$E$9+1,1))</f>
        <v>428.8489304403459</v>
      </c>
      <c r="T162" s="61">
        <f t="shared" si="142"/>
        <v>247.01165577562966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1" t="e">
        <f t="shared" si="113"/>
        <v>#NUM!</v>
      </c>
      <c r="AN162" s="61">
        <f ca="1">AVERAGE(OFFSET($AM$3,0,0,'Données projet'!$E$10+1,1))-AVERAGE(OFFSET($H$3,0,0,'Données projet'!$E$10+1,1))</f>
        <v>475.47920969424894</v>
      </c>
      <c r="AO162" s="61">
        <f t="shared" si="144"/>
        <v>271.73544012419364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-3.4106051316484809E-13</v>
      </c>
      <c r="BE162" s="14">
        <f>BD162*VLOOKUP('Données projet'!$B$11,Paramètres!$A$1:$I$89,3,0)*VLOOKUP('Données projet'!$B$11,Paramètres!$A$1:$I$89,5,0)</f>
        <v>-1.9065282685915009E-13</v>
      </c>
      <c r="BF162" s="14" t="e">
        <f t="shared" si="167"/>
        <v>#NUM!</v>
      </c>
      <c r="BG162" s="22" t="e">
        <f t="shared" si="168"/>
        <v>#NUM!</v>
      </c>
      <c r="BH162" s="61" t="e">
        <f t="shared" si="116"/>
        <v>#NUM!</v>
      </c>
      <c r="BI162" s="61">
        <f ca="1">AVERAGE(OFFSET($BH$3,0,0,'Données projet'!$E$11+1,1))-AVERAGE(OFFSET($H$3,0,0,'Données projet'!$E$11+1,1))</f>
        <v>374.79806286316051</v>
      </c>
      <c r="BJ162" s="61">
        <f t="shared" si="146"/>
        <v>350.01856672839466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0.62286535139675281</v>
      </c>
      <c r="BR162" s="23">
        <f>EXP(-LN(2)/2)*BR161+(1-EXP(-LN(2)/2))/(LN(2)/2)*BL162*BO162*VLOOKUP('Données projet'!$B$11,Paramètres!$A$1:$I$89,3,0)*0.475*44/12</f>
        <v>4.2195395508770574E-19</v>
      </c>
      <c r="BS162" s="24">
        <f t="shared" si="169"/>
        <v>0.62286535139675281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5.6843418860808015E-13</v>
      </c>
      <c r="BZ162" s="14">
        <f>BY162*VLOOKUP('Données projet'!$B$12,Paramètres!$A$1:$I$89,3,0)*VLOOKUP('Données projet'!$B$12,Paramètres!$A$1:$I$89,5,0)</f>
        <v>2.6602720026858149E-13</v>
      </c>
      <c r="CA162" s="14">
        <f t="shared" si="170"/>
        <v>3.5662905043956649E-12</v>
      </c>
      <c r="CB162" s="22">
        <f t="shared" si="171"/>
        <v>6.6746200022902298E-12</v>
      </c>
      <c r="CC162" s="61">
        <f t="shared" si="119"/>
        <v>293.33333333333997</v>
      </c>
      <c r="CD162" s="61">
        <f ca="1">AVERAGE(OFFSET($CC$3,0,0,'Données projet'!$E$12+1,1))-AVERAGE(OFFSET($H$3,0,0,'Données projet'!$E$12+1,1))</f>
        <v>285.59863510278109</v>
      </c>
      <c r="CE162" s="61">
        <f t="shared" si="148"/>
        <v>190.4880882944471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5.4683368944097308E-14</v>
      </c>
      <c r="CV162" s="14">
        <f t="shared" si="173"/>
        <v>8.8129432816788268E-13</v>
      </c>
      <c r="CW162" s="22">
        <f t="shared" si="174"/>
        <v>1.6301611558033651E-12</v>
      </c>
      <c r="CX162" s="61">
        <f t="shared" si="122"/>
        <v>293.33333333333496</v>
      </c>
      <c r="CY162" s="61">
        <f ca="1">AVERAGE(OFFSET($CX$3,0,0,'Données projet'!$E$13+1,1))-AVERAGE(OFFSET($H$3,0,0,'Données projet'!$E$13+1,1))</f>
        <v>273.72618036666552</v>
      </c>
      <c r="CZ162" s="61">
        <f t="shared" si="150"/>
        <v>157.67999791700714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1.7053025658242404E-13</v>
      </c>
      <c r="DP162" s="18">
        <f>DO162*VLOOKUP('Données projet'!$B$14,Paramètres!$A$1:$I$89,3,0)*VLOOKUP('Données projet'!$B$14,Paramètres!$A$1:$I$89,5,0)</f>
        <v>1.1439169611549005E-13</v>
      </c>
      <c r="DQ162" s="14">
        <f t="shared" si="176"/>
        <v>1.6918016515029816E-12</v>
      </c>
      <c r="DR162" s="22">
        <f t="shared" si="177"/>
        <v>3.1457867471021712E-12</v>
      </c>
      <c r="DS162" s="61">
        <f t="shared" si="125"/>
        <v>293.33333333333644</v>
      </c>
      <c r="DT162" s="61">
        <f ca="1">AVERAGE(OFFSET($DS$3,0,0,'Données projet'!$E$14+1,1))-AVERAGE(OFFSET($H$3,0,0,'Données projet'!$E$14+1,1))</f>
        <v>312.06797204903796</v>
      </c>
      <c r="DU162" s="61">
        <f t="shared" si="152"/>
        <v>258.20189001775151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1.4210854715202004E-13</v>
      </c>
      <c r="EK162" s="18">
        <f>EJ162*VLOOKUP('Données projet'!$B$15,Paramètres!$A$1:$I$89,3,0)*VLOOKUP('Données projet'!$B$15,Paramètres!$A$1:$I$89,5,0)</f>
        <v>1.1527845344971866E-13</v>
      </c>
      <c r="EL162" s="14">
        <f t="shared" si="179"/>
        <v>1.7033846239409443E-12</v>
      </c>
      <c r="EM162" s="22">
        <f t="shared" si="180"/>
        <v>3.1675048597887374E-12</v>
      </c>
      <c r="EN162" s="61">
        <f t="shared" si="128"/>
        <v>293.3333333333365</v>
      </c>
      <c r="EO162" s="61">
        <f ca="1">AVERAGE(OFFSET($EN$3,0,0,'Données projet'!$E$15+1,1))-AVERAGE(OFFSET($H$3,0,0,'Données projet'!$E$15+1,1))</f>
        <v>222.15256609836689</v>
      </c>
      <c r="EP162" s="61">
        <f t="shared" si="154"/>
        <v>221.10360210521077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1.1368683772161603E-13</v>
      </c>
      <c r="FF162" s="18">
        <f>FE162*VLOOKUP('Données projet'!$B$16,Paramètres!$A$1:$I$89,3,0)*VLOOKUP('Données projet'!$B$16,Paramètres!$A$1:$I$89,5,0)</f>
        <v>8.8675733422860506E-14</v>
      </c>
      <c r="FG162" s="14">
        <f t="shared" si="182"/>
        <v>1.3509285393066301E-12</v>
      </c>
      <c r="FH162" s="22">
        <f t="shared" si="183"/>
        <v>2.5073107750038623E-12</v>
      </c>
      <c r="FI162" s="61">
        <f t="shared" si="131"/>
        <v>293.33333333333582</v>
      </c>
      <c r="FJ162" s="61">
        <f ca="1">AVERAGE(OFFSET($FI$3,0,0,'Données projet'!$E$16+1,1))-AVERAGE(OFFSET($H$3,0,0,'Données projet'!$E$16+1,1))</f>
        <v>292.57482726862594</v>
      </c>
      <c r="FK162" s="61">
        <f t="shared" si="156"/>
        <v>283.48738729114024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-9.6633812063373625E-13</v>
      </c>
      <c r="GA162" s="18">
        <f>FZ162*VLOOKUP('Données projet'!$B$17,Paramètres!$A$1:$I$89,3,0)*VLOOKUP('Données projet'!$B$17,Paramètres!$A$1:$I$89,5,0)</f>
        <v>-9.3464223027694966E-13</v>
      </c>
      <c r="GB162" s="14" t="e">
        <f t="shared" si="185"/>
        <v>#NUM!</v>
      </c>
      <c r="GC162" s="22" t="e">
        <f t="shared" si="186"/>
        <v>#NUM!</v>
      </c>
      <c r="GD162" s="61" t="e">
        <f t="shared" si="134"/>
        <v>#NUM!</v>
      </c>
      <c r="GE162" s="61">
        <f ca="1">AVERAGE(OFFSET($GD$3,0,0,'Données projet'!$E$17+1,1))-AVERAGE(OFFSET($H$3,0,0,'Données projet'!$E$17+1,1))</f>
        <v>455.50822833641354</v>
      </c>
      <c r="GF162" s="61">
        <f t="shared" si="158"/>
        <v>261.14722581688039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0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0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-9.6633812063373625E-13</v>
      </c>
      <c r="GV162" s="18">
        <f>GU162*VLOOKUP('Données projet'!$B$18,Paramètres!$A$1:$I$89,3,0)*VLOOKUP('Données projet'!$B$18,Paramètres!$A$1:$I$89,5,0)</f>
        <v>-1.0401663530501537E-12</v>
      </c>
      <c r="GW162" s="14" t="e">
        <f t="shared" si="188"/>
        <v>#NUM!</v>
      </c>
      <c r="GX162" s="22" t="e">
        <f t="shared" si="189"/>
        <v>#NUM!</v>
      </c>
      <c r="GY162" s="61" t="e">
        <f t="shared" si="137"/>
        <v>#NUM!</v>
      </c>
      <c r="GZ162" s="61">
        <f ca="1">AVERAGE(OFFSET($GY$3,0,0,'Données projet'!$E$18+1,1))-AVERAGE(OFFSET($H$3,0,0,'Données projet'!$E$18+1,1))</f>
        <v>502.07782026233912</v>
      </c>
      <c r="HA162" s="61">
        <f t="shared" si="160"/>
        <v>285.83623046025156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0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0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-8.7434273154940449E-13</v>
      </c>
      <c r="P163" s="14" t="e">
        <f t="shared" si="141"/>
        <v>#NUM!</v>
      </c>
      <c r="Q163" s="22" t="e">
        <f t="shared" si="162"/>
        <v>#NUM!</v>
      </c>
      <c r="R163" s="61" t="e">
        <f t="shared" si="109"/>
        <v>#NUM!</v>
      </c>
      <c r="S163" s="61">
        <f ca="1">AVERAGE(OFFSET($R$3,0,0,'Données projet'!$E$9+1,1))-AVERAGE(OFFSET($H$3,0,0,'Données projet'!$E$9+1,1))</f>
        <v>428.8489304403459</v>
      </c>
      <c r="T163" s="61">
        <f t="shared" si="142"/>
        <v>247.01165577562966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1" t="e">
        <f t="shared" si="113"/>
        <v>#NUM!</v>
      </c>
      <c r="AN163" s="61">
        <f ca="1">AVERAGE(OFFSET($AM$3,0,0,'Données projet'!$E$10+1,1))-AVERAGE(OFFSET($H$3,0,0,'Données projet'!$E$10+1,1))</f>
        <v>475.47920969424894</v>
      </c>
      <c r="AO163" s="61">
        <f t="shared" si="144"/>
        <v>271.73544012419364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-3.4106051316484809E-13</v>
      </c>
      <c r="BE163" s="14">
        <f>BD163*VLOOKUP('Données projet'!$B$11,Paramètres!$A$1:$I$89,3,0)*VLOOKUP('Données projet'!$B$11,Paramètres!$A$1:$I$89,5,0)</f>
        <v>-1.9065282685915009E-13</v>
      </c>
      <c r="BF163" s="14" t="e">
        <f t="shared" si="167"/>
        <v>#NUM!</v>
      </c>
      <c r="BG163" s="22" t="e">
        <f t="shared" si="168"/>
        <v>#NUM!</v>
      </c>
      <c r="BH163" s="61" t="e">
        <f t="shared" si="116"/>
        <v>#NUM!</v>
      </c>
      <c r="BI163" s="61">
        <f ca="1">AVERAGE(OFFSET($BH$3,0,0,'Données projet'!$E$11+1,1))-AVERAGE(OFFSET($H$3,0,0,'Données projet'!$E$11+1,1))</f>
        <v>374.79806286316051</v>
      </c>
      <c r="BJ163" s="61">
        <f t="shared" si="146"/>
        <v>350.01856672839466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0.6058330656077433</v>
      </c>
      <c r="BR163" s="23">
        <f>EXP(-LN(2)/2)*BR162+(1-EXP(-LN(2)/2))/(LN(2)/2)*BL163*BO163*VLOOKUP('Données projet'!$B$11,Paramètres!$A$1:$I$89,3,0)*0.475*44/12</f>
        <v>2.9836650299100066E-19</v>
      </c>
      <c r="BS163" s="24">
        <f t="shared" si="169"/>
        <v>0.6058330656077433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5.6843418860808015E-13</v>
      </c>
      <c r="BZ163" s="14">
        <f>BY163*VLOOKUP('Données projet'!$B$12,Paramètres!$A$1:$I$89,3,0)*VLOOKUP('Données projet'!$B$12,Paramètres!$A$1:$I$89,5,0)</f>
        <v>2.6602720026858149E-13</v>
      </c>
      <c r="CA163" s="14">
        <f t="shared" si="170"/>
        <v>3.5662905043956649E-12</v>
      </c>
      <c r="CB163" s="22">
        <f t="shared" si="171"/>
        <v>6.6746200022902298E-12</v>
      </c>
      <c r="CC163" s="61">
        <f t="shared" si="119"/>
        <v>293.33333333333997</v>
      </c>
      <c r="CD163" s="61">
        <f ca="1">AVERAGE(OFFSET($CC$3,0,0,'Données projet'!$E$12+1,1))-AVERAGE(OFFSET($H$3,0,0,'Données projet'!$E$12+1,1))</f>
        <v>285.59863510278109</v>
      </c>
      <c r="CE163" s="61">
        <f t="shared" si="148"/>
        <v>190.4880882944471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5.4683368944097308E-14</v>
      </c>
      <c r="CV163" s="14">
        <f t="shared" si="173"/>
        <v>8.8129432816788268E-13</v>
      </c>
      <c r="CW163" s="22">
        <f t="shared" si="174"/>
        <v>1.6301611558033651E-12</v>
      </c>
      <c r="CX163" s="61">
        <f t="shared" si="122"/>
        <v>293.33333333333496</v>
      </c>
      <c r="CY163" s="61">
        <f ca="1">AVERAGE(OFFSET($CX$3,0,0,'Données projet'!$E$13+1,1))-AVERAGE(OFFSET($H$3,0,0,'Données projet'!$E$13+1,1))</f>
        <v>273.72618036666552</v>
      </c>
      <c r="CZ163" s="61">
        <f t="shared" si="150"/>
        <v>157.67999791700714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1.7053025658242404E-13</v>
      </c>
      <c r="DP163" s="18">
        <f>DO163*VLOOKUP('Données projet'!$B$14,Paramètres!$A$1:$I$89,3,0)*VLOOKUP('Données projet'!$B$14,Paramètres!$A$1:$I$89,5,0)</f>
        <v>1.1439169611549005E-13</v>
      </c>
      <c r="DQ163" s="14">
        <f t="shared" si="176"/>
        <v>1.6918016515029816E-12</v>
      </c>
      <c r="DR163" s="22">
        <f t="shared" si="177"/>
        <v>3.1457867471021712E-12</v>
      </c>
      <c r="DS163" s="61">
        <f t="shared" si="125"/>
        <v>293.33333333333644</v>
      </c>
      <c r="DT163" s="61">
        <f ca="1">AVERAGE(OFFSET($DS$3,0,0,'Données projet'!$E$14+1,1))-AVERAGE(OFFSET($H$3,0,0,'Données projet'!$E$14+1,1))</f>
        <v>312.06797204903796</v>
      </c>
      <c r="DU163" s="61">
        <f t="shared" si="152"/>
        <v>258.20189001775151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1.4210854715202004E-13</v>
      </c>
      <c r="EK163" s="18">
        <f>EJ163*VLOOKUP('Données projet'!$B$15,Paramètres!$A$1:$I$89,3,0)*VLOOKUP('Données projet'!$B$15,Paramètres!$A$1:$I$89,5,0)</f>
        <v>1.1527845344971866E-13</v>
      </c>
      <c r="EL163" s="14">
        <f t="shared" si="179"/>
        <v>1.7033846239409443E-12</v>
      </c>
      <c r="EM163" s="22">
        <f t="shared" si="180"/>
        <v>3.1675048597887374E-12</v>
      </c>
      <c r="EN163" s="61">
        <f t="shared" si="128"/>
        <v>293.3333333333365</v>
      </c>
      <c r="EO163" s="61">
        <f ca="1">AVERAGE(OFFSET($EN$3,0,0,'Données projet'!$E$15+1,1))-AVERAGE(OFFSET($H$3,0,0,'Données projet'!$E$15+1,1))</f>
        <v>222.15256609836689</v>
      </c>
      <c r="EP163" s="61">
        <f t="shared" si="154"/>
        <v>221.10360210521077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1.1368683772161603E-13</v>
      </c>
      <c r="FF163" s="18">
        <f>FE163*VLOOKUP('Données projet'!$B$16,Paramètres!$A$1:$I$89,3,0)*VLOOKUP('Données projet'!$B$16,Paramètres!$A$1:$I$89,5,0)</f>
        <v>8.8675733422860506E-14</v>
      </c>
      <c r="FG163" s="14">
        <f t="shared" si="182"/>
        <v>1.3509285393066301E-12</v>
      </c>
      <c r="FH163" s="22">
        <f t="shared" si="183"/>
        <v>2.5073107750038623E-12</v>
      </c>
      <c r="FI163" s="61">
        <f t="shared" si="131"/>
        <v>293.33333333333582</v>
      </c>
      <c r="FJ163" s="61">
        <f ca="1">AVERAGE(OFFSET($FI$3,0,0,'Données projet'!$E$16+1,1))-AVERAGE(OFFSET($H$3,0,0,'Données projet'!$E$16+1,1))</f>
        <v>292.57482726862594</v>
      </c>
      <c r="FK163" s="61">
        <f t="shared" si="156"/>
        <v>283.48738729114024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-9.6633812063373625E-13</v>
      </c>
      <c r="GA163" s="18">
        <f>FZ163*VLOOKUP('Données projet'!$B$17,Paramètres!$A$1:$I$89,3,0)*VLOOKUP('Données projet'!$B$17,Paramètres!$A$1:$I$89,5,0)</f>
        <v>-9.3464223027694966E-13</v>
      </c>
      <c r="GB163" s="14" t="e">
        <f t="shared" si="185"/>
        <v>#NUM!</v>
      </c>
      <c r="GC163" s="22" t="e">
        <f t="shared" si="186"/>
        <v>#NUM!</v>
      </c>
      <c r="GD163" s="61" t="e">
        <f t="shared" si="134"/>
        <v>#NUM!</v>
      </c>
      <c r="GE163" s="61">
        <f ca="1">AVERAGE(OFFSET($GD$3,0,0,'Données projet'!$E$17+1,1))-AVERAGE(OFFSET($H$3,0,0,'Données projet'!$E$17+1,1))</f>
        <v>455.50822833641354</v>
      </c>
      <c r="GF163" s="61">
        <f t="shared" si="158"/>
        <v>261.14722581688039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0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0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-9.6633812063373625E-13</v>
      </c>
      <c r="GV163" s="18">
        <f>GU163*VLOOKUP('Données projet'!$B$18,Paramètres!$A$1:$I$89,3,0)*VLOOKUP('Données projet'!$B$18,Paramètres!$A$1:$I$89,5,0)</f>
        <v>-1.0401663530501537E-12</v>
      </c>
      <c r="GW163" s="14" t="e">
        <f t="shared" si="188"/>
        <v>#NUM!</v>
      </c>
      <c r="GX163" s="22" t="e">
        <f t="shared" si="189"/>
        <v>#NUM!</v>
      </c>
      <c r="GY163" s="61" t="e">
        <f t="shared" si="137"/>
        <v>#NUM!</v>
      </c>
      <c r="GZ163" s="61">
        <f ca="1">AVERAGE(OFFSET($GY$3,0,0,'Données projet'!$E$18+1,1))-AVERAGE(OFFSET($H$3,0,0,'Données projet'!$E$18+1,1))</f>
        <v>502.07782026233912</v>
      </c>
      <c r="HA163" s="61">
        <f t="shared" si="160"/>
        <v>285.83623046025156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0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0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-8.7434273154940449E-13</v>
      </c>
      <c r="P164" s="14" t="e">
        <f t="shared" si="141"/>
        <v>#NUM!</v>
      </c>
      <c r="Q164" s="22" t="e">
        <f t="shared" si="162"/>
        <v>#NUM!</v>
      </c>
      <c r="R164" s="61" t="e">
        <f t="shared" si="109"/>
        <v>#NUM!</v>
      </c>
      <c r="S164" s="61">
        <f ca="1">AVERAGE(OFFSET($R$3,0,0,'Données projet'!$E$9+1,1))-AVERAGE(OFFSET($H$3,0,0,'Données projet'!$E$9+1,1))</f>
        <v>428.8489304403459</v>
      </c>
      <c r="T164" s="61">
        <f t="shared" si="142"/>
        <v>247.01165577562966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1" t="e">
        <f t="shared" si="113"/>
        <v>#NUM!</v>
      </c>
      <c r="AN164" s="61">
        <f ca="1">AVERAGE(OFFSET($AM$3,0,0,'Données projet'!$E$10+1,1))-AVERAGE(OFFSET($H$3,0,0,'Données projet'!$E$10+1,1))</f>
        <v>475.47920969424894</v>
      </c>
      <c r="AO164" s="61">
        <f t="shared" si="144"/>
        <v>271.73544012419364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-3.4106051316484809E-13</v>
      </c>
      <c r="BE164" s="14">
        <f>BD164*VLOOKUP('Données projet'!$B$11,Paramètres!$A$1:$I$89,3,0)*VLOOKUP('Données projet'!$B$11,Paramètres!$A$1:$I$89,5,0)</f>
        <v>-1.9065282685915009E-13</v>
      </c>
      <c r="BF164" s="14" t="e">
        <f t="shared" si="167"/>
        <v>#NUM!</v>
      </c>
      <c r="BG164" s="22" t="e">
        <f t="shared" si="168"/>
        <v>#NUM!</v>
      </c>
      <c r="BH164" s="61" t="e">
        <f t="shared" si="116"/>
        <v>#NUM!</v>
      </c>
      <c r="BI164" s="61">
        <f ca="1">AVERAGE(OFFSET($BH$3,0,0,'Données projet'!$E$11+1,1))-AVERAGE(OFFSET($H$3,0,0,'Données projet'!$E$11+1,1))</f>
        <v>374.79806286316051</v>
      </c>
      <c r="BJ164" s="61">
        <f t="shared" si="146"/>
        <v>350.01856672839466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0.58926652856932327</v>
      </c>
      <c r="BR164" s="23">
        <f>EXP(-LN(2)/2)*BR163+(1-EXP(-LN(2)/2))/(LN(2)/2)*BL164*BO164*VLOOKUP('Données projet'!$B$11,Paramètres!$A$1:$I$89,3,0)*0.475*44/12</f>
        <v>2.1097697754385289E-19</v>
      </c>
      <c r="BS164" s="24">
        <f t="shared" si="169"/>
        <v>0.58926652856932327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5.6843418860808015E-13</v>
      </c>
      <c r="BZ164" s="14">
        <f>BY164*VLOOKUP('Données projet'!$B$12,Paramètres!$A$1:$I$89,3,0)*VLOOKUP('Données projet'!$B$12,Paramètres!$A$1:$I$89,5,0)</f>
        <v>2.6602720026858149E-13</v>
      </c>
      <c r="CA164" s="14">
        <f t="shared" si="170"/>
        <v>3.5662905043956649E-12</v>
      </c>
      <c r="CB164" s="22">
        <f t="shared" si="171"/>
        <v>6.6746200022902298E-12</v>
      </c>
      <c r="CC164" s="61">
        <f t="shared" si="119"/>
        <v>293.33333333333997</v>
      </c>
      <c r="CD164" s="61">
        <f ca="1">AVERAGE(OFFSET($CC$3,0,0,'Données projet'!$E$12+1,1))-AVERAGE(OFFSET($H$3,0,0,'Données projet'!$E$12+1,1))</f>
        <v>285.59863510278109</v>
      </c>
      <c r="CE164" s="61">
        <f t="shared" si="148"/>
        <v>190.4880882944471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5.4683368944097308E-14</v>
      </c>
      <c r="CV164" s="14">
        <f t="shared" si="173"/>
        <v>8.8129432816788268E-13</v>
      </c>
      <c r="CW164" s="22">
        <f t="shared" si="174"/>
        <v>1.6301611558033651E-12</v>
      </c>
      <c r="CX164" s="61">
        <f t="shared" si="122"/>
        <v>293.33333333333496</v>
      </c>
      <c r="CY164" s="61">
        <f ca="1">AVERAGE(OFFSET($CX$3,0,0,'Données projet'!$E$13+1,1))-AVERAGE(OFFSET($H$3,0,0,'Données projet'!$E$13+1,1))</f>
        <v>273.72618036666552</v>
      </c>
      <c r="CZ164" s="61">
        <f t="shared" si="150"/>
        <v>157.67999791700714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1.7053025658242404E-13</v>
      </c>
      <c r="DP164" s="18">
        <f>DO164*VLOOKUP('Données projet'!$B$14,Paramètres!$A$1:$I$89,3,0)*VLOOKUP('Données projet'!$B$14,Paramètres!$A$1:$I$89,5,0)</f>
        <v>1.1439169611549005E-13</v>
      </c>
      <c r="DQ164" s="14">
        <f t="shared" si="176"/>
        <v>1.6918016515029816E-12</v>
      </c>
      <c r="DR164" s="22">
        <f t="shared" si="177"/>
        <v>3.1457867471021712E-12</v>
      </c>
      <c r="DS164" s="61">
        <f t="shared" si="125"/>
        <v>293.33333333333644</v>
      </c>
      <c r="DT164" s="61">
        <f ca="1">AVERAGE(OFFSET($DS$3,0,0,'Données projet'!$E$14+1,1))-AVERAGE(OFFSET($H$3,0,0,'Données projet'!$E$14+1,1))</f>
        <v>312.06797204903796</v>
      </c>
      <c r="DU164" s="61">
        <f t="shared" si="152"/>
        <v>258.20189001775151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1.4210854715202004E-13</v>
      </c>
      <c r="EK164" s="18">
        <f>EJ164*VLOOKUP('Données projet'!$B$15,Paramètres!$A$1:$I$89,3,0)*VLOOKUP('Données projet'!$B$15,Paramètres!$A$1:$I$89,5,0)</f>
        <v>1.1527845344971866E-13</v>
      </c>
      <c r="EL164" s="14">
        <f t="shared" si="179"/>
        <v>1.7033846239409443E-12</v>
      </c>
      <c r="EM164" s="22">
        <f t="shared" si="180"/>
        <v>3.1675048597887374E-12</v>
      </c>
      <c r="EN164" s="61">
        <f t="shared" si="128"/>
        <v>293.3333333333365</v>
      </c>
      <c r="EO164" s="61">
        <f ca="1">AVERAGE(OFFSET($EN$3,0,0,'Données projet'!$E$15+1,1))-AVERAGE(OFFSET($H$3,0,0,'Données projet'!$E$15+1,1))</f>
        <v>222.15256609836689</v>
      </c>
      <c r="EP164" s="61">
        <f t="shared" si="154"/>
        <v>221.10360210521077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1.1368683772161603E-13</v>
      </c>
      <c r="FF164" s="18">
        <f>FE164*VLOOKUP('Données projet'!$B$16,Paramètres!$A$1:$I$89,3,0)*VLOOKUP('Données projet'!$B$16,Paramètres!$A$1:$I$89,5,0)</f>
        <v>8.8675733422860506E-14</v>
      </c>
      <c r="FG164" s="14">
        <f t="shared" si="182"/>
        <v>1.3509285393066301E-12</v>
      </c>
      <c r="FH164" s="22">
        <f t="shared" si="183"/>
        <v>2.5073107750038623E-12</v>
      </c>
      <c r="FI164" s="61">
        <f t="shared" si="131"/>
        <v>293.33333333333582</v>
      </c>
      <c r="FJ164" s="61">
        <f ca="1">AVERAGE(OFFSET($FI$3,0,0,'Données projet'!$E$16+1,1))-AVERAGE(OFFSET($H$3,0,0,'Données projet'!$E$16+1,1))</f>
        <v>292.57482726862594</v>
      </c>
      <c r="FK164" s="61">
        <f t="shared" si="156"/>
        <v>283.48738729114024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-9.6633812063373625E-13</v>
      </c>
      <c r="GA164" s="18">
        <f>FZ164*VLOOKUP('Données projet'!$B$17,Paramètres!$A$1:$I$89,3,0)*VLOOKUP('Données projet'!$B$17,Paramètres!$A$1:$I$89,5,0)</f>
        <v>-9.3464223027694966E-13</v>
      </c>
      <c r="GB164" s="14" t="e">
        <f t="shared" si="185"/>
        <v>#NUM!</v>
      </c>
      <c r="GC164" s="22" t="e">
        <f t="shared" si="186"/>
        <v>#NUM!</v>
      </c>
      <c r="GD164" s="61" t="e">
        <f t="shared" si="134"/>
        <v>#NUM!</v>
      </c>
      <c r="GE164" s="61">
        <f ca="1">AVERAGE(OFFSET($GD$3,0,0,'Données projet'!$E$17+1,1))-AVERAGE(OFFSET($H$3,0,0,'Données projet'!$E$17+1,1))</f>
        <v>455.50822833641354</v>
      </c>
      <c r="GF164" s="61">
        <f t="shared" si="158"/>
        <v>261.14722581688039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0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0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-9.6633812063373625E-13</v>
      </c>
      <c r="GV164" s="18">
        <f>GU164*VLOOKUP('Données projet'!$B$18,Paramètres!$A$1:$I$89,3,0)*VLOOKUP('Données projet'!$B$18,Paramètres!$A$1:$I$89,5,0)</f>
        <v>-1.0401663530501537E-12</v>
      </c>
      <c r="GW164" s="14" t="e">
        <f t="shared" si="188"/>
        <v>#NUM!</v>
      </c>
      <c r="GX164" s="22" t="e">
        <f t="shared" si="189"/>
        <v>#NUM!</v>
      </c>
      <c r="GY164" s="61" t="e">
        <f t="shared" si="137"/>
        <v>#NUM!</v>
      </c>
      <c r="GZ164" s="61">
        <f ca="1">AVERAGE(OFFSET($GY$3,0,0,'Données projet'!$E$18+1,1))-AVERAGE(OFFSET($H$3,0,0,'Données projet'!$E$18+1,1))</f>
        <v>502.07782026233912</v>
      </c>
      <c r="HA164" s="61">
        <f t="shared" si="160"/>
        <v>285.83623046025156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0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0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-8.7434273154940449E-13</v>
      </c>
      <c r="P165" s="14" t="e">
        <f t="shared" si="141"/>
        <v>#NUM!</v>
      </c>
      <c r="Q165" s="22" t="e">
        <f t="shared" si="162"/>
        <v>#NUM!</v>
      </c>
      <c r="R165" s="61" t="e">
        <f t="shared" si="109"/>
        <v>#NUM!</v>
      </c>
      <c r="S165" s="61">
        <f ca="1">AVERAGE(OFFSET($R$3,0,0,'Données projet'!$E$9+1,1))-AVERAGE(OFFSET($H$3,0,0,'Données projet'!$E$9+1,1))</f>
        <v>428.8489304403459</v>
      </c>
      <c r="T165" s="61">
        <f t="shared" si="142"/>
        <v>247.01165577562966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1" t="e">
        <f t="shared" si="113"/>
        <v>#NUM!</v>
      </c>
      <c r="AN165" s="61">
        <f ca="1">AVERAGE(OFFSET($AM$3,0,0,'Données projet'!$E$10+1,1))-AVERAGE(OFFSET($H$3,0,0,'Données projet'!$E$10+1,1))</f>
        <v>475.47920969424894</v>
      </c>
      <c r="AO165" s="61">
        <f t="shared" si="144"/>
        <v>271.73544012419364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-3.4106051316484809E-13</v>
      </c>
      <c r="BE165" s="14">
        <f>BD165*VLOOKUP('Données projet'!$B$11,Paramètres!$A$1:$I$89,3,0)*VLOOKUP('Données projet'!$B$11,Paramètres!$A$1:$I$89,5,0)</f>
        <v>-1.9065282685915009E-13</v>
      </c>
      <c r="BF165" s="14" t="e">
        <f t="shared" si="167"/>
        <v>#NUM!</v>
      </c>
      <c r="BG165" s="22" t="e">
        <f t="shared" si="168"/>
        <v>#NUM!</v>
      </c>
      <c r="BH165" s="61" t="e">
        <f t="shared" si="116"/>
        <v>#NUM!</v>
      </c>
      <c r="BI165" s="61">
        <f ca="1">AVERAGE(OFFSET($BH$3,0,0,'Données projet'!$E$11+1,1))-AVERAGE(OFFSET($H$3,0,0,'Données projet'!$E$11+1,1))</f>
        <v>374.79806286316051</v>
      </c>
      <c r="BJ165" s="61">
        <f t="shared" si="146"/>
        <v>350.01856672839466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0.57315300435741512</v>
      </c>
      <c r="BR165" s="23">
        <f>EXP(-LN(2)/2)*BR164+(1-EXP(-LN(2)/2))/(LN(2)/2)*BL165*BO165*VLOOKUP('Données projet'!$B$11,Paramètres!$A$1:$I$89,3,0)*0.475*44/12</f>
        <v>1.4918325149550036E-19</v>
      </c>
      <c r="BS165" s="24">
        <f t="shared" si="169"/>
        <v>0.57315300435741512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5.6843418860808015E-13</v>
      </c>
      <c r="BZ165" s="14">
        <f>BY165*VLOOKUP('Données projet'!$B$12,Paramètres!$A$1:$I$89,3,0)*VLOOKUP('Données projet'!$B$12,Paramètres!$A$1:$I$89,5,0)</f>
        <v>2.6602720026858149E-13</v>
      </c>
      <c r="CA165" s="14">
        <f t="shared" si="170"/>
        <v>3.5662905043956649E-12</v>
      </c>
      <c r="CB165" s="22">
        <f t="shared" si="171"/>
        <v>6.6746200022902298E-12</v>
      </c>
      <c r="CC165" s="61">
        <f t="shared" si="119"/>
        <v>293.33333333333997</v>
      </c>
      <c r="CD165" s="61">
        <f ca="1">AVERAGE(OFFSET($CC$3,0,0,'Données projet'!$E$12+1,1))-AVERAGE(OFFSET($H$3,0,0,'Données projet'!$E$12+1,1))</f>
        <v>285.59863510278109</v>
      </c>
      <c r="CE165" s="61">
        <f t="shared" si="148"/>
        <v>190.4880882944471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5.4683368944097308E-14</v>
      </c>
      <c r="CV165" s="14">
        <f t="shared" si="173"/>
        <v>8.8129432816788268E-13</v>
      </c>
      <c r="CW165" s="22">
        <f t="shared" si="174"/>
        <v>1.6301611558033651E-12</v>
      </c>
      <c r="CX165" s="61">
        <f t="shared" si="122"/>
        <v>293.33333333333496</v>
      </c>
      <c r="CY165" s="61">
        <f ca="1">AVERAGE(OFFSET($CX$3,0,0,'Données projet'!$E$13+1,1))-AVERAGE(OFFSET($H$3,0,0,'Données projet'!$E$13+1,1))</f>
        <v>273.72618036666552</v>
      </c>
      <c r="CZ165" s="61">
        <f t="shared" si="150"/>
        <v>157.67999791700714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1.7053025658242404E-13</v>
      </c>
      <c r="DP165" s="18">
        <f>DO165*VLOOKUP('Données projet'!$B$14,Paramètres!$A$1:$I$89,3,0)*VLOOKUP('Données projet'!$B$14,Paramètres!$A$1:$I$89,5,0)</f>
        <v>1.1439169611549005E-13</v>
      </c>
      <c r="DQ165" s="14">
        <f t="shared" si="176"/>
        <v>1.6918016515029816E-12</v>
      </c>
      <c r="DR165" s="22">
        <f t="shared" si="177"/>
        <v>3.1457867471021712E-12</v>
      </c>
      <c r="DS165" s="61">
        <f t="shared" si="125"/>
        <v>293.33333333333644</v>
      </c>
      <c r="DT165" s="61">
        <f ca="1">AVERAGE(OFFSET($DS$3,0,0,'Données projet'!$E$14+1,1))-AVERAGE(OFFSET($H$3,0,0,'Données projet'!$E$14+1,1))</f>
        <v>312.06797204903796</v>
      </c>
      <c r="DU165" s="61">
        <f t="shared" si="152"/>
        <v>258.20189001775151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1.4210854715202004E-13</v>
      </c>
      <c r="EK165" s="18">
        <f>EJ165*VLOOKUP('Données projet'!$B$15,Paramètres!$A$1:$I$89,3,0)*VLOOKUP('Données projet'!$B$15,Paramètres!$A$1:$I$89,5,0)</f>
        <v>1.1527845344971866E-13</v>
      </c>
      <c r="EL165" s="14">
        <f t="shared" si="179"/>
        <v>1.7033846239409443E-12</v>
      </c>
      <c r="EM165" s="22">
        <f t="shared" si="180"/>
        <v>3.1675048597887374E-12</v>
      </c>
      <c r="EN165" s="61">
        <f t="shared" si="128"/>
        <v>293.3333333333365</v>
      </c>
      <c r="EO165" s="61">
        <f ca="1">AVERAGE(OFFSET($EN$3,0,0,'Données projet'!$E$15+1,1))-AVERAGE(OFFSET($H$3,0,0,'Données projet'!$E$15+1,1))</f>
        <v>222.15256609836689</v>
      </c>
      <c r="EP165" s="61">
        <f t="shared" si="154"/>
        <v>221.10360210521077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1.1368683772161603E-13</v>
      </c>
      <c r="FF165" s="18">
        <f>FE165*VLOOKUP('Données projet'!$B$16,Paramètres!$A$1:$I$89,3,0)*VLOOKUP('Données projet'!$B$16,Paramètres!$A$1:$I$89,5,0)</f>
        <v>8.8675733422860506E-14</v>
      </c>
      <c r="FG165" s="14">
        <f t="shared" si="182"/>
        <v>1.3509285393066301E-12</v>
      </c>
      <c r="FH165" s="22">
        <f t="shared" si="183"/>
        <v>2.5073107750038623E-12</v>
      </c>
      <c r="FI165" s="61">
        <f t="shared" si="131"/>
        <v>293.33333333333582</v>
      </c>
      <c r="FJ165" s="61">
        <f ca="1">AVERAGE(OFFSET($FI$3,0,0,'Données projet'!$E$16+1,1))-AVERAGE(OFFSET($H$3,0,0,'Données projet'!$E$16+1,1))</f>
        <v>292.57482726862594</v>
      </c>
      <c r="FK165" s="61">
        <f t="shared" si="156"/>
        <v>283.48738729114024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-9.6633812063373625E-13</v>
      </c>
      <c r="GA165" s="18">
        <f>FZ165*VLOOKUP('Données projet'!$B$17,Paramètres!$A$1:$I$89,3,0)*VLOOKUP('Données projet'!$B$17,Paramètres!$A$1:$I$89,5,0)</f>
        <v>-9.3464223027694966E-13</v>
      </c>
      <c r="GB165" s="14" t="e">
        <f t="shared" si="185"/>
        <v>#NUM!</v>
      </c>
      <c r="GC165" s="22" t="e">
        <f t="shared" si="186"/>
        <v>#NUM!</v>
      </c>
      <c r="GD165" s="61" t="e">
        <f t="shared" si="134"/>
        <v>#NUM!</v>
      </c>
      <c r="GE165" s="61">
        <f ca="1">AVERAGE(OFFSET($GD$3,0,0,'Données projet'!$E$17+1,1))-AVERAGE(OFFSET($H$3,0,0,'Données projet'!$E$17+1,1))</f>
        <v>455.50822833641354</v>
      </c>
      <c r="GF165" s="61">
        <f t="shared" si="158"/>
        <v>261.14722581688039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0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0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-9.6633812063373625E-13</v>
      </c>
      <c r="GV165" s="18">
        <f>GU165*VLOOKUP('Données projet'!$B$18,Paramètres!$A$1:$I$89,3,0)*VLOOKUP('Données projet'!$B$18,Paramètres!$A$1:$I$89,5,0)</f>
        <v>-1.0401663530501537E-12</v>
      </c>
      <c r="GW165" s="14" t="e">
        <f t="shared" si="188"/>
        <v>#NUM!</v>
      </c>
      <c r="GX165" s="22" t="e">
        <f t="shared" si="189"/>
        <v>#NUM!</v>
      </c>
      <c r="GY165" s="61" t="e">
        <f t="shared" si="137"/>
        <v>#NUM!</v>
      </c>
      <c r="GZ165" s="61">
        <f ca="1">AVERAGE(OFFSET($GY$3,0,0,'Données projet'!$E$18+1,1))-AVERAGE(OFFSET($H$3,0,0,'Données projet'!$E$18+1,1))</f>
        <v>502.07782026233912</v>
      </c>
      <c r="HA165" s="61">
        <f t="shared" si="160"/>
        <v>285.83623046025156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0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0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-8.7434273154940449E-13</v>
      </c>
      <c r="P166" s="14" t="e">
        <f t="shared" si="141"/>
        <v>#NUM!</v>
      </c>
      <c r="Q166" s="22" t="e">
        <f t="shared" si="162"/>
        <v>#NUM!</v>
      </c>
      <c r="R166" s="61" t="e">
        <f t="shared" si="109"/>
        <v>#NUM!</v>
      </c>
      <c r="S166" s="61">
        <f ca="1">AVERAGE(OFFSET($R$3,0,0,'Données projet'!$E$9+1,1))-AVERAGE(OFFSET($H$3,0,0,'Données projet'!$E$9+1,1))</f>
        <v>428.8489304403459</v>
      </c>
      <c r="T166" s="61">
        <f t="shared" si="142"/>
        <v>247.01165577562966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1" t="e">
        <f t="shared" si="113"/>
        <v>#NUM!</v>
      </c>
      <c r="AN166" s="61">
        <f ca="1">AVERAGE(OFFSET($AM$3,0,0,'Données projet'!$E$10+1,1))-AVERAGE(OFFSET($H$3,0,0,'Données projet'!$E$10+1,1))</f>
        <v>475.47920969424894</v>
      </c>
      <c r="AO166" s="61">
        <f t="shared" si="144"/>
        <v>271.73544012419364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-3.4106051316484809E-13</v>
      </c>
      <c r="BE166" s="14">
        <f>BD166*VLOOKUP('Données projet'!$B$11,Paramètres!$A$1:$I$89,3,0)*VLOOKUP('Données projet'!$B$11,Paramètres!$A$1:$I$89,5,0)</f>
        <v>-1.9065282685915009E-13</v>
      </c>
      <c r="BF166" s="14" t="e">
        <f t="shared" si="167"/>
        <v>#NUM!</v>
      </c>
      <c r="BG166" s="22" t="e">
        <f t="shared" si="168"/>
        <v>#NUM!</v>
      </c>
      <c r="BH166" s="61" t="e">
        <f t="shared" si="116"/>
        <v>#NUM!</v>
      </c>
      <c r="BI166" s="61">
        <f ca="1">AVERAGE(OFFSET($BH$3,0,0,'Données projet'!$E$11+1,1))-AVERAGE(OFFSET($H$3,0,0,'Données projet'!$E$11+1,1))</f>
        <v>374.79806286316051</v>
      </c>
      <c r="BJ166" s="61">
        <f t="shared" si="146"/>
        <v>350.01856672839466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0.55748010531245507</v>
      </c>
      <c r="BR166" s="23">
        <f>EXP(-LN(2)/2)*BR165+(1-EXP(-LN(2)/2))/(LN(2)/2)*BL166*BO166*VLOOKUP('Données projet'!$B$11,Paramètres!$A$1:$I$89,3,0)*0.475*44/12</f>
        <v>1.0548848877192647E-19</v>
      </c>
      <c r="BS166" s="24">
        <f t="shared" si="169"/>
        <v>0.55748010531245507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5.6843418860808015E-13</v>
      </c>
      <c r="BZ166" s="14">
        <f>BY166*VLOOKUP('Données projet'!$B$12,Paramètres!$A$1:$I$89,3,0)*VLOOKUP('Données projet'!$B$12,Paramètres!$A$1:$I$89,5,0)</f>
        <v>2.6602720026858149E-13</v>
      </c>
      <c r="CA166" s="14">
        <f t="shared" si="170"/>
        <v>3.5662905043956649E-12</v>
      </c>
      <c r="CB166" s="22">
        <f t="shared" si="171"/>
        <v>6.6746200022902298E-12</v>
      </c>
      <c r="CC166" s="61">
        <f t="shared" si="119"/>
        <v>293.33333333333997</v>
      </c>
      <c r="CD166" s="61">
        <f ca="1">AVERAGE(OFFSET($CC$3,0,0,'Données projet'!$E$12+1,1))-AVERAGE(OFFSET($H$3,0,0,'Données projet'!$E$12+1,1))</f>
        <v>285.59863510278109</v>
      </c>
      <c r="CE166" s="61">
        <f t="shared" si="148"/>
        <v>190.4880882944471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5.4683368944097308E-14</v>
      </c>
      <c r="CV166" s="14">
        <f t="shared" si="173"/>
        <v>8.8129432816788268E-13</v>
      </c>
      <c r="CW166" s="22">
        <f t="shared" si="174"/>
        <v>1.6301611558033651E-12</v>
      </c>
      <c r="CX166" s="61">
        <f t="shared" si="122"/>
        <v>293.33333333333496</v>
      </c>
      <c r="CY166" s="61">
        <f ca="1">AVERAGE(OFFSET($CX$3,0,0,'Données projet'!$E$13+1,1))-AVERAGE(OFFSET($H$3,0,0,'Données projet'!$E$13+1,1))</f>
        <v>273.72618036666552</v>
      </c>
      <c r="CZ166" s="61">
        <f t="shared" si="150"/>
        <v>157.67999791700714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1.7053025658242404E-13</v>
      </c>
      <c r="DP166" s="18">
        <f>DO166*VLOOKUP('Données projet'!$B$14,Paramètres!$A$1:$I$89,3,0)*VLOOKUP('Données projet'!$B$14,Paramètres!$A$1:$I$89,5,0)</f>
        <v>1.1439169611549005E-13</v>
      </c>
      <c r="DQ166" s="14">
        <f t="shared" si="176"/>
        <v>1.6918016515029816E-12</v>
      </c>
      <c r="DR166" s="22">
        <f t="shared" si="177"/>
        <v>3.1457867471021712E-12</v>
      </c>
      <c r="DS166" s="61">
        <f t="shared" si="125"/>
        <v>293.33333333333644</v>
      </c>
      <c r="DT166" s="61">
        <f ca="1">AVERAGE(OFFSET($DS$3,0,0,'Données projet'!$E$14+1,1))-AVERAGE(OFFSET($H$3,0,0,'Données projet'!$E$14+1,1))</f>
        <v>312.06797204903796</v>
      </c>
      <c r="DU166" s="61">
        <f t="shared" si="152"/>
        <v>258.20189001775151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1.4210854715202004E-13</v>
      </c>
      <c r="EK166" s="18">
        <f>EJ166*VLOOKUP('Données projet'!$B$15,Paramètres!$A$1:$I$89,3,0)*VLOOKUP('Données projet'!$B$15,Paramètres!$A$1:$I$89,5,0)</f>
        <v>1.1527845344971866E-13</v>
      </c>
      <c r="EL166" s="14">
        <f t="shared" si="179"/>
        <v>1.7033846239409443E-12</v>
      </c>
      <c r="EM166" s="22">
        <f t="shared" si="180"/>
        <v>3.1675048597887374E-12</v>
      </c>
      <c r="EN166" s="61">
        <f t="shared" si="128"/>
        <v>293.3333333333365</v>
      </c>
      <c r="EO166" s="61">
        <f ca="1">AVERAGE(OFFSET($EN$3,0,0,'Données projet'!$E$15+1,1))-AVERAGE(OFFSET($H$3,0,0,'Données projet'!$E$15+1,1))</f>
        <v>222.15256609836689</v>
      </c>
      <c r="EP166" s="61">
        <f t="shared" si="154"/>
        <v>221.10360210521077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1.1368683772161603E-13</v>
      </c>
      <c r="FF166" s="18">
        <f>FE166*VLOOKUP('Données projet'!$B$16,Paramètres!$A$1:$I$89,3,0)*VLOOKUP('Données projet'!$B$16,Paramètres!$A$1:$I$89,5,0)</f>
        <v>8.8675733422860506E-14</v>
      </c>
      <c r="FG166" s="14">
        <f t="shared" si="182"/>
        <v>1.3509285393066301E-12</v>
      </c>
      <c r="FH166" s="22">
        <f t="shared" si="183"/>
        <v>2.5073107750038623E-12</v>
      </c>
      <c r="FI166" s="61">
        <f t="shared" si="131"/>
        <v>293.33333333333582</v>
      </c>
      <c r="FJ166" s="61">
        <f ca="1">AVERAGE(OFFSET($FI$3,0,0,'Données projet'!$E$16+1,1))-AVERAGE(OFFSET($H$3,0,0,'Données projet'!$E$16+1,1))</f>
        <v>292.57482726862594</v>
      </c>
      <c r="FK166" s="61">
        <f t="shared" si="156"/>
        <v>283.48738729114024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-9.6633812063373625E-13</v>
      </c>
      <c r="GA166" s="18">
        <f>FZ166*VLOOKUP('Données projet'!$B$17,Paramètres!$A$1:$I$89,3,0)*VLOOKUP('Données projet'!$B$17,Paramètres!$A$1:$I$89,5,0)</f>
        <v>-9.3464223027694966E-13</v>
      </c>
      <c r="GB166" s="14" t="e">
        <f t="shared" si="185"/>
        <v>#NUM!</v>
      </c>
      <c r="GC166" s="22" t="e">
        <f t="shared" si="186"/>
        <v>#NUM!</v>
      </c>
      <c r="GD166" s="61" t="e">
        <f t="shared" si="134"/>
        <v>#NUM!</v>
      </c>
      <c r="GE166" s="61">
        <f ca="1">AVERAGE(OFFSET($GD$3,0,0,'Données projet'!$E$17+1,1))-AVERAGE(OFFSET($H$3,0,0,'Données projet'!$E$17+1,1))</f>
        <v>455.50822833641354</v>
      </c>
      <c r="GF166" s="61">
        <f t="shared" si="158"/>
        <v>261.14722581688039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0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0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-9.6633812063373625E-13</v>
      </c>
      <c r="GV166" s="18">
        <f>GU166*VLOOKUP('Données projet'!$B$18,Paramètres!$A$1:$I$89,3,0)*VLOOKUP('Données projet'!$B$18,Paramètres!$A$1:$I$89,5,0)</f>
        <v>-1.0401663530501537E-12</v>
      </c>
      <c r="GW166" s="14" t="e">
        <f t="shared" si="188"/>
        <v>#NUM!</v>
      </c>
      <c r="GX166" s="22" t="e">
        <f t="shared" si="189"/>
        <v>#NUM!</v>
      </c>
      <c r="GY166" s="61" t="e">
        <f t="shared" si="137"/>
        <v>#NUM!</v>
      </c>
      <c r="GZ166" s="61">
        <f ca="1">AVERAGE(OFFSET($GY$3,0,0,'Données projet'!$E$18+1,1))-AVERAGE(OFFSET($H$3,0,0,'Données projet'!$E$18+1,1))</f>
        <v>502.07782026233912</v>
      </c>
      <c r="HA166" s="61">
        <f t="shared" si="160"/>
        <v>285.83623046025156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0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0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-8.7434273154940449E-13</v>
      </c>
      <c r="P167" s="14" t="e">
        <f t="shared" si="141"/>
        <v>#NUM!</v>
      </c>
      <c r="Q167" s="22" t="e">
        <f t="shared" si="162"/>
        <v>#NUM!</v>
      </c>
      <c r="R167" s="61" t="e">
        <f t="shared" si="109"/>
        <v>#NUM!</v>
      </c>
      <c r="S167" s="61">
        <f ca="1">AVERAGE(OFFSET($R$3,0,0,'Données projet'!$E$9+1,1))-AVERAGE(OFFSET($H$3,0,0,'Données projet'!$E$9+1,1))</f>
        <v>428.8489304403459</v>
      </c>
      <c r="T167" s="61">
        <f t="shared" si="142"/>
        <v>247.01165577562966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1" t="e">
        <f t="shared" si="113"/>
        <v>#NUM!</v>
      </c>
      <c r="AN167" s="61">
        <f ca="1">AVERAGE(OFFSET($AM$3,0,0,'Données projet'!$E$10+1,1))-AVERAGE(OFFSET($H$3,0,0,'Données projet'!$E$10+1,1))</f>
        <v>475.47920969424894</v>
      </c>
      <c r="AO167" s="61">
        <f t="shared" si="144"/>
        <v>271.73544012419364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-3.4106051316484809E-13</v>
      </c>
      <c r="BE167" s="14">
        <f>BD167*VLOOKUP('Données projet'!$B$11,Paramètres!$A$1:$I$89,3,0)*VLOOKUP('Données projet'!$B$11,Paramètres!$A$1:$I$89,5,0)</f>
        <v>-1.9065282685915009E-13</v>
      </c>
      <c r="BF167" s="14" t="e">
        <f t="shared" si="167"/>
        <v>#NUM!</v>
      </c>
      <c r="BG167" s="22" t="e">
        <f t="shared" si="168"/>
        <v>#NUM!</v>
      </c>
      <c r="BH167" s="61" t="e">
        <f t="shared" si="116"/>
        <v>#NUM!</v>
      </c>
      <c r="BI167" s="61">
        <f ca="1">AVERAGE(OFFSET($BH$3,0,0,'Données projet'!$E$11+1,1))-AVERAGE(OFFSET($H$3,0,0,'Données projet'!$E$11+1,1))</f>
        <v>374.79806286316051</v>
      </c>
      <c r="BJ167" s="61">
        <f t="shared" si="146"/>
        <v>350.01856672839466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0.5422357825160814</v>
      </c>
      <c r="BR167" s="23">
        <f>EXP(-LN(2)/2)*BR166+(1-EXP(-LN(2)/2))/(LN(2)/2)*BL167*BO167*VLOOKUP('Données projet'!$B$11,Paramètres!$A$1:$I$89,3,0)*0.475*44/12</f>
        <v>7.459162574775019E-20</v>
      </c>
      <c r="BS167" s="24">
        <f t="shared" si="169"/>
        <v>0.5422357825160814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5.6843418860808015E-13</v>
      </c>
      <c r="BZ167" s="14">
        <f>BY167*VLOOKUP('Données projet'!$B$12,Paramètres!$A$1:$I$89,3,0)*VLOOKUP('Données projet'!$B$12,Paramètres!$A$1:$I$89,5,0)</f>
        <v>2.6602720026858149E-13</v>
      </c>
      <c r="CA167" s="14">
        <f t="shared" si="170"/>
        <v>3.5662905043956649E-12</v>
      </c>
      <c r="CB167" s="22">
        <f t="shared" si="171"/>
        <v>6.6746200022902298E-12</v>
      </c>
      <c r="CC167" s="61">
        <f t="shared" si="119"/>
        <v>293.33333333333997</v>
      </c>
      <c r="CD167" s="61">
        <f ca="1">AVERAGE(OFFSET($CC$3,0,0,'Données projet'!$E$12+1,1))-AVERAGE(OFFSET($H$3,0,0,'Données projet'!$E$12+1,1))</f>
        <v>285.59863510278109</v>
      </c>
      <c r="CE167" s="61">
        <f t="shared" si="148"/>
        <v>190.4880882944471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5.4683368944097308E-14</v>
      </c>
      <c r="CV167" s="14">
        <f t="shared" si="173"/>
        <v>8.8129432816788268E-13</v>
      </c>
      <c r="CW167" s="22">
        <f t="shared" si="174"/>
        <v>1.6301611558033651E-12</v>
      </c>
      <c r="CX167" s="61">
        <f t="shared" si="122"/>
        <v>293.33333333333496</v>
      </c>
      <c r="CY167" s="61">
        <f ca="1">AVERAGE(OFFSET($CX$3,0,0,'Données projet'!$E$13+1,1))-AVERAGE(OFFSET($H$3,0,0,'Données projet'!$E$13+1,1))</f>
        <v>273.72618036666552</v>
      </c>
      <c r="CZ167" s="61">
        <f t="shared" si="150"/>
        <v>157.67999791700714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1.7053025658242404E-13</v>
      </c>
      <c r="DP167" s="18">
        <f>DO167*VLOOKUP('Données projet'!$B$14,Paramètres!$A$1:$I$89,3,0)*VLOOKUP('Données projet'!$B$14,Paramètres!$A$1:$I$89,5,0)</f>
        <v>1.1439169611549005E-13</v>
      </c>
      <c r="DQ167" s="14">
        <f t="shared" si="176"/>
        <v>1.6918016515029816E-12</v>
      </c>
      <c r="DR167" s="22">
        <f t="shared" si="177"/>
        <v>3.1457867471021712E-12</v>
      </c>
      <c r="DS167" s="61">
        <f t="shared" si="125"/>
        <v>293.33333333333644</v>
      </c>
      <c r="DT167" s="61">
        <f ca="1">AVERAGE(OFFSET($DS$3,0,0,'Données projet'!$E$14+1,1))-AVERAGE(OFFSET($H$3,0,0,'Données projet'!$E$14+1,1))</f>
        <v>312.06797204903796</v>
      </c>
      <c r="DU167" s="61">
        <f t="shared" si="152"/>
        <v>258.20189001775151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1.4210854715202004E-13</v>
      </c>
      <c r="EK167" s="18">
        <f>EJ167*VLOOKUP('Données projet'!$B$15,Paramètres!$A$1:$I$89,3,0)*VLOOKUP('Données projet'!$B$15,Paramètres!$A$1:$I$89,5,0)</f>
        <v>1.1527845344971866E-13</v>
      </c>
      <c r="EL167" s="14">
        <f t="shared" si="179"/>
        <v>1.7033846239409443E-12</v>
      </c>
      <c r="EM167" s="22">
        <f t="shared" si="180"/>
        <v>3.1675048597887374E-12</v>
      </c>
      <c r="EN167" s="61">
        <f t="shared" si="128"/>
        <v>293.3333333333365</v>
      </c>
      <c r="EO167" s="61">
        <f ca="1">AVERAGE(OFFSET($EN$3,0,0,'Données projet'!$E$15+1,1))-AVERAGE(OFFSET($H$3,0,0,'Données projet'!$E$15+1,1))</f>
        <v>222.15256609836689</v>
      </c>
      <c r="EP167" s="61">
        <f t="shared" si="154"/>
        <v>221.10360210521077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1.1368683772161603E-13</v>
      </c>
      <c r="FF167" s="18">
        <f>FE167*VLOOKUP('Données projet'!$B$16,Paramètres!$A$1:$I$89,3,0)*VLOOKUP('Données projet'!$B$16,Paramètres!$A$1:$I$89,5,0)</f>
        <v>8.8675733422860506E-14</v>
      </c>
      <c r="FG167" s="14">
        <f t="shared" si="182"/>
        <v>1.3509285393066301E-12</v>
      </c>
      <c r="FH167" s="22">
        <f t="shared" si="183"/>
        <v>2.5073107750038623E-12</v>
      </c>
      <c r="FI167" s="61">
        <f t="shared" si="131"/>
        <v>293.33333333333582</v>
      </c>
      <c r="FJ167" s="61">
        <f ca="1">AVERAGE(OFFSET($FI$3,0,0,'Données projet'!$E$16+1,1))-AVERAGE(OFFSET($H$3,0,0,'Données projet'!$E$16+1,1))</f>
        <v>292.57482726862594</v>
      </c>
      <c r="FK167" s="61">
        <f t="shared" si="156"/>
        <v>283.48738729114024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-9.6633812063373625E-13</v>
      </c>
      <c r="GA167" s="18">
        <f>FZ167*VLOOKUP('Données projet'!$B$17,Paramètres!$A$1:$I$89,3,0)*VLOOKUP('Données projet'!$B$17,Paramètres!$A$1:$I$89,5,0)</f>
        <v>-9.3464223027694966E-13</v>
      </c>
      <c r="GB167" s="14" t="e">
        <f t="shared" si="185"/>
        <v>#NUM!</v>
      </c>
      <c r="GC167" s="22" t="e">
        <f t="shared" si="186"/>
        <v>#NUM!</v>
      </c>
      <c r="GD167" s="61" t="e">
        <f t="shared" si="134"/>
        <v>#NUM!</v>
      </c>
      <c r="GE167" s="61">
        <f ca="1">AVERAGE(OFFSET($GD$3,0,0,'Données projet'!$E$17+1,1))-AVERAGE(OFFSET($H$3,0,0,'Données projet'!$E$17+1,1))</f>
        <v>455.50822833641354</v>
      </c>
      <c r="GF167" s="61">
        <f t="shared" si="158"/>
        <v>261.14722581688039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0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0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-9.6633812063373625E-13</v>
      </c>
      <c r="GV167" s="18">
        <f>GU167*VLOOKUP('Données projet'!$B$18,Paramètres!$A$1:$I$89,3,0)*VLOOKUP('Données projet'!$B$18,Paramètres!$A$1:$I$89,5,0)</f>
        <v>-1.0401663530501537E-12</v>
      </c>
      <c r="GW167" s="14" t="e">
        <f t="shared" si="188"/>
        <v>#NUM!</v>
      </c>
      <c r="GX167" s="22" t="e">
        <f t="shared" si="189"/>
        <v>#NUM!</v>
      </c>
      <c r="GY167" s="61" t="e">
        <f t="shared" si="137"/>
        <v>#NUM!</v>
      </c>
      <c r="GZ167" s="61">
        <f ca="1">AVERAGE(OFFSET($GY$3,0,0,'Données projet'!$E$18+1,1))-AVERAGE(OFFSET($H$3,0,0,'Données projet'!$E$18+1,1))</f>
        <v>502.07782026233912</v>
      </c>
      <c r="HA167" s="61">
        <f t="shared" si="160"/>
        <v>285.83623046025156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0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0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-8.7434273154940449E-13</v>
      </c>
      <c r="P168" s="14" t="e">
        <f t="shared" si="141"/>
        <v>#NUM!</v>
      </c>
      <c r="Q168" s="22" t="e">
        <f t="shared" si="162"/>
        <v>#NUM!</v>
      </c>
      <c r="R168" s="61" t="e">
        <f t="shared" si="109"/>
        <v>#NUM!</v>
      </c>
      <c r="S168" s="61">
        <f ca="1">AVERAGE(OFFSET($R$3,0,0,'Données projet'!$E$9+1,1))-AVERAGE(OFFSET($H$3,0,0,'Données projet'!$E$9+1,1))</f>
        <v>428.8489304403459</v>
      </c>
      <c r="T168" s="61">
        <f t="shared" si="142"/>
        <v>247.01165577562966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1" t="e">
        <f t="shared" si="113"/>
        <v>#NUM!</v>
      </c>
      <c r="AN168" s="61">
        <f ca="1">AVERAGE(OFFSET($AM$3,0,0,'Données projet'!$E$10+1,1))-AVERAGE(OFFSET($H$3,0,0,'Données projet'!$E$10+1,1))</f>
        <v>475.47920969424894</v>
      </c>
      <c r="AO168" s="61">
        <f t="shared" si="144"/>
        <v>271.73544012419364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-3.4106051316484809E-13</v>
      </c>
      <c r="BE168" s="14">
        <f>BD168*VLOOKUP('Données projet'!$B$11,Paramètres!$A$1:$I$89,3,0)*VLOOKUP('Données projet'!$B$11,Paramètres!$A$1:$I$89,5,0)</f>
        <v>-1.9065282685915009E-13</v>
      </c>
      <c r="BF168" s="14" t="e">
        <f t="shared" si="167"/>
        <v>#NUM!</v>
      </c>
      <c r="BG168" s="22" t="e">
        <f t="shared" si="168"/>
        <v>#NUM!</v>
      </c>
      <c r="BH168" s="61" t="e">
        <f t="shared" si="116"/>
        <v>#NUM!</v>
      </c>
      <c r="BI168" s="61">
        <f ca="1">AVERAGE(OFFSET($BH$3,0,0,'Données projet'!$E$11+1,1))-AVERAGE(OFFSET($H$3,0,0,'Données projet'!$E$11+1,1))</f>
        <v>374.79806286316051</v>
      </c>
      <c r="BJ168" s="61">
        <f t="shared" si="146"/>
        <v>350.01856672839466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0.52740831652823861</v>
      </c>
      <c r="BR168" s="23">
        <f>EXP(-LN(2)/2)*BR167+(1-EXP(-LN(2)/2))/(LN(2)/2)*BL168*BO168*VLOOKUP('Données projet'!$B$11,Paramètres!$A$1:$I$89,3,0)*0.475*44/12</f>
        <v>5.2744244385963241E-20</v>
      </c>
      <c r="BS168" s="24">
        <f t="shared" si="169"/>
        <v>0.52740831652823861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5.6843418860808015E-13</v>
      </c>
      <c r="BZ168" s="14">
        <f>BY168*VLOOKUP('Données projet'!$B$12,Paramètres!$A$1:$I$89,3,0)*VLOOKUP('Données projet'!$B$12,Paramètres!$A$1:$I$89,5,0)</f>
        <v>2.6602720026858149E-13</v>
      </c>
      <c r="CA168" s="14">
        <f t="shared" si="170"/>
        <v>3.5662905043956649E-12</v>
      </c>
      <c r="CB168" s="22">
        <f t="shared" si="171"/>
        <v>6.6746200022902298E-12</v>
      </c>
      <c r="CC168" s="61">
        <f t="shared" si="119"/>
        <v>293.33333333333997</v>
      </c>
      <c r="CD168" s="61">
        <f ca="1">AVERAGE(OFFSET($CC$3,0,0,'Données projet'!$E$12+1,1))-AVERAGE(OFFSET($H$3,0,0,'Données projet'!$E$12+1,1))</f>
        <v>285.59863510278109</v>
      </c>
      <c r="CE168" s="61">
        <f t="shared" si="148"/>
        <v>190.4880882944471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5.4683368944097308E-14</v>
      </c>
      <c r="CV168" s="14">
        <f t="shared" si="173"/>
        <v>8.8129432816788268E-13</v>
      </c>
      <c r="CW168" s="22">
        <f t="shared" si="174"/>
        <v>1.6301611558033651E-12</v>
      </c>
      <c r="CX168" s="61">
        <f t="shared" si="122"/>
        <v>293.33333333333496</v>
      </c>
      <c r="CY168" s="61">
        <f ca="1">AVERAGE(OFFSET($CX$3,0,0,'Données projet'!$E$13+1,1))-AVERAGE(OFFSET($H$3,0,0,'Données projet'!$E$13+1,1))</f>
        <v>273.72618036666552</v>
      </c>
      <c r="CZ168" s="61">
        <f t="shared" si="150"/>
        <v>157.67999791700714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1.7053025658242404E-13</v>
      </c>
      <c r="DP168" s="18">
        <f>DO168*VLOOKUP('Données projet'!$B$14,Paramètres!$A$1:$I$89,3,0)*VLOOKUP('Données projet'!$B$14,Paramètres!$A$1:$I$89,5,0)</f>
        <v>1.1439169611549005E-13</v>
      </c>
      <c r="DQ168" s="14">
        <f t="shared" si="176"/>
        <v>1.6918016515029816E-12</v>
      </c>
      <c r="DR168" s="22">
        <f t="shared" si="177"/>
        <v>3.1457867471021712E-12</v>
      </c>
      <c r="DS168" s="61">
        <f t="shared" si="125"/>
        <v>293.33333333333644</v>
      </c>
      <c r="DT168" s="61">
        <f ca="1">AVERAGE(OFFSET($DS$3,0,0,'Données projet'!$E$14+1,1))-AVERAGE(OFFSET($H$3,0,0,'Données projet'!$E$14+1,1))</f>
        <v>312.06797204903796</v>
      </c>
      <c r="DU168" s="61">
        <f t="shared" si="152"/>
        <v>258.20189001775151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1.4210854715202004E-13</v>
      </c>
      <c r="EK168" s="18">
        <f>EJ168*VLOOKUP('Données projet'!$B$15,Paramètres!$A$1:$I$89,3,0)*VLOOKUP('Données projet'!$B$15,Paramètres!$A$1:$I$89,5,0)</f>
        <v>1.1527845344971866E-13</v>
      </c>
      <c r="EL168" s="14">
        <f t="shared" si="179"/>
        <v>1.7033846239409443E-12</v>
      </c>
      <c r="EM168" s="22">
        <f t="shared" si="180"/>
        <v>3.1675048597887374E-12</v>
      </c>
      <c r="EN168" s="61">
        <f t="shared" si="128"/>
        <v>293.3333333333365</v>
      </c>
      <c r="EO168" s="61">
        <f ca="1">AVERAGE(OFFSET($EN$3,0,0,'Données projet'!$E$15+1,1))-AVERAGE(OFFSET($H$3,0,0,'Données projet'!$E$15+1,1))</f>
        <v>222.15256609836689</v>
      </c>
      <c r="EP168" s="61">
        <f t="shared" si="154"/>
        <v>221.10360210521077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1.1368683772161603E-13</v>
      </c>
      <c r="FF168" s="18">
        <f>FE168*VLOOKUP('Données projet'!$B$16,Paramètres!$A$1:$I$89,3,0)*VLOOKUP('Données projet'!$B$16,Paramètres!$A$1:$I$89,5,0)</f>
        <v>8.8675733422860506E-14</v>
      </c>
      <c r="FG168" s="14">
        <f t="shared" si="182"/>
        <v>1.3509285393066301E-12</v>
      </c>
      <c r="FH168" s="22">
        <f t="shared" si="183"/>
        <v>2.5073107750038623E-12</v>
      </c>
      <c r="FI168" s="61">
        <f t="shared" si="131"/>
        <v>293.33333333333582</v>
      </c>
      <c r="FJ168" s="61">
        <f ca="1">AVERAGE(OFFSET($FI$3,0,0,'Données projet'!$E$16+1,1))-AVERAGE(OFFSET($H$3,0,0,'Données projet'!$E$16+1,1))</f>
        <v>292.57482726862594</v>
      </c>
      <c r="FK168" s="61">
        <f t="shared" si="156"/>
        <v>283.48738729114024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-9.6633812063373625E-13</v>
      </c>
      <c r="GA168" s="18">
        <f>FZ168*VLOOKUP('Données projet'!$B$17,Paramètres!$A$1:$I$89,3,0)*VLOOKUP('Données projet'!$B$17,Paramètres!$A$1:$I$89,5,0)</f>
        <v>-9.3464223027694966E-13</v>
      </c>
      <c r="GB168" s="14" t="e">
        <f t="shared" si="185"/>
        <v>#NUM!</v>
      </c>
      <c r="GC168" s="22" t="e">
        <f t="shared" si="186"/>
        <v>#NUM!</v>
      </c>
      <c r="GD168" s="61" t="e">
        <f t="shared" si="134"/>
        <v>#NUM!</v>
      </c>
      <c r="GE168" s="61">
        <f ca="1">AVERAGE(OFFSET($GD$3,0,0,'Données projet'!$E$17+1,1))-AVERAGE(OFFSET($H$3,0,0,'Données projet'!$E$17+1,1))</f>
        <v>455.50822833641354</v>
      </c>
      <c r="GF168" s="61">
        <f t="shared" si="158"/>
        <v>261.14722581688039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0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0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-9.6633812063373625E-13</v>
      </c>
      <c r="GV168" s="18">
        <f>GU168*VLOOKUP('Données projet'!$B$18,Paramètres!$A$1:$I$89,3,0)*VLOOKUP('Données projet'!$B$18,Paramètres!$A$1:$I$89,5,0)</f>
        <v>-1.0401663530501537E-12</v>
      </c>
      <c r="GW168" s="14" t="e">
        <f t="shared" si="188"/>
        <v>#NUM!</v>
      </c>
      <c r="GX168" s="22" t="e">
        <f t="shared" si="189"/>
        <v>#NUM!</v>
      </c>
      <c r="GY168" s="61" t="e">
        <f t="shared" si="137"/>
        <v>#NUM!</v>
      </c>
      <c r="GZ168" s="61">
        <f ca="1">AVERAGE(OFFSET($GY$3,0,0,'Données projet'!$E$18+1,1))-AVERAGE(OFFSET($H$3,0,0,'Données projet'!$E$18+1,1))</f>
        <v>502.07782026233912</v>
      </c>
      <c r="HA168" s="61">
        <f t="shared" si="160"/>
        <v>285.83623046025156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0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0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-8.7434273154940449E-13</v>
      </c>
      <c r="P169" s="14" t="e">
        <f t="shared" si="141"/>
        <v>#NUM!</v>
      </c>
      <c r="Q169" s="22" t="e">
        <f t="shared" si="162"/>
        <v>#NUM!</v>
      </c>
      <c r="R169" s="61" t="e">
        <f t="shared" si="109"/>
        <v>#NUM!</v>
      </c>
      <c r="S169" s="61">
        <f ca="1">AVERAGE(OFFSET($R$3,0,0,'Données projet'!$E$9+1,1))-AVERAGE(OFFSET($H$3,0,0,'Données projet'!$E$9+1,1))</f>
        <v>428.8489304403459</v>
      </c>
      <c r="T169" s="61">
        <f t="shared" si="142"/>
        <v>247.01165577562966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1" t="e">
        <f t="shared" si="113"/>
        <v>#NUM!</v>
      </c>
      <c r="AN169" s="61">
        <f ca="1">AVERAGE(OFFSET($AM$3,0,0,'Données projet'!$E$10+1,1))-AVERAGE(OFFSET($H$3,0,0,'Données projet'!$E$10+1,1))</f>
        <v>475.47920969424894</v>
      </c>
      <c r="AO169" s="61">
        <f t="shared" si="144"/>
        <v>271.73544012419364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-3.4106051316484809E-13</v>
      </c>
      <c r="BE169" s="14">
        <f>BD169*VLOOKUP('Données projet'!$B$11,Paramètres!$A$1:$I$89,3,0)*VLOOKUP('Données projet'!$B$11,Paramètres!$A$1:$I$89,5,0)</f>
        <v>-1.9065282685915009E-13</v>
      </c>
      <c r="BF169" s="14" t="e">
        <f t="shared" si="167"/>
        <v>#NUM!</v>
      </c>
      <c r="BG169" s="22" t="e">
        <f t="shared" si="168"/>
        <v>#NUM!</v>
      </c>
      <c r="BH169" s="61" t="e">
        <f t="shared" si="116"/>
        <v>#NUM!</v>
      </c>
      <c r="BI169" s="61">
        <f ca="1">AVERAGE(OFFSET($BH$3,0,0,'Données projet'!$E$11+1,1))-AVERAGE(OFFSET($H$3,0,0,'Données projet'!$E$11+1,1))</f>
        <v>374.79806286316051</v>
      </c>
      <c r="BJ169" s="61">
        <f t="shared" si="146"/>
        <v>350.01856672839466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0.51298630837757597</v>
      </c>
      <c r="BR169" s="23">
        <f>EXP(-LN(2)/2)*BR168+(1-EXP(-LN(2)/2))/(LN(2)/2)*BL169*BO169*VLOOKUP('Données projet'!$B$11,Paramètres!$A$1:$I$89,3,0)*0.475*44/12</f>
        <v>3.7295812873875101E-20</v>
      </c>
      <c r="BS169" s="24">
        <f t="shared" si="169"/>
        <v>0.51298630837757597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5.6843418860808015E-13</v>
      </c>
      <c r="BZ169" s="14">
        <f>BY169*VLOOKUP('Données projet'!$B$12,Paramètres!$A$1:$I$89,3,0)*VLOOKUP('Données projet'!$B$12,Paramètres!$A$1:$I$89,5,0)</f>
        <v>2.6602720026858149E-13</v>
      </c>
      <c r="CA169" s="14">
        <f t="shared" si="170"/>
        <v>3.5662905043956649E-12</v>
      </c>
      <c r="CB169" s="22">
        <f t="shared" si="171"/>
        <v>6.6746200022902298E-12</v>
      </c>
      <c r="CC169" s="61">
        <f t="shared" si="119"/>
        <v>293.33333333333997</v>
      </c>
      <c r="CD169" s="61">
        <f ca="1">AVERAGE(OFFSET($CC$3,0,0,'Données projet'!$E$12+1,1))-AVERAGE(OFFSET($H$3,0,0,'Données projet'!$E$12+1,1))</f>
        <v>285.59863510278109</v>
      </c>
      <c r="CE169" s="61">
        <f t="shared" si="148"/>
        <v>190.4880882944471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5.4683368944097308E-14</v>
      </c>
      <c r="CV169" s="14">
        <f t="shared" si="173"/>
        <v>8.8129432816788268E-13</v>
      </c>
      <c r="CW169" s="22">
        <f t="shared" si="174"/>
        <v>1.6301611558033651E-12</v>
      </c>
      <c r="CX169" s="61">
        <f t="shared" si="122"/>
        <v>293.33333333333496</v>
      </c>
      <c r="CY169" s="61">
        <f ca="1">AVERAGE(OFFSET($CX$3,0,0,'Données projet'!$E$13+1,1))-AVERAGE(OFFSET($H$3,0,0,'Données projet'!$E$13+1,1))</f>
        <v>273.72618036666552</v>
      </c>
      <c r="CZ169" s="61">
        <f t="shared" si="150"/>
        <v>157.67999791700714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1.7053025658242404E-13</v>
      </c>
      <c r="DP169" s="18">
        <f>DO169*VLOOKUP('Données projet'!$B$14,Paramètres!$A$1:$I$89,3,0)*VLOOKUP('Données projet'!$B$14,Paramètres!$A$1:$I$89,5,0)</f>
        <v>1.1439169611549005E-13</v>
      </c>
      <c r="DQ169" s="14">
        <f t="shared" si="176"/>
        <v>1.6918016515029816E-12</v>
      </c>
      <c r="DR169" s="22">
        <f t="shared" si="177"/>
        <v>3.1457867471021712E-12</v>
      </c>
      <c r="DS169" s="61">
        <f t="shared" si="125"/>
        <v>293.33333333333644</v>
      </c>
      <c r="DT169" s="61">
        <f ca="1">AVERAGE(OFFSET($DS$3,0,0,'Données projet'!$E$14+1,1))-AVERAGE(OFFSET($H$3,0,0,'Données projet'!$E$14+1,1))</f>
        <v>312.06797204903796</v>
      </c>
      <c r="DU169" s="61">
        <f t="shared" si="152"/>
        <v>258.20189001775151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1.4210854715202004E-13</v>
      </c>
      <c r="EK169" s="18">
        <f>EJ169*VLOOKUP('Données projet'!$B$15,Paramètres!$A$1:$I$89,3,0)*VLOOKUP('Données projet'!$B$15,Paramètres!$A$1:$I$89,5,0)</f>
        <v>1.1527845344971866E-13</v>
      </c>
      <c r="EL169" s="14">
        <f t="shared" si="179"/>
        <v>1.7033846239409443E-12</v>
      </c>
      <c r="EM169" s="22">
        <f t="shared" si="180"/>
        <v>3.1675048597887374E-12</v>
      </c>
      <c r="EN169" s="61">
        <f t="shared" si="128"/>
        <v>293.3333333333365</v>
      </c>
      <c r="EO169" s="61">
        <f ca="1">AVERAGE(OFFSET($EN$3,0,0,'Données projet'!$E$15+1,1))-AVERAGE(OFFSET($H$3,0,0,'Données projet'!$E$15+1,1))</f>
        <v>222.15256609836689</v>
      </c>
      <c r="EP169" s="61">
        <f t="shared" si="154"/>
        <v>221.10360210521077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1.1368683772161603E-13</v>
      </c>
      <c r="FF169" s="18">
        <f>FE169*VLOOKUP('Données projet'!$B$16,Paramètres!$A$1:$I$89,3,0)*VLOOKUP('Données projet'!$B$16,Paramètres!$A$1:$I$89,5,0)</f>
        <v>8.8675733422860506E-14</v>
      </c>
      <c r="FG169" s="14">
        <f t="shared" si="182"/>
        <v>1.3509285393066301E-12</v>
      </c>
      <c r="FH169" s="22">
        <f t="shared" si="183"/>
        <v>2.5073107750038623E-12</v>
      </c>
      <c r="FI169" s="61">
        <f t="shared" si="131"/>
        <v>293.33333333333582</v>
      </c>
      <c r="FJ169" s="61">
        <f ca="1">AVERAGE(OFFSET($FI$3,0,0,'Données projet'!$E$16+1,1))-AVERAGE(OFFSET($H$3,0,0,'Données projet'!$E$16+1,1))</f>
        <v>292.57482726862594</v>
      </c>
      <c r="FK169" s="61">
        <f t="shared" si="156"/>
        <v>283.48738729114024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-9.6633812063373625E-13</v>
      </c>
      <c r="GA169" s="18">
        <f>FZ169*VLOOKUP('Données projet'!$B$17,Paramètres!$A$1:$I$89,3,0)*VLOOKUP('Données projet'!$B$17,Paramètres!$A$1:$I$89,5,0)</f>
        <v>-9.3464223027694966E-13</v>
      </c>
      <c r="GB169" s="14" t="e">
        <f t="shared" si="185"/>
        <v>#NUM!</v>
      </c>
      <c r="GC169" s="22" t="e">
        <f t="shared" si="186"/>
        <v>#NUM!</v>
      </c>
      <c r="GD169" s="61" t="e">
        <f t="shared" si="134"/>
        <v>#NUM!</v>
      </c>
      <c r="GE169" s="61">
        <f ca="1">AVERAGE(OFFSET($GD$3,0,0,'Données projet'!$E$17+1,1))-AVERAGE(OFFSET($H$3,0,0,'Données projet'!$E$17+1,1))</f>
        <v>455.50822833641354</v>
      </c>
      <c r="GF169" s="61">
        <f t="shared" si="158"/>
        <v>261.14722581688039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0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0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-9.6633812063373625E-13</v>
      </c>
      <c r="GV169" s="18">
        <f>GU169*VLOOKUP('Données projet'!$B$18,Paramètres!$A$1:$I$89,3,0)*VLOOKUP('Données projet'!$B$18,Paramètres!$A$1:$I$89,5,0)</f>
        <v>-1.0401663530501537E-12</v>
      </c>
      <c r="GW169" s="14" t="e">
        <f t="shared" si="188"/>
        <v>#NUM!</v>
      </c>
      <c r="GX169" s="22" t="e">
        <f t="shared" si="189"/>
        <v>#NUM!</v>
      </c>
      <c r="GY169" s="61" t="e">
        <f t="shared" si="137"/>
        <v>#NUM!</v>
      </c>
      <c r="GZ169" s="61">
        <f ca="1">AVERAGE(OFFSET($GY$3,0,0,'Données projet'!$E$18+1,1))-AVERAGE(OFFSET($H$3,0,0,'Données projet'!$E$18+1,1))</f>
        <v>502.07782026233912</v>
      </c>
      <c r="HA169" s="61">
        <f t="shared" si="160"/>
        <v>285.83623046025156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0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0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-8.7434273154940449E-13</v>
      </c>
      <c r="P170" s="14" t="e">
        <f t="shared" si="141"/>
        <v>#NUM!</v>
      </c>
      <c r="Q170" s="22" t="e">
        <f t="shared" si="162"/>
        <v>#NUM!</v>
      </c>
      <c r="R170" s="61" t="e">
        <f t="shared" si="109"/>
        <v>#NUM!</v>
      </c>
      <c r="S170" s="61">
        <f ca="1">AVERAGE(OFFSET($R$3,0,0,'Données projet'!$E$9+1,1))-AVERAGE(OFFSET($H$3,0,0,'Données projet'!$E$9+1,1))</f>
        <v>428.8489304403459</v>
      </c>
      <c r="T170" s="61">
        <f t="shared" si="142"/>
        <v>247.01165577562966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1" t="e">
        <f t="shared" si="113"/>
        <v>#NUM!</v>
      </c>
      <c r="AN170" s="61">
        <f ca="1">AVERAGE(OFFSET($AM$3,0,0,'Données projet'!$E$10+1,1))-AVERAGE(OFFSET($H$3,0,0,'Données projet'!$E$10+1,1))</f>
        <v>475.47920969424894</v>
      </c>
      <c r="AO170" s="61">
        <f t="shared" si="144"/>
        <v>271.73544012419364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-3.4106051316484809E-13</v>
      </c>
      <c r="BE170" s="14">
        <f>BD170*VLOOKUP('Données projet'!$B$11,Paramètres!$A$1:$I$89,3,0)*VLOOKUP('Données projet'!$B$11,Paramètres!$A$1:$I$89,5,0)</f>
        <v>-1.9065282685915009E-13</v>
      </c>
      <c r="BF170" s="14" t="e">
        <f t="shared" si="167"/>
        <v>#NUM!</v>
      </c>
      <c r="BG170" s="22" t="e">
        <f t="shared" si="168"/>
        <v>#NUM!</v>
      </c>
      <c r="BH170" s="61" t="e">
        <f t="shared" si="116"/>
        <v>#NUM!</v>
      </c>
      <c r="BI170" s="61">
        <f ca="1">AVERAGE(OFFSET($BH$3,0,0,'Données projet'!$E$11+1,1))-AVERAGE(OFFSET($H$3,0,0,'Données projet'!$E$11+1,1))</f>
        <v>374.79806286316051</v>
      </c>
      <c r="BJ170" s="61">
        <f t="shared" si="146"/>
        <v>350.01856672839466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0.49895867079821365</v>
      </c>
      <c r="BR170" s="23">
        <f>EXP(-LN(2)/2)*BR169+(1-EXP(-LN(2)/2))/(LN(2)/2)*BL170*BO170*VLOOKUP('Données projet'!$B$11,Paramètres!$A$1:$I$89,3,0)*0.475*44/12</f>
        <v>2.6372122192981624E-20</v>
      </c>
      <c r="BS170" s="24">
        <f t="shared" si="169"/>
        <v>0.49895867079821365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5.6843418860808015E-13</v>
      </c>
      <c r="BZ170" s="14">
        <f>BY170*VLOOKUP('Données projet'!$B$12,Paramètres!$A$1:$I$89,3,0)*VLOOKUP('Données projet'!$B$12,Paramètres!$A$1:$I$89,5,0)</f>
        <v>2.6602720026858149E-13</v>
      </c>
      <c r="CA170" s="14">
        <f t="shared" si="170"/>
        <v>3.5662905043956649E-12</v>
      </c>
      <c r="CB170" s="22">
        <f t="shared" si="171"/>
        <v>6.6746200022902298E-12</v>
      </c>
      <c r="CC170" s="61">
        <f t="shared" si="119"/>
        <v>293.33333333333997</v>
      </c>
      <c r="CD170" s="61">
        <f ca="1">AVERAGE(OFFSET($CC$3,0,0,'Données projet'!$E$12+1,1))-AVERAGE(OFFSET($H$3,0,0,'Données projet'!$E$12+1,1))</f>
        <v>285.59863510278109</v>
      </c>
      <c r="CE170" s="61">
        <f t="shared" si="148"/>
        <v>190.4880882944471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5.4683368944097308E-14</v>
      </c>
      <c r="CV170" s="14">
        <f t="shared" si="173"/>
        <v>8.8129432816788268E-13</v>
      </c>
      <c r="CW170" s="22">
        <f t="shared" si="174"/>
        <v>1.6301611558033651E-12</v>
      </c>
      <c r="CX170" s="61">
        <f t="shared" si="122"/>
        <v>293.33333333333496</v>
      </c>
      <c r="CY170" s="61">
        <f ca="1">AVERAGE(OFFSET($CX$3,0,0,'Données projet'!$E$13+1,1))-AVERAGE(OFFSET($H$3,0,0,'Données projet'!$E$13+1,1))</f>
        <v>273.72618036666552</v>
      </c>
      <c r="CZ170" s="61">
        <f t="shared" si="150"/>
        <v>157.67999791700714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1.7053025658242404E-13</v>
      </c>
      <c r="DP170" s="18">
        <f>DO170*VLOOKUP('Données projet'!$B$14,Paramètres!$A$1:$I$89,3,0)*VLOOKUP('Données projet'!$B$14,Paramètres!$A$1:$I$89,5,0)</f>
        <v>1.1439169611549005E-13</v>
      </c>
      <c r="DQ170" s="14">
        <f t="shared" si="176"/>
        <v>1.6918016515029816E-12</v>
      </c>
      <c r="DR170" s="22">
        <f t="shared" si="177"/>
        <v>3.1457867471021712E-12</v>
      </c>
      <c r="DS170" s="61">
        <f t="shared" si="125"/>
        <v>293.33333333333644</v>
      </c>
      <c r="DT170" s="61">
        <f ca="1">AVERAGE(OFFSET($DS$3,0,0,'Données projet'!$E$14+1,1))-AVERAGE(OFFSET($H$3,0,0,'Données projet'!$E$14+1,1))</f>
        <v>312.06797204903796</v>
      </c>
      <c r="DU170" s="61">
        <f t="shared" si="152"/>
        <v>258.20189001775151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1.4210854715202004E-13</v>
      </c>
      <c r="EK170" s="18">
        <f>EJ170*VLOOKUP('Données projet'!$B$15,Paramètres!$A$1:$I$89,3,0)*VLOOKUP('Données projet'!$B$15,Paramètres!$A$1:$I$89,5,0)</f>
        <v>1.1527845344971866E-13</v>
      </c>
      <c r="EL170" s="14">
        <f t="shared" si="179"/>
        <v>1.7033846239409443E-12</v>
      </c>
      <c r="EM170" s="22">
        <f t="shared" si="180"/>
        <v>3.1675048597887374E-12</v>
      </c>
      <c r="EN170" s="61">
        <f t="shared" si="128"/>
        <v>293.3333333333365</v>
      </c>
      <c r="EO170" s="61">
        <f ca="1">AVERAGE(OFFSET($EN$3,0,0,'Données projet'!$E$15+1,1))-AVERAGE(OFFSET($H$3,0,0,'Données projet'!$E$15+1,1))</f>
        <v>222.15256609836689</v>
      </c>
      <c r="EP170" s="61">
        <f t="shared" si="154"/>
        <v>221.10360210521077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1.1368683772161603E-13</v>
      </c>
      <c r="FF170" s="18">
        <f>FE170*VLOOKUP('Données projet'!$B$16,Paramètres!$A$1:$I$89,3,0)*VLOOKUP('Données projet'!$B$16,Paramètres!$A$1:$I$89,5,0)</f>
        <v>8.8675733422860506E-14</v>
      </c>
      <c r="FG170" s="14">
        <f t="shared" si="182"/>
        <v>1.3509285393066301E-12</v>
      </c>
      <c r="FH170" s="22">
        <f t="shared" si="183"/>
        <v>2.5073107750038623E-12</v>
      </c>
      <c r="FI170" s="61">
        <f t="shared" si="131"/>
        <v>293.33333333333582</v>
      </c>
      <c r="FJ170" s="61">
        <f ca="1">AVERAGE(OFFSET($FI$3,0,0,'Données projet'!$E$16+1,1))-AVERAGE(OFFSET($H$3,0,0,'Données projet'!$E$16+1,1))</f>
        <v>292.57482726862594</v>
      </c>
      <c r="FK170" s="61">
        <f t="shared" si="156"/>
        <v>283.48738729114024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-9.6633812063373625E-13</v>
      </c>
      <c r="GA170" s="18">
        <f>FZ170*VLOOKUP('Données projet'!$B$17,Paramètres!$A$1:$I$89,3,0)*VLOOKUP('Données projet'!$B$17,Paramètres!$A$1:$I$89,5,0)</f>
        <v>-9.3464223027694966E-13</v>
      </c>
      <c r="GB170" s="14" t="e">
        <f t="shared" si="185"/>
        <v>#NUM!</v>
      </c>
      <c r="GC170" s="22" t="e">
        <f t="shared" si="186"/>
        <v>#NUM!</v>
      </c>
      <c r="GD170" s="61" t="e">
        <f t="shared" si="134"/>
        <v>#NUM!</v>
      </c>
      <c r="GE170" s="61">
        <f ca="1">AVERAGE(OFFSET($GD$3,0,0,'Données projet'!$E$17+1,1))-AVERAGE(OFFSET($H$3,0,0,'Données projet'!$E$17+1,1))</f>
        <v>455.50822833641354</v>
      </c>
      <c r="GF170" s="61">
        <f t="shared" si="158"/>
        <v>261.14722581688039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0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0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-9.6633812063373625E-13</v>
      </c>
      <c r="GV170" s="18">
        <f>GU170*VLOOKUP('Données projet'!$B$18,Paramètres!$A$1:$I$89,3,0)*VLOOKUP('Données projet'!$B$18,Paramètres!$A$1:$I$89,5,0)</f>
        <v>-1.0401663530501537E-12</v>
      </c>
      <c r="GW170" s="14" t="e">
        <f t="shared" si="188"/>
        <v>#NUM!</v>
      </c>
      <c r="GX170" s="22" t="e">
        <f t="shared" si="189"/>
        <v>#NUM!</v>
      </c>
      <c r="GY170" s="61" t="e">
        <f t="shared" si="137"/>
        <v>#NUM!</v>
      </c>
      <c r="GZ170" s="61">
        <f ca="1">AVERAGE(OFFSET($GY$3,0,0,'Données projet'!$E$18+1,1))-AVERAGE(OFFSET($H$3,0,0,'Données projet'!$E$18+1,1))</f>
        <v>502.07782026233912</v>
      </c>
      <c r="HA170" s="61">
        <f t="shared" si="160"/>
        <v>285.83623046025156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0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0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-8.7434273154940449E-13</v>
      </c>
      <c r="P171" s="14" t="e">
        <f t="shared" si="141"/>
        <v>#NUM!</v>
      </c>
      <c r="Q171" s="22" t="e">
        <f t="shared" si="162"/>
        <v>#NUM!</v>
      </c>
      <c r="R171" s="61" t="e">
        <f t="shared" si="109"/>
        <v>#NUM!</v>
      </c>
      <c r="S171" s="61">
        <f ca="1">AVERAGE(OFFSET($R$3,0,0,'Données projet'!$E$9+1,1))-AVERAGE(OFFSET($H$3,0,0,'Données projet'!$E$9+1,1))</f>
        <v>428.8489304403459</v>
      </c>
      <c r="T171" s="61">
        <f t="shared" si="142"/>
        <v>247.01165577562966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1" t="e">
        <f t="shared" si="113"/>
        <v>#NUM!</v>
      </c>
      <c r="AN171" s="61">
        <f ca="1">AVERAGE(OFFSET($AM$3,0,0,'Données projet'!$E$10+1,1))-AVERAGE(OFFSET($H$3,0,0,'Données projet'!$E$10+1,1))</f>
        <v>475.47920969424894</v>
      </c>
      <c r="AO171" s="61">
        <f t="shared" si="144"/>
        <v>271.73544012419364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-3.4106051316484809E-13</v>
      </c>
      <c r="BE171" s="14">
        <f>BD171*VLOOKUP('Données projet'!$B$11,Paramètres!$A$1:$I$89,3,0)*VLOOKUP('Données projet'!$B$11,Paramètres!$A$1:$I$89,5,0)</f>
        <v>-1.9065282685915009E-13</v>
      </c>
      <c r="BF171" s="14" t="e">
        <f t="shared" si="167"/>
        <v>#NUM!</v>
      </c>
      <c r="BG171" s="22" t="e">
        <f t="shared" si="168"/>
        <v>#NUM!</v>
      </c>
      <c r="BH171" s="61" t="e">
        <f t="shared" si="116"/>
        <v>#NUM!</v>
      </c>
      <c r="BI171" s="61">
        <f ca="1">AVERAGE(OFFSET($BH$3,0,0,'Données projet'!$E$11+1,1))-AVERAGE(OFFSET($H$3,0,0,'Données projet'!$E$11+1,1))</f>
        <v>374.79806286316051</v>
      </c>
      <c r="BJ171" s="61">
        <f t="shared" si="146"/>
        <v>350.01856672839466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0.48531461970614037</v>
      </c>
      <c r="BR171" s="23">
        <f>EXP(-LN(2)/2)*BR170+(1-EXP(-LN(2)/2))/(LN(2)/2)*BL171*BO171*VLOOKUP('Données projet'!$B$11,Paramètres!$A$1:$I$89,3,0)*0.475*44/12</f>
        <v>1.8647906436937554E-20</v>
      </c>
      <c r="BS171" s="24">
        <f t="shared" si="169"/>
        <v>0.48531461970614037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5.6843418860808015E-13</v>
      </c>
      <c r="BZ171" s="14">
        <f>BY171*VLOOKUP('Données projet'!$B$12,Paramètres!$A$1:$I$89,3,0)*VLOOKUP('Données projet'!$B$12,Paramètres!$A$1:$I$89,5,0)</f>
        <v>2.6602720026858149E-13</v>
      </c>
      <c r="CA171" s="14">
        <f t="shared" si="170"/>
        <v>3.5662905043956649E-12</v>
      </c>
      <c r="CB171" s="22">
        <f t="shared" si="171"/>
        <v>6.6746200022902298E-12</v>
      </c>
      <c r="CC171" s="61">
        <f t="shared" si="119"/>
        <v>293.33333333333997</v>
      </c>
      <c r="CD171" s="61">
        <f ca="1">AVERAGE(OFFSET($CC$3,0,0,'Données projet'!$E$12+1,1))-AVERAGE(OFFSET($H$3,0,0,'Données projet'!$E$12+1,1))</f>
        <v>285.59863510278109</v>
      </c>
      <c r="CE171" s="61">
        <f t="shared" si="148"/>
        <v>190.4880882944471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5.4683368944097308E-14</v>
      </c>
      <c r="CV171" s="14">
        <f t="shared" si="173"/>
        <v>8.8129432816788268E-13</v>
      </c>
      <c r="CW171" s="22">
        <f t="shared" si="174"/>
        <v>1.6301611558033651E-12</v>
      </c>
      <c r="CX171" s="61">
        <f t="shared" si="122"/>
        <v>293.33333333333496</v>
      </c>
      <c r="CY171" s="61">
        <f ca="1">AVERAGE(OFFSET($CX$3,0,0,'Données projet'!$E$13+1,1))-AVERAGE(OFFSET($H$3,0,0,'Données projet'!$E$13+1,1))</f>
        <v>273.72618036666552</v>
      </c>
      <c r="CZ171" s="61">
        <f t="shared" si="150"/>
        <v>157.67999791700714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1.7053025658242404E-13</v>
      </c>
      <c r="DP171" s="18">
        <f>DO171*VLOOKUP('Données projet'!$B$14,Paramètres!$A$1:$I$89,3,0)*VLOOKUP('Données projet'!$B$14,Paramètres!$A$1:$I$89,5,0)</f>
        <v>1.1439169611549005E-13</v>
      </c>
      <c r="DQ171" s="14">
        <f t="shared" si="176"/>
        <v>1.6918016515029816E-12</v>
      </c>
      <c r="DR171" s="22">
        <f t="shared" si="177"/>
        <v>3.1457867471021712E-12</v>
      </c>
      <c r="DS171" s="61">
        <f t="shared" si="125"/>
        <v>293.33333333333644</v>
      </c>
      <c r="DT171" s="61">
        <f ca="1">AVERAGE(OFFSET($DS$3,0,0,'Données projet'!$E$14+1,1))-AVERAGE(OFFSET($H$3,0,0,'Données projet'!$E$14+1,1))</f>
        <v>312.06797204903796</v>
      </c>
      <c r="DU171" s="61">
        <f t="shared" si="152"/>
        <v>258.20189001775151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1.4210854715202004E-13</v>
      </c>
      <c r="EK171" s="18">
        <f>EJ171*VLOOKUP('Données projet'!$B$15,Paramètres!$A$1:$I$89,3,0)*VLOOKUP('Données projet'!$B$15,Paramètres!$A$1:$I$89,5,0)</f>
        <v>1.1527845344971866E-13</v>
      </c>
      <c r="EL171" s="14">
        <f t="shared" si="179"/>
        <v>1.7033846239409443E-12</v>
      </c>
      <c r="EM171" s="22">
        <f t="shared" si="180"/>
        <v>3.1675048597887374E-12</v>
      </c>
      <c r="EN171" s="61">
        <f t="shared" si="128"/>
        <v>293.3333333333365</v>
      </c>
      <c r="EO171" s="61">
        <f ca="1">AVERAGE(OFFSET($EN$3,0,0,'Données projet'!$E$15+1,1))-AVERAGE(OFFSET($H$3,0,0,'Données projet'!$E$15+1,1))</f>
        <v>222.15256609836689</v>
      </c>
      <c r="EP171" s="61">
        <f t="shared" si="154"/>
        <v>221.10360210521077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1.1368683772161603E-13</v>
      </c>
      <c r="FF171" s="18">
        <f>FE171*VLOOKUP('Données projet'!$B$16,Paramètres!$A$1:$I$89,3,0)*VLOOKUP('Données projet'!$B$16,Paramètres!$A$1:$I$89,5,0)</f>
        <v>8.8675733422860506E-14</v>
      </c>
      <c r="FG171" s="14">
        <f t="shared" si="182"/>
        <v>1.3509285393066301E-12</v>
      </c>
      <c r="FH171" s="22">
        <f t="shared" si="183"/>
        <v>2.5073107750038623E-12</v>
      </c>
      <c r="FI171" s="61">
        <f t="shared" si="131"/>
        <v>293.33333333333582</v>
      </c>
      <c r="FJ171" s="61">
        <f ca="1">AVERAGE(OFFSET($FI$3,0,0,'Données projet'!$E$16+1,1))-AVERAGE(OFFSET($H$3,0,0,'Données projet'!$E$16+1,1))</f>
        <v>292.57482726862594</v>
      </c>
      <c r="FK171" s="61">
        <f t="shared" si="156"/>
        <v>283.48738729114024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-9.6633812063373625E-13</v>
      </c>
      <c r="GA171" s="18">
        <f>FZ171*VLOOKUP('Données projet'!$B$17,Paramètres!$A$1:$I$89,3,0)*VLOOKUP('Données projet'!$B$17,Paramètres!$A$1:$I$89,5,0)</f>
        <v>-9.3464223027694966E-13</v>
      </c>
      <c r="GB171" s="14" t="e">
        <f t="shared" si="185"/>
        <v>#NUM!</v>
      </c>
      <c r="GC171" s="22" t="e">
        <f t="shared" si="186"/>
        <v>#NUM!</v>
      </c>
      <c r="GD171" s="61" t="e">
        <f t="shared" si="134"/>
        <v>#NUM!</v>
      </c>
      <c r="GE171" s="61">
        <f ca="1">AVERAGE(OFFSET($GD$3,0,0,'Données projet'!$E$17+1,1))-AVERAGE(OFFSET($H$3,0,0,'Données projet'!$E$17+1,1))</f>
        <v>455.50822833641354</v>
      </c>
      <c r="GF171" s="61">
        <f t="shared" si="158"/>
        <v>261.14722581688039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0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0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-9.6633812063373625E-13</v>
      </c>
      <c r="GV171" s="18">
        <f>GU171*VLOOKUP('Données projet'!$B$18,Paramètres!$A$1:$I$89,3,0)*VLOOKUP('Données projet'!$B$18,Paramètres!$A$1:$I$89,5,0)</f>
        <v>-1.0401663530501537E-12</v>
      </c>
      <c r="GW171" s="14" t="e">
        <f t="shared" si="188"/>
        <v>#NUM!</v>
      </c>
      <c r="GX171" s="22" t="e">
        <f t="shared" si="189"/>
        <v>#NUM!</v>
      </c>
      <c r="GY171" s="61" t="e">
        <f t="shared" si="137"/>
        <v>#NUM!</v>
      </c>
      <c r="GZ171" s="61">
        <f ca="1">AVERAGE(OFFSET($GY$3,0,0,'Données projet'!$E$18+1,1))-AVERAGE(OFFSET($H$3,0,0,'Données projet'!$E$18+1,1))</f>
        <v>502.07782026233912</v>
      </c>
      <c r="HA171" s="61">
        <f t="shared" si="160"/>
        <v>285.83623046025156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0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0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-8.7434273154940449E-13</v>
      </c>
      <c r="P172" s="14" t="e">
        <f t="shared" si="141"/>
        <v>#NUM!</v>
      </c>
      <c r="Q172" s="22" t="e">
        <f t="shared" si="162"/>
        <v>#NUM!</v>
      </c>
      <c r="R172" s="61" t="e">
        <f t="shared" si="109"/>
        <v>#NUM!</v>
      </c>
      <c r="S172" s="61">
        <f ca="1">AVERAGE(OFFSET($R$3,0,0,'Données projet'!$E$9+1,1))-AVERAGE(OFFSET($H$3,0,0,'Données projet'!$E$9+1,1))</f>
        <v>428.8489304403459</v>
      </c>
      <c r="T172" s="61">
        <f t="shared" si="142"/>
        <v>247.01165577562966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1" t="e">
        <f t="shared" si="113"/>
        <v>#NUM!</v>
      </c>
      <c r="AN172" s="61">
        <f ca="1">AVERAGE(OFFSET($AM$3,0,0,'Données projet'!$E$10+1,1))-AVERAGE(OFFSET($H$3,0,0,'Données projet'!$E$10+1,1))</f>
        <v>475.47920969424894</v>
      </c>
      <c r="AO172" s="61">
        <f t="shared" si="144"/>
        <v>271.73544012419364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-3.4106051316484809E-13</v>
      </c>
      <c r="BE172" s="14">
        <f>BD172*VLOOKUP('Données projet'!$B$11,Paramètres!$A$1:$I$89,3,0)*VLOOKUP('Données projet'!$B$11,Paramètres!$A$1:$I$89,5,0)</f>
        <v>-1.9065282685915009E-13</v>
      </c>
      <c r="BF172" s="14" t="e">
        <f t="shared" si="167"/>
        <v>#NUM!</v>
      </c>
      <c r="BG172" s="22" t="e">
        <f t="shared" si="168"/>
        <v>#NUM!</v>
      </c>
      <c r="BH172" s="61" t="e">
        <f t="shared" si="116"/>
        <v>#NUM!</v>
      </c>
      <c r="BI172" s="61">
        <f ca="1">AVERAGE(OFFSET($BH$3,0,0,'Données projet'!$E$11+1,1))-AVERAGE(OFFSET($H$3,0,0,'Données projet'!$E$11+1,1))</f>
        <v>374.79806286316051</v>
      </c>
      <c r="BJ172" s="61">
        <f t="shared" si="146"/>
        <v>350.01856672839466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0.47204366590868929</v>
      </c>
      <c r="BR172" s="23">
        <f>EXP(-LN(2)/2)*BR171+(1-EXP(-LN(2)/2))/(LN(2)/2)*BL172*BO172*VLOOKUP('Données projet'!$B$11,Paramètres!$A$1:$I$89,3,0)*0.475*44/12</f>
        <v>1.3186061096490815E-20</v>
      </c>
      <c r="BS172" s="24">
        <f t="shared" si="169"/>
        <v>0.47204366590868929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5.6843418860808015E-13</v>
      </c>
      <c r="BZ172" s="14">
        <f>BY172*VLOOKUP('Données projet'!$B$12,Paramètres!$A$1:$I$89,3,0)*VLOOKUP('Données projet'!$B$12,Paramètres!$A$1:$I$89,5,0)</f>
        <v>2.6602720026858149E-13</v>
      </c>
      <c r="CA172" s="14">
        <f t="shared" si="170"/>
        <v>3.5662905043956649E-12</v>
      </c>
      <c r="CB172" s="22">
        <f t="shared" si="171"/>
        <v>6.6746200022902298E-12</v>
      </c>
      <c r="CC172" s="61">
        <f t="shared" si="119"/>
        <v>293.33333333333997</v>
      </c>
      <c r="CD172" s="61">
        <f ca="1">AVERAGE(OFFSET($CC$3,0,0,'Données projet'!$E$12+1,1))-AVERAGE(OFFSET($H$3,0,0,'Données projet'!$E$12+1,1))</f>
        <v>285.59863510278109</v>
      </c>
      <c r="CE172" s="61">
        <f t="shared" si="148"/>
        <v>190.4880882944471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5.4683368944097308E-14</v>
      </c>
      <c r="CV172" s="14">
        <f t="shared" si="173"/>
        <v>8.8129432816788268E-13</v>
      </c>
      <c r="CW172" s="22">
        <f t="shared" si="174"/>
        <v>1.6301611558033651E-12</v>
      </c>
      <c r="CX172" s="61">
        <f t="shared" si="122"/>
        <v>293.33333333333496</v>
      </c>
      <c r="CY172" s="61">
        <f ca="1">AVERAGE(OFFSET($CX$3,0,0,'Données projet'!$E$13+1,1))-AVERAGE(OFFSET($H$3,0,0,'Données projet'!$E$13+1,1))</f>
        <v>273.72618036666552</v>
      </c>
      <c r="CZ172" s="61">
        <f t="shared" si="150"/>
        <v>157.67999791700714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1.7053025658242404E-13</v>
      </c>
      <c r="DP172" s="18">
        <f>DO172*VLOOKUP('Données projet'!$B$14,Paramètres!$A$1:$I$89,3,0)*VLOOKUP('Données projet'!$B$14,Paramètres!$A$1:$I$89,5,0)</f>
        <v>1.1439169611549005E-13</v>
      </c>
      <c r="DQ172" s="14">
        <f t="shared" si="176"/>
        <v>1.6918016515029816E-12</v>
      </c>
      <c r="DR172" s="22">
        <f t="shared" si="177"/>
        <v>3.1457867471021712E-12</v>
      </c>
      <c r="DS172" s="61">
        <f t="shared" si="125"/>
        <v>293.33333333333644</v>
      </c>
      <c r="DT172" s="61">
        <f ca="1">AVERAGE(OFFSET($DS$3,0,0,'Données projet'!$E$14+1,1))-AVERAGE(OFFSET($H$3,0,0,'Données projet'!$E$14+1,1))</f>
        <v>312.06797204903796</v>
      </c>
      <c r="DU172" s="61">
        <f t="shared" si="152"/>
        <v>258.20189001775151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1.4210854715202004E-13</v>
      </c>
      <c r="EK172" s="18">
        <f>EJ172*VLOOKUP('Données projet'!$B$15,Paramètres!$A$1:$I$89,3,0)*VLOOKUP('Données projet'!$B$15,Paramètres!$A$1:$I$89,5,0)</f>
        <v>1.1527845344971866E-13</v>
      </c>
      <c r="EL172" s="14">
        <f t="shared" si="179"/>
        <v>1.7033846239409443E-12</v>
      </c>
      <c r="EM172" s="22">
        <f t="shared" si="180"/>
        <v>3.1675048597887374E-12</v>
      </c>
      <c r="EN172" s="61">
        <f t="shared" si="128"/>
        <v>293.3333333333365</v>
      </c>
      <c r="EO172" s="61">
        <f ca="1">AVERAGE(OFFSET($EN$3,0,0,'Données projet'!$E$15+1,1))-AVERAGE(OFFSET($H$3,0,0,'Données projet'!$E$15+1,1))</f>
        <v>222.15256609836689</v>
      </c>
      <c r="EP172" s="61">
        <f t="shared" si="154"/>
        <v>221.10360210521077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1.1368683772161603E-13</v>
      </c>
      <c r="FF172" s="18">
        <f>FE172*VLOOKUP('Données projet'!$B$16,Paramètres!$A$1:$I$89,3,0)*VLOOKUP('Données projet'!$B$16,Paramètres!$A$1:$I$89,5,0)</f>
        <v>8.8675733422860506E-14</v>
      </c>
      <c r="FG172" s="14">
        <f t="shared" si="182"/>
        <v>1.3509285393066301E-12</v>
      </c>
      <c r="FH172" s="22">
        <f t="shared" si="183"/>
        <v>2.5073107750038623E-12</v>
      </c>
      <c r="FI172" s="61">
        <f t="shared" si="131"/>
        <v>293.33333333333582</v>
      </c>
      <c r="FJ172" s="61">
        <f ca="1">AVERAGE(OFFSET($FI$3,0,0,'Données projet'!$E$16+1,1))-AVERAGE(OFFSET($H$3,0,0,'Données projet'!$E$16+1,1))</f>
        <v>292.57482726862594</v>
      </c>
      <c r="FK172" s="61">
        <f t="shared" si="156"/>
        <v>283.48738729114024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-9.6633812063373625E-13</v>
      </c>
      <c r="GA172" s="18">
        <f>FZ172*VLOOKUP('Données projet'!$B$17,Paramètres!$A$1:$I$89,3,0)*VLOOKUP('Données projet'!$B$17,Paramètres!$A$1:$I$89,5,0)</f>
        <v>-9.3464223027694966E-13</v>
      </c>
      <c r="GB172" s="14" t="e">
        <f t="shared" si="185"/>
        <v>#NUM!</v>
      </c>
      <c r="GC172" s="22" t="e">
        <f t="shared" si="186"/>
        <v>#NUM!</v>
      </c>
      <c r="GD172" s="61" t="e">
        <f t="shared" si="134"/>
        <v>#NUM!</v>
      </c>
      <c r="GE172" s="61">
        <f ca="1">AVERAGE(OFFSET($GD$3,0,0,'Données projet'!$E$17+1,1))-AVERAGE(OFFSET($H$3,0,0,'Données projet'!$E$17+1,1))</f>
        <v>455.50822833641354</v>
      </c>
      <c r="GF172" s="61">
        <f t="shared" si="158"/>
        <v>261.14722581688039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0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0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-9.6633812063373625E-13</v>
      </c>
      <c r="GV172" s="18">
        <f>GU172*VLOOKUP('Données projet'!$B$18,Paramètres!$A$1:$I$89,3,0)*VLOOKUP('Données projet'!$B$18,Paramètres!$A$1:$I$89,5,0)</f>
        <v>-1.0401663530501537E-12</v>
      </c>
      <c r="GW172" s="14" t="e">
        <f t="shared" si="188"/>
        <v>#NUM!</v>
      </c>
      <c r="GX172" s="22" t="e">
        <f t="shared" si="189"/>
        <v>#NUM!</v>
      </c>
      <c r="GY172" s="61" t="e">
        <f t="shared" si="137"/>
        <v>#NUM!</v>
      </c>
      <c r="GZ172" s="61">
        <f ca="1">AVERAGE(OFFSET($GY$3,0,0,'Données projet'!$E$18+1,1))-AVERAGE(OFFSET($H$3,0,0,'Données projet'!$E$18+1,1))</f>
        <v>502.07782026233912</v>
      </c>
      <c r="HA172" s="61">
        <f t="shared" si="160"/>
        <v>285.83623046025156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0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0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-8.7434273154940449E-13</v>
      </c>
      <c r="P173" s="14" t="e">
        <f t="shared" si="141"/>
        <v>#NUM!</v>
      </c>
      <c r="Q173" s="22" t="e">
        <f t="shared" si="162"/>
        <v>#NUM!</v>
      </c>
      <c r="R173" s="61" t="e">
        <f t="shared" si="109"/>
        <v>#NUM!</v>
      </c>
      <c r="S173" s="61">
        <f ca="1">AVERAGE(OFFSET($R$3,0,0,'Données projet'!$E$9+1,1))-AVERAGE(OFFSET($H$3,0,0,'Données projet'!$E$9+1,1))</f>
        <v>428.8489304403459</v>
      </c>
      <c r="T173" s="61">
        <f t="shared" si="142"/>
        <v>247.01165577562966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1" t="e">
        <f t="shared" si="113"/>
        <v>#NUM!</v>
      </c>
      <c r="AN173" s="61">
        <f ca="1">AVERAGE(OFFSET($AM$3,0,0,'Données projet'!$E$10+1,1))-AVERAGE(OFFSET($H$3,0,0,'Données projet'!$E$10+1,1))</f>
        <v>475.47920969424894</v>
      </c>
      <c r="AO173" s="61">
        <f t="shared" si="144"/>
        <v>271.73544012419364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-3.4106051316484809E-13</v>
      </c>
      <c r="BE173" s="14">
        <f>BD173*VLOOKUP('Données projet'!$B$11,Paramètres!$A$1:$I$89,3,0)*VLOOKUP('Données projet'!$B$11,Paramètres!$A$1:$I$89,5,0)</f>
        <v>-1.9065282685915009E-13</v>
      </c>
      <c r="BF173" s="14" t="e">
        <f t="shared" si="167"/>
        <v>#NUM!</v>
      </c>
      <c r="BG173" s="22" t="e">
        <f t="shared" si="168"/>
        <v>#NUM!</v>
      </c>
      <c r="BH173" s="61" t="e">
        <f t="shared" si="116"/>
        <v>#NUM!</v>
      </c>
      <c r="BI173" s="61">
        <f ca="1">AVERAGE(OFFSET($BH$3,0,0,'Données projet'!$E$11+1,1))-AVERAGE(OFFSET($H$3,0,0,'Données projet'!$E$11+1,1))</f>
        <v>374.79806286316051</v>
      </c>
      <c r="BJ173" s="61">
        <f t="shared" si="146"/>
        <v>350.01856672839466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0.45913560704071865</v>
      </c>
      <c r="BR173" s="23">
        <f>EXP(-LN(2)/2)*BR172+(1-EXP(-LN(2)/2))/(LN(2)/2)*BL173*BO173*VLOOKUP('Données projet'!$B$11,Paramètres!$A$1:$I$89,3,0)*0.475*44/12</f>
        <v>9.3239532184687783E-21</v>
      </c>
      <c r="BS173" s="24">
        <f t="shared" si="169"/>
        <v>0.45913560704071865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5.6843418860808015E-13</v>
      </c>
      <c r="BZ173" s="14">
        <f>BY173*VLOOKUP('Données projet'!$B$12,Paramètres!$A$1:$I$89,3,0)*VLOOKUP('Données projet'!$B$12,Paramètres!$A$1:$I$89,5,0)</f>
        <v>2.6602720026858149E-13</v>
      </c>
      <c r="CA173" s="14">
        <f t="shared" si="170"/>
        <v>3.5662905043956649E-12</v>
      </c>
      <c r="CB173" s="22">
        <f t="shared" si="171"/>
        <v>6.6746200022902298E-12</v>
      </c>
      <c r="CC173" s="61">
        <f t="shared" si="119"/>
        <v>293.33333333333997</v>
      </c>
      <c r="CD173" s="61">
        <f ca="1">AVERAGE(OFFSET($CC$3,0,0,'Données projet'!$E$12+1,1))-AVERAGE(OFFSET($H$3,0,0,'Données projet'!$E$12+1,1))</f>
        <v>285.59863510278109</v>
      </c>
      <c r="CE173" s="61">
        <f t="shared" si="148"/>
        <v>190.4880882944471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5.4683368944097308E-14</v>
      </c>
      <c r="CV173" s="14">
        <f t="shared" si="173"/>
        <v>8.8129432816788268E-13</v>
      </c>
      <c r="CW173" s="22">
        <f t="shared" si="174"/>
        <v>1.6301611558033651E-12</v>
      </c>
      <c r="CX173" s="61">
        <f t="shared" si="122"/>
        <v>293.33333333333496</v>
      </c>
      <c r="CY173" s="61">
        <f ca="1">AVERAGE(OFFSET($CX$3,0,0,'Données projet'!$E$13+1,1))-AVERAGE(OFFSET($H$3,0,0,'Données projet'!$E$13+1,1))</f>
        <v>273.72618036666552</v>
      </c>
      <c r="CZ173" s="61">
        <f t="shared" si="150"/>
        <v>157.67999791700714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1.7053025658242404E-13</v>
      </c>
      <c r="DP173" s="18">
        <f>DO173*VLOOKUP('Données projet'!$B$14,Paramètres!$A$1:$I$89,3,0)*VLOOKUP('Données projet'!$B$14,Paramètres!$A$1:$I$89,5,0)</f>
        <v>1.1439169611549005E-13</v>
      </c>
      <c r="DQ173" s="14">
        <f t="shared" si="176"/>
        <v>1.6918016515029816E-12</v>
      </c>
      <c r="DR173" s="22">
        <f t="shared" si="177"/>
        <v>3.1457867471021712E-12</v>
      </c>
      <c r="DS173" s="61">
        <f t="shared" si="125"/>
        <v>293.33333333333644</v>
      </c>
      <c r="DT173" s="61">
        <f ca="1">AVERAGE(OFFSET($DS$3,0,0,'Données projet'!$E$14+1,1))-AVERAGE(OFFSET($H$3,0,0,'Données projet'!$E$14+1,1))</f>
        <v>312.06797204903796</v>
      </c>
      <c r="DU173" s="61">
        <f t="shared" si="152"/>
        <v>258.20189001775151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1.4210854715202004E-13</v>
      </c>
      <c r="EK173" s="18">
        <f>EJ173*VLOOKUP('Données projet'!$B$15,Paramètres!$A$1:$I$89,3,0)*VLOOKUP('Données projet'!$B$15,Paramètres!$A$1:$I$89,5,0)</f>
        <v>1.1527845344971866E-13</v>
      </c>
      <c r="EL173" s="14">
        <f t="shared" si="179"/>
        <v>1.7033846239409443E-12</v>
      </c>
      <c r="EM173" s="22">
        <f t="shared" si="180"/>
        <v>3.1675048597887374E-12</v>
      </c>
      <c r="EN173" s="61">
        <f t="shared" si="128"/>
        <v>293.3333333333365</v>
      </c>
      <c r="EO173" s="61">
        <f ca="1">AVERAGE(OFFSET($EN$3,0,0,'Données projet'!$E$15+1,1))-AVERAGE(OFFSET($H$3,0,0,'Données projet'!$E$15+1,1))</f>
        <v>222.15256609836689</v>
      </c>
      <c r="EP173" s="61">
        <f t="shared" si="154"/>
        <v>221.10360210521077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1.1368683772161603E-13</v>
      </c>
      <c r="FF173" s="18">
        <f>FE173*VLOOKUP('Données projet'!$B$16,Paramètres!$A$1:$I$89,3,0)*VLOOKUP('Données projet'!$B$16,Paramètres!$A$1:$I$89,5,0)</f>
        <v>8.8675733422860506E-14</v>
      </c>
      <c r="FG173" s="14">
        <f t="shared" si="182"/>
        <v>1.3509285393066301E-12</v>
      </c>
      <c r="FH173" s="22">
        <f t="shared" si="183"/>
        <v>2.5073107750038623E-12</v>
      </c>
      <c r="FI173" s="61">
        <f t="shared" si="131"/>
        <v>293.33333333333582</v>
      </c>
      <c r="FJ173" s="61">
        <f ca="1">AVERAGE(OFFSET($FI$3,0,0,'Données projet'!$E$16+1,1))-AVERAGE(OFFSET($H$3,0,0,'Données projet'!$E$16+1,1))</f>
        <v>292.57482726862594</v>
      </c>
      <c r="FK173" s="61">
        <f t="shared" si="156"/>
        <v>283.48738729114024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-9.6633812063373625E-13</v>
      </c>
      <c r="GA173" s="18">
        <f>FZ173*VLOOKUP('Données projet'!$B$17,Paramètres!$A$1:$I$89,3,0)*VLOOKUP('Données projet'!$B$17,Paramètres!$A$1:$I$89,5,0)</f>
        <v>-9.3464223027694966E-13</v>
      </c>
      <c r="GB173" s="14" t="e">
        <f t="shared" si="185"/>
        <v>#NUM!</v>
      </c>
      <c r="GC173" s="22" t="e">
        <f t="shared" si="186"/>
        <v>#NUM!</v>
      </c>
      <c r="GD173" s="61" t="e">
        <f t="shared" si="134"/>
        <v>#NUM!</v>
      </c>
      <c r="GE173" s="61">
        <f ca="1">AVERAGE(OFFSET($GD$3,0,0,'Données projet'!$E$17+1,1))-AVERAGE(OFFSET($H$3,0,0,'Données projet'!$E$17+1,1))</f>
        <v>455.50822833641354</v>
      </c>
      <c r="GF173" s="61">
        <f t="shared" si="158"/>
        <v>261.14722581688039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0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0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-9.6633812063373625E-13</v>
      </c>
      <c r="GV173" s="18">
        <f>GU173*VLOOKUP('Données projet'!$B$18,Paramètres!$A$1:$I$89,3,0)*VLOOKUP('Données projet'!$B$18,Paramètres!$A$1:$I$89,5,0)</f>
        <v>-1.0401663530501537E-12</v>
      </c>
      <c r="GW173" s="14" t="e">
        <f t="shared" si="188"/>
        <v>#NUM!</v>
      </c>
      <c r="GX173" s="22" t="e">
        <f t="shared" si="189"/>
        <v>#NUM!</v>
      </c>
      <c r="GY173" s="61" t="e">
        <f t="shared" si="137"/>
        <v>#NUM!</v>
      </c>
      <c r="GZ173" s="61">
        <f ca="1">AVERAGE(OFFSET($GY$3,0,0,'Données projet'!$E$18+1,1))-AVERAGE(OFFSET($H$3,0,0,'Données projet'!$E$18+1,1))</f>
        <v>502.07782026233912</v>
      </c>
      <c r="HA173" s="61">
        <f t="shared" si="160"/>
        <v>285.83623046025156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0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0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-8.7434273154940449E-13</v>
      </c>
      <c r="P174" s="14" t="e">
        <f t="shared" si="141"/>
        <v>#NUM!</v>
      </c>
      <c r="Q174" s="22" t="e">
        <f t="shared" si="162"/>
        <v>#NUM!</v>
      </c>
      <c r="R174" s="61" t="e">
        <f t="shared" si="109"/>
        <v>#NUM!</v>
      </c>
      <c r="S174" s="61">
        <f ca="1">AVERAGE(OFFSET($R$3,0,0,'Données projet'!$E$9+1,1))-AVERAGE(OFFSET($H$3,0,0,'Données projet'!$E$9+1,1))</f>
        <v>428.8489304403459</v>
      </c>
      <c r="T174" s="61">
        <f t="shared" si="142"/>
        <v>247.01165577562966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1" t="e">
        <f t="shared" si="113"/>
        <v>#NUM!</v>
      </c>
      <c r="AN174" s="61">
        <f ca="1">AVERAGE(OFFSET($AM$3,0,0,'Données projet'!$E$10+1,1))-AVERAGE(OFFSET($H$3,0,0,'Données projet'!$E$10+1,1))</f>
        <v>475.47920969424894</v>
      </c>
      <c r="AO174" s="61">
        <f t="shared" si="144"/>
        <v>271.73544012419364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-3.4106051316484809E-13</v>
      </c>
      <c r="BE174" s="14">
        <f>BD174*VLOOKUP('Données projet'!$B$11,Paramètres!$A$1:$I$89,3,0)*VLOOKUP('Données projet'!$B$11,Paramètres!$A$1:$I$89,5,0)</f>
        <v>-1.9065282685915009E-13</v>
      </c>
      <c r="BF174" s="14" t="e">
        <f t="shared" si="167"/>
        <v>#NUM!</v>
      </c>
      <c r="BG174" s="22" t="e">
        <f t="shared" si="168"/>
        <v>#NUM!</v>
      </c>
      <c r="BH174" s="61" t="e">
        <f t="shared" si="116"/>
        <v>#NUM!</v>
      </c>
      <c r="BI174" s="61">
        <f ca="1">AVERAGE(OFFSET($BH$3,0,0,'Données projet'!$E$11+1,1))-AVERAGE(OFFSET($H$3,0,0,'Données projet'!$E$11+1,1))</f>
        <v>374.79806286316051</v>
      </c>
      <c r="BJ174" s="61">
        <f t="shared" si="146"/>
        <v>350.01856672839466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0.44658051972129797</v>
      </c>
      <c r="BR174" s="23">
        <f>EXP(-LN(2)/2)*BR173+(1-EXP(-LN(2)/2))/(LN(2)/2)*BL174*BO174*VLOOKUP('Données projet'!$B$11,Paramètres!$A$1:$I$89,3,0)*0.475*44/12</f>
        <v>6.5930305482454082E-21</v>
      </c>
      <c r="BS174" s="24">
        <f t="shared" si="169"/>
        <v>0.44658051972129797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5.6843418860808015E-13</v>
      </c>
      <c r="BZ174" s="14">
        <f>BY174*VLOOKUP('Données projet'!$B$12,Paramètres!$A$1:$I$89,3,0)*VLOOKUP('Données projet'!$B$12,Paramètres!$A$1:$I$89,5,0)</f>
        <v>2.6602720026858149E-13</v>
      </c>
      <c r="CA174" s="14">
        <f t="shared" si="170"/>
        <v>3.5662905043956649E-12</v>
      </c>
      <c r="CB174" s="22">
        <f t="shared" si="171"/>
        <v>6.6746200022902298E-12</v>
      </c>
      <c r="CC174" s="61">
        <f t="shared" si="119"/>
        <v>293.33333333333997</v>
      </c>
      <c r="CD174" s="61">
        <f ca="1">AVERAGE(OFFSET($CC$3,0,0,'Données projet'!$E$12+1,1))-AVERAGE(OFFSET($H$3,0,0,'Données projet'!$E$12+1,1))</f>
        <v>285.59863510278109</v>
      </c>
      <c r="CE174" s="61">
        <f t="shared" si="148"/>
        <v>190.4880882944471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5.4683368944097308E-14</v>
      </c>
      <c r="CV174" s="14">
        <f t="shared" si="173"/>
        <v>8.8129432816788268E-13</v>
      </c>
      <c r="CW174" s="22">
        <f t="shared" si="174"/>
        <v>1.6301611558033651E-12</v>
      </c>
      <c r="CX174" s="61">
        <f t="shared" si="122"/>
        <v>293.33333333333496</v>
      </c>
      <c r="CY174" s="61">
        <f ca="1">AVERAGE(OFFSET($CX$3,0,0,'Données projet'!$E$13+1,1))-AVERAGE(OFFSET($H$3,0,0,'Données projet'!$E$13+1,1))</f>
        <v>273.72618036666552</v>
      </c>
      <c r="CZ174" s="61">
        <f t="shared" si="150"/>
        <v>157.67999791700714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1.7053025658242404E-13</v>
      </c>
      <c r="DP174" s="18">
        <f>DO174*VLOOKUP('Données projet'!$B$14,Paramètres!$A$1:$I$89,3,0)*VLOOKUP('Données projet'!$B$14,Paramètres!$A$1:$I$89,5,0)</f>
        <v>1.1439169611549005E-13</v>
      </c>
      <c r="DQ174" s="14">
        <f t="shared" si="176"/>
        <v>1.6918016515029816E-12</v>
      </c>
      <c r="DR174" s="22">
        <f t="shared" si="177"/>
        <v>3.1457867471021712E-12</v>
      </c>
      <c r="DS174" s="61">
        <f t="shared" si="125"/>
        <v>293.33333333333644</v>
      </c>
      <c r="DT174" s="61">
        <f ca="1">AVERAGE(OFFSET($DS$3,0,0,'Données projet'!$E$14+1,1))-AVERAGE(OFFSET($H$3,0,0,'Données projet'!$E$14+1,1))</f>
        <v>312.06797204903796</v>
      </c>
      <c r="DU174" s="61">
        <f t="shared" si="152"/>
        <v>258.20189001775151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1.4210854715202004E-13</v>
      </c>
      <c r="EK174" s="18">
        <f>EJ174*VLOOKUP('Données projet'!$B$15,Paramètres!$A$1:$I$89,3,0)*VLOOKUP('Données projet'!$B$15,Paramètres!$A$1:$I$89,5,0)</f>
        <v>1.1527845344971866E-13</v>
      </c>
      <c r="EL174" s="14">
        <f t="shared" si="179"/>
        <v>1.7033846239409443E-12</v>
      </c>
      <c r="EM174" s="22">
        <f t="shared" si="180"/>
        <v>3.1675048597887374E-12</v>
      </c>
      <c r="EN174" s="61">
        <f t="shared" si="128"/>
        <v>293.3333333333365</v>
      </c>
      <c r="EO174" s="61">
        <f ca="1">AVERAGE(OFFSET($EN$3,0,0,'Données projet'!$E$15+1,1))-AVERAGE(OFFSET($H$3,0,0,'Données projet'!$E$15+1,1))</f>
        <v>222.15256609836689</v>
      </c>
      <c r="EP174" s="61">
        <f t="shared" si="154"/>
        <v>221.10360210521077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1.1368683772161603E-13</v>
      </c>
      <c r="FF174" s="18">
        <f>FE174*VLOOKUP('Données projet'!$B$16,Paramètres!$A$1:$I$89,3,0)*VLOOKUP('Données projet'!$B$16,Paramètres!$A$1:$I$89,5,0)</f>
        <v>8.8675733422860506E-14</v>
      </c>
      <c r="FG174" s="14">
        <f t="shared" si="182"/>
        <v>1.3509285393066301E-12</v>
      </c>
      <c r="FH174" s="22">
        <f t="shared" si="183"/>
        <v>2.5073107750038623E-12</v>
      </c>
      <c r="FI174" s="61">
        <f t="shared" si="131"/>
        <v>293.33333333333582</v>
      </c>
      <c r="FJ174" s="61">
        <f ca="1">AVERAGE(OFFSET($FI$3,0,0,'Données projet'!$E$16+1,1))-AVERAGE(OFFSET($H$3,0,0,'Données projet'!$E$16+1,1))</f>
        <v>292.57482726862594</v>
      </c>
      <c r="FK174" s="61">
        <f t="shared" si="156"/>
        <v>283.48738729114024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-9.6633812063373625E-13</v>
      </c>
      <c r="GA174" s="18">
        <f>FZ174*VLOOKUP('Données projet'!$B$17,Paramètres!$A$1:$I$89,3,0)*VLOOKUP('Données projet'!$B$17,Paramètres!$A$1:$I$89,5,0)</f>
        <v>-9.3464223027694966E-13</v>
      </c>
      <c r="GB174" s="14" t="e">
        <f t="shared" si="185"/>
        <v>#NUM!</v>
      </c>
      <c r="GC174" s="22" t="e">
        <f t="shared" si="186"/>
        <v>#NUM!</v>
      </c>
      <c r="GD174" s="61" t="e">
        <f t="shared" si="134"/>
        <v>#NUM!</v>
      </c>
      <c r="GE174" s="61">
        <f ca="1">AVERAGE(OFFSET($GD$3,0,0,'Données projet'!$E$17+1,1))-AVERAGE(OFFSET($H$3,0,0,'Données projet'!$E$17+1,1))</f>
        <v>455.50822833641354</v>
      </c>
      <c r="GF174" s="61">
        <f t="shared" si="158"/>
        <v>261.14722581688039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0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0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-9.6633812063373625E-13</v>
      </c>
      <c r="GV174" s="18">
        <f>GU174*VLOOKUP('Données projet'!$B$18,Paramètres!$A$1:$I$89,3,0)*VLOOKUP('Données projet'!$B$18,Paramètres!$A$1:$I$89,5,0)</f>
        <v>-1.0401663530501537E-12</v>
      </c>
      <c r="GW174" s="14" t="e">
        <f t="shared" si="188"/>
        <v>#NUM!</v>
      </c>
      <c r="GX174" s="22" t="e">
        <f t="shared" si="189"/>
        <v>#NUM!</v>
      </c>
      <c r="GY174" s="61" t="e">
        <f t="shared" si="137"/>
        <v>#NUM!</v>
      </c>
      <c r="GZ174" s="61">
        <f ca="1">AVERAGE(OFFSET($GY$3,0,0,'Données projet'!$E$18+1,1))-AVERAGE(OFFSET($H$3,0,0,'Données projet'!$E$18+1,1))</f>
        <v>502.07782026233912</v>
      </c>
      <c r="HA174" s="61">
        <f t="shared" si="160"/>
        <v>285.83623046025156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0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0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-8.7434273154940449E-13</v>
      </c>
      <c r="P175" s="14" t="e">
        <f t="shared" si="141"/>
        <v>#NUM!</v>
      </c>
      <c r="Q175" s="22" t="e">
        <f t="shared" si="162"/>
        <v>#NUM!</v>
      </c>
      <c r="R175" s="61" t="e">
        <f t="shared" si="109"/>
        <v>#NUM!</v>
      </c>
      <c r="S175" s="61">
        <f ca="1">AVERAGE(OFFSET($R$3,0,0,'Données projet'!$E$9+1,1))-AVERAGE(OFFSET($H$3,0,0,'Données projet'!$E$9+1,1))</f>
        <v>428.8489304403459</v>
      </c>
      <c r="T175" s="61">
        <f t="shared" si="142"/>
        <v>247.01165577562966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1" t="e">
        <f t="shared" si="113"/>
        <v>#NUM!</v>
      </c>
      <c r="AN175" s="61">
        <f ca="1">AVERAGE(OFFSET($AM$3,0,0,'Données projet'!$E$10+1,1))-AVERAGE(OFFSET($H$3,0,0,'Données projet'!$E$10+1,1))</f>
        <v>475.47920969424894</v>
      </c>
      <c r="AO175" s="61">
        <f t="shared" si="144"/>
        <v>271.73544012419364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-3.4106051316484809E-13</v>
      </c>
      <c r="BE175" s="14">
        <f>BD175*VLOOKUP('Données projet'!$B$11,Paramètres!$A$1:$I$89,3,0)*VLOOKUP('Données projet'!$B$11,Paramètres!$A$1:$I$89,5,0)</f>
        <v>-1.9065282685915009E-13</v>
      </c>
      <c r="BF175" s="14" t="e">
        <f t="shared" si="167"/>
        <v>#NUM!</v>
      </c>
      <c r="BG175" s="22" t="e">
        <f t="shared" si="168"/>
        <v>#NUM!</v>
      </c>
      <c r="BH175" s="61" t="e">
        <f t="shared" si="116"/>
        <v>#NUM!</v>
      </c>
      <c r="BI175" s="61">
        <f ca="1">AVERAGE(OFFSET($BH$3,0,0,'Données projet'!$E$11+1,1))-AVERAGE(OFFSET($H$3,0,0,'Données projet'!$E$11+1,1))</f>
        <v>374.79806286316051</v>
      </c>
      <c r="BJ175" s="61">
        <f t="shared" si="146"/>
        <v>350.01856672839466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0.43436875192487023</v>
      </c>
      <c r="BR175" s="23">
        <f>EXP(-LN(2)/2)*BR174+(1-EXP(-LN(2)/2))/(LN(2)/2)*BL175*BO175*VLOOKUP('Données projet'!$B$11,Paramètres!$A$1:$I$89,3,0)*0.475*44/12</f>
        <v>4.6619766092343899E-21</v>
      </c>
      <c r="BS175" s="24">
        <f t="shared" si="169"/>
        <v>0.43436875192487023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5.6843418860808015E-13</v>
      </c>
      <c r="BZ175" s="14">
        <f>BY175*VLOOKUP('Données projet'!$B$12,Paramètres!$A$1:$I$89,3,0)*VLOOKUP('Données projet'!$B$12,Paramètres!$A$1:$I$89,5,0)</f>
        <v>2.6602720026858149E-13</v>
      </c>
      <c r="CA175" s="14">
        <f t="shared" si="170"/>
        <v>3.5662905043956649E-12</v>
      </c>
      <c r="CB175" s="22">
        <f t="shared" si="171"/>
        <v>6.6746200022902298E-12</v>
      </c>
      <c r="CC175" s="61">
        <f t="shared" si="119"/>
        <v>293.33333333333997</v>
      </c>
      <c r="CD175" s="61">
        <f ca="1">AVERAGE(OFFSET($CC$3,0,0,'Données projet'!$E$12+1,1))-AVERAGE(OFFSET($H$3,0,0,'Données projet'!$E$12+1,1))</f>
        <v>285.59863510278109</v>
      </c>
      <c r="CE175" s="61">
        <f t="shared" si="148"/>
        <v>190.4880882944471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5.4683368944097308E-14</v>
      </c>
      <c r="CV175" s="14">
        <f t="shared" si="173"/>
        <v>8.8129432816788268E-13</v>
      </c>
      <c r="CW175" s="22">
        <f t="shared" si="174"/>
        <v>1.6301611558033651E-12</v>
      </c>
      <c r="CX175" s="61">
        <f t="shared" si="122"/>
        <v>293.33333333333496</v>
      </c>
      <c r="CY175" s="61">
        <f ca="1">AVERAGE(OFFSET($CX$3,0,0,'Données projet'!$E$13+1,1))-AVERAGE(OFFSET($H$3,0,0,'Données projet'!$E$13+1,1))</f>
        <v>273.72618036666552</v>
      </c>
      <c r="CZ175" s="61">
        <f t="shared" si="150"/>
        <v>157.67999791700714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1.7053025658242404E-13</v>
      </c>
      <c r="DP175" s="18">
        <f>DO175*VLOOKUP('Données projet'!$B$14,Paramètres!$A$1:$I$89,3,0)*VLOOKUP('Données projet'!$B$14,Paramètres!$A$1:$I$89,5,0)</f>
        <v>1.1439169611549005E-13</v>
      </c>
      <c r="DQ175" s="14">
        <f t="shared" si="176"/>
        <v>1.6918016515029816E-12</v>
      </c>
      <c r="DR175" s="22">
        <f t="shared" si="177"/>
        <v>3.1457867471021712E-12</v>
      </c>
      <c r="DS175" s="61">
        <f t="shared" si="125"/>
        <v>293.33333333333644</v>
      </c>
      <c r="DT175" s="61">
        <f ca="1">AVERAGE(OFFSET($DS$3,0,0,'Données projet'!$E$14+1,1))-AVERAGE(OFFSET($H$3,0,0,'Données projet'!$E$14+1,1))</f>
        <v>312.06797204903796</v>
      </c>
      <c r="DU175" s="61">
        <f t="shared" si="152"/>
        <v>258.20189001775151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1.4210854715202004E-13</v>
      </c>
      <c r="EK175" s="18">
        <f>EJ175*VLOOKUP('Données projet'!$B$15,Paramètres!$A$1:$I$89,3,0)*VLOOKUP('Données projet'!$B$15,Paramètres!$A$1:$I$89,5,0)</f>
        <v>1.1527845344971866E-13</v>
      </c>
      <c r="EL175" s="14">
        <f t="shared" si="179"/>
        <v>1.7033846239409443E-12</v>
      </c>
      <c r="EM175" s="22">
        <f t="shared" si="180"/>
        <v>3.1675048597887374E-12</v>
      </c>
      <c r="EN175" s="61">
        <f t="shared" si="128"/>
        <v>293.3333333333365</v>
      </c>
      <c r="EO175" s="61">
        <f ca="1">AVERAGE(OFFSET($EN$3,0,0,'Données projet'!$E$15+1,1))-AVERAGE(OFFSET($H$3,0,0,'Données projet'!$E$15+1,1))</f>
        <v>222.15256609836689</v>
      </c>
      <c r="EP175" s="61">
        <f t="shared" si="154"/>
        <v>221.10360210521077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1.1368683772161603E-13</v>
      </c>
      <c r="FF175" s="18">
        <f>FE175*VLOOKUP('Données projet'!$B$16,Paramètres!$A$1:$I$89,3,0)*VLOOKUP('Données projet'!$B$16,Paramètres!$A$1:$I$89,5,0)</f>
        <v>8.8675733422860506E-14</v>
      </c>
      <c r="FG175" s="14">
        <f t="shared" si="182"/>
        <v>1.3509285393066301E-12</v>
      </c>
      <c r="FH175" s="22">
        <f t="shared" si="183"/>
        <v>2.5073107750038623E-12</v>
      </c>
      <c r="FI175" s="61">
        <f t="shared" si="131"/>
        <v>293.33333333333582</v>
      </c>
      <c r="FJ175" s="61">
        <f ca="1">AVERAGE(OFFSET($FI$3,0,0,'Données projet'!$E$16+1,1))-AVERAGE(OFFSET($H$3,0,0,'Données projet'!$E$16+1,1))</f>
        <v>292.57482726862594</v>
      </c>
      <c r="FK175" s="61">
        <f t="shared" si="156"/>
        <v>283.48738729114024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-9.6633812063373625E-13</v>
      </c>
      <c r="GA175" s="18">
        <f>FZ175*VLOOKUP('Données projet'!$B$17,Paramètres!$A$1:$I$89,3,0)*VLOOKUP('Données projet'!$B$17,Paramètres!$A$1:$I$89,5,0)</f>
        <v>-9.3464223027694966E-13</v>
      </c>
      <c r="GB175" s="14" t="e">
        <f t="shared" si="185"/>
        <v>#NUM!</v>
      </c>
      <c r="GC175" s="22" t="e">
        <f t="shared" si="186"/>
        <v>#NUM!</v>
      </c>
      <c r="GD175" s="61" t="e">
        <f t="shared" si="134"/>
        <v>#NUM!</v>
      </c>
      <c r="GE175" s="61">
        <f ca="1">AVERAGE(OFFSET($GD$3,0,0,'Données projet'!$E$17+1,1))-AVERAGE(OFFSET($H$3,0,0,'Données projet'!$E$17+1,1))</f>
        <v>455.50822833641354</v>
      </c>
      <c r="GF175" s="61">
        <f t="shared" si="158"/>
        <v>261.14722581688039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0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0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-9.6633812063373625E-13</v>
      </c>
      <c r="GV175" s="18">
        <f>GU175*VLOOKUP('Données projet'!$B$18,Paramètres!$A$1:$I$89,3,0)*VLOOKUP('Données projet'!$B$18,Paramètres!$A$1:$I$89,5,0)</f>
        <v>-1.0401663530501537E-12</v>
      </c>
      <c r="GW175" s="14" t="e">
        <f t="shared" si="188"/>
        <v>#NUM!</v>
      </c>
      <c r="GX175" s="22" t="e">
        <f t="shared" si="189"/>
        <v>#NUM!</v>
      </c>
      <c r="GY175" s="61" t="e">
        <f t="shared" si="137"/>
        <v>#NUM!</v>
      </c>
      <c r="GZ175" s="61">
        <f ca="1">AVERAGE(OFFSET($GY$3,0,0,'Données projet'!$E$18+1,1))-AVERAGE(OFFSET($H$3,0,0,'Données projet'!$E$18+1,1))</f>
        <v>502.07782026233912</v>
      </c>
      <c r="HA175" s="61">
        <f t="shared" si="160"/>
        <v>285.83623046025156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0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0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-8.7434273154940449E-13</v>
      </c>
      <c r="P176" s="14" t="e">
        <f t="shared" si="141"/>
        <v>#NUM!</v>
      </c>
      <c r="Q176" s="22" t="e">
        <f t="shared" si="162"/>
        <v>#NUM!</v>
      </c>
      <c r="R176" s="61" t="e">
        <f t="shared" si="109"/>
        <v>#NUM!</v>
      </c>
      <c r="S176" s="61">
        <f ca="1">AVERAGE(OFFSET($R$3,0,0,'Données projet'!$E$9+1,1))-AVERAGE(OFFSET($H$3,0,0,'Données projet'!$E$9+1,1))</f>
        <v>428.8489304403459</v>
      </c>
      <c r="T176" s="61">
        <f t="shared" si="142"/>
        <v>247.01165577562966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1" t="e">
        <f t="shared" si="113"/>
        <v>#NUM!</v>
      </c>
      <c r="AN176" s="61">
        <f ca="1">AVERAGE(OFFSET($AM$3,0,0,'Données projet'!$E$10+1,1))-AVERAGE(OFFSET($H$3,0,0,'Données projet'!$E$10+1,1))</f>
        <v>475.47920969424894</v>
      </c>
      <c r="AO176" s="61">
        <f t="shared" si="144"/>
        <v>271.73544012419364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-3.4106051316484809E-13</v>
      </c>
      <c r="BE176" s="14">
        <f>BD176*VLOOKUP('Données projet'!$B$11,Paramètres!$A$1:$I$89,3,0)*VLOOKUP('Données projet'!$B$11,Paramètres!$A$1:$I$89,5,0)</f>
        <v>-1.9065282685915009E-13</v>
      </c>
      <c r="BF176" s="14" t="e">
        <f t="shared" si="167"/>
        <v>#NUM!</v>
      </c>
      <c r="BG176" s="22" t="e">
        <f t="shared" si="168"/>
        <v>#NUM!</v>
      </c>
      <c r="BH176" s="61" t="e">
        <f t="shared" si="116"/>
        <v>#NUM!</v>
      </c>
      <c r="BI176" s="61">
        <f ca="1">AVERAGE(OFFSET($BH$3,0,0,'Données projet'!$E$11+1,1))-AVERAGE(OFFSET($H$3,0,0,'Données projet'!$E$11+1,1))</f>
        <v>374.79806286316051</v>
      </c>
      <c r="BJ176" s="61">
        <f t="shared" si="146"/>
        <v>350.01856672839466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0.42249091556102475</v>
      </c>
      <c r="BR176" s="23">
        <f>EXP(-LN(2)/2)*BR175+(1-EXP(-LN(2)/2))/(LN(2)/2)*BL176*BO176*VLOOKUP('Données projet'!$B$11,Paramètres!$A$1:$I$89,3,0)*0.475*44/12</f>
        <v>3.2965152741227048E-21</v>
      </c>
      <c r="BS176" s="24">
        <f t="shared" si="169"/>
        <v>0.42249091556102475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5.6843418860808015E-13</v>
      </c>
      <c r="BZ176" s="14">
        <f>BY176*VLOOKUP('Données projet'!$B$12,Paramètres!$A$1:$I$89,3,0)*VLOOKUP('Données projet'!$B$12,Paramètres!$A$1:$I$89,5,0)</f>
        <v>2.6602720026858149E-13</v>
      </c>
      <c r="CA176" s="14">
        <f t="shared" si="170"/>
        <v>3.5662905043956649E-12</v>
      </c>
      <c r="CB176" s="22">
        <f t="shared" si="171"/>
        <v>6.6746200022902298E-12</v>
      </c>
      <c r="CC176" s="61">
        <f t="shared" si="119"/>
        <v>293.33333333333997</v>
      </c>
      <c r="CD176" s="61">
        <f ca="1">AVERAGE(OFFSET($CC$3,0,0,'Données projet'!$E$12+1,1))-AVERAGE(OFFSET($H$3,0,0,'Données projet'!$E$12+1,1))</f>
        <v>285.59863510278109</v>
      </c>
      <c r="CE176" s="61">
        <f t="shared" si="148"/>
        <v>190.4880882944471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5.4683368944097308E-14</v>
      </c>
      <c r="CV176" s="14">
        <f t="shared" si="173"/>
        <v>8.8129432816788268E-13</v>
      </c>
      <c r="CW176" s="22">
        <f t="shared" si="174"/>
        <v>1.6301611558033651E-12</v>
      </c>
      <c r="CX176" s="61">
        <f t="shared" si="122"/>
        <v>293.33333333333496</v>
      </c>
      <c r="CY176" s="61">
        <f ca="1">AVERAGE(OFFSET($CX$3,0,0,'Données projet'!$E$13+1,1))-AVERAGE(OFFSET($H$3,0,0,'Données projet'!$E$13+1,1))</f>
        <v>273.72618036666552</v>
      </c>
      <c r="CZ176" s="61">
        <f t="shared" si="150"/>
        <v>157.67999791700714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1.7053025658242404E-13</v>
      </c>
      <c r="DP176" s="18">
        <f>DO176*VLOOKUP('Données projet'!$B$14,Paramètres!$A$1:$I$89,3,0)*VLOOKUP('Données projet'!$B$14,Paramètres!$A$1:$I$89,5,0)</f>
        <v>1.1439169611549005E-13</v>
      </c>
      <c r="DQ176" s="14">
        <f t="shared" si="176"/>
        <v>1.6918016515029816E-12</v>
      </c>
      <c r="DR176" s="22">
        <f t="shared" si="177"/>
        <v>3.1457867471021712E-12</v>
      </c>
      <c r="DS176" s="61">
        <f t="shared" si="125"/>
        <v>293.33333333333644</v>
      </c>
      <c r="DT176" s="61">
        <f ca="1">AVERAGE(OFFSET($DS$3,0,0,'Données projet'!$E$14+1,1))-AVERAGE(OFFSET($H$3,0,0,'Données projet'!$E$14+1,1))</f>
        <v>312.06797204903796</v>
      </c>
      <c r="DU176" s="61">
        <f t="shared" si="152"/>
        <v>258.20189001775151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1.4210854715202004E-13</v>
      </c>
      <c r="EK176" s="18">
        <f>EJ176*VLOOKUP('Données projet'!$B$15,Paramètres!$A$1:$I$89,3,0)*VLOOKUP('Données projet'!$B$15,Paramètres!$A$1:$I$89,5,0)</f>
        <v>1.1527845344971866E-13</v>
      </c>
      <c r="EL176" s="14">
        <f t="shared" si="179"/>
        <v>1.7033846239409443E-12</v>
      </c>
      <c r="EM176" s="22">
        <f t="shared" si="180"/>
        <v>3.1675048597887374E-12</v>
      </c>
      <c r="EN176" s="61">
        <f t="shared" si="128"/>
        <v>293.3333333333365</v>
      </c>
      <c r="EO176" s="61">
        <f ca="1">AVERAGE(OFFSET($EN$3,0,0,'Données projet'!$E$15+1,1))-AVERAGE(OFFSET($H$3,0,0,'Données projet'!$E$15+1,1))</f>
        <v>222.15256609836689</v>
      </c>
      <c r="EP176" s="61">
        <f t="shared" si="154"/>
        <v>221.10360210521077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1.1368683772161603E-13</v>
      </c>
      <c r="FF176" s="18">
        <f>FE176*VLOOKUP('Données projet'!$B$16,Paramètres!$A$1:$I$89,3,0)*VLOOKUP('Données projet'!$B$16,Paramètres!$A$1:$I$89,5,0)</f>
        <v>8.8675733422860506E-14</v>
      </c>
      <c r="FG176" s="14">
        <f t="shared" si="182"/>
        <v>1.3509285393066301E-12</v>
      </c>
      <c r="FH176" s="22">
        <f t="shared" si="183"/>
        <v>2.5073107750038623E-12</v>
      </c>
      <c r="FI176" s="61">
        <f t="shared" si="131"/>
        <v>293.33333333333582</v>
      </c>
      <c r="FJ176" s="61">
        <f ca="1">AVERAGE(OFFSET($FI$3,0,0,'Données projet'!$E$16+1,1))-AVERAGE(OFFSET($H$3,0,0,'Données projet'!$E$16+1,1))</f>
        <v>292.57482726862594</v>
      </c>
      <c r="FK176" s="61">
        <f t="shared" si="156"/>
        <v>283.48738729114024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-9.6633812063373625E-13</v>
      </c>
      <c r="GA176" s="18">
        <f>FZ176*VLOOKUP('Données projet'!$B$17,Paramètres!$A$1:$I$89,3,0)*VLOOKUP('Données projet'!$B$17,Paramètres!$A$1:$I$89,5,0)</f>
        <v>-9.3464223027694966E-13</v>
      </c>
      <c r="GB176" s="14" t="e">
        <f t="shared" si="185"/>
        <v>#NUM!</v>
      </c>
      <c r="GC176" s="22" t="e">
        <f t="shared" si="186"/>
        <v>#NUM!</v>
      </c>
      <c r="GD176" s="61" t="e">
        <f t="shared" si="134"/>
        <v>#NUM!</v>
      </c>
      <c r="GE176" s="61">
        <f ca="1">AVERAGE(OFFSET($GD$3,0,0,'Données projet'!$E$17+1,1))-AVERAGE(OFFSET($H$3,0,0,'Données projet'!$E$17+1,1))</f>
        <v>455.50822833641354</v>
      </c>
      <c r="GF176" s="61">
        <f t="shared" si="158"/>
        <v>261.14722581688039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0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0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-9.6633812063373625E-13</v>
      </c>
      <c r="GV176" s="18">
        <f>GU176*VLOOKUP('Données projet'!$B$18,Paramètres!$A$1:$I$89,3,0)*VLOOKUP('Données projet'!$B$18,Paramètres!$A$1:$I$89,5,0)</f>
        <v>-1.0401663530501537E-12</v>
      </c>
      <c r="GW176" s="14" t="e">
        <f t="shared" si="188"/>
        <v>#NUM!</v>
      </c>
      <c r="GX176" s="22" t="e">
        <f t="shared" si="189"/>
        <v>#NUM!</v>
      </c>
      <c r="GY176" s="61" t="e">
        <f t="shared" si="137"/>
        <v>#NUM!</v>
      </c>
      <c r="GZ176" s="61">
        <f ca="1">AVERAGE(OFFSET($GY$3,0,0,'Données projet'!$E$18+1,1))-AVERAGE(OFFSET($H$3,0,0,'Données projet'!$E$18+1,1))</f>
        <v>502.07782026233912</v>
      </c>
      <c r="HA176" s="61">
        <f t="shared" si="160"/>
        <v>285.83623046025156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0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0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-8.7434273154940449E-13</v>
      </c>
      <c r="P177" s="14" t="e">
        <f t="shared" si="141"/>
        <v>#NUM!</v>
      </c>
      <c r="Q177" s="22" t="e">
        <f t="shared" si="162"/>
        <v>#NUM!</v>
      </c>
      <c r="R177" s="61" t="e">
        <f t="shared" si="109"/>
        <v>#NUM!</v>
      </c>
      <c r="S177" s="61">
        <f ca="1">AVERAGE(OFFSET($R$3,0,0,'Données projet'!$E$9+1,1))-AVERAGE(OFFSET($H$3,0,0,'Données projet'!$E$9+1,1))</f>
        <v>428.8489304403459</v>
      </c>
      <c r="T177" s="61">
        <f t="shared" si="142"/>
        <v>247.01165577562966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1" t="e">
        <f t="shared" si="113"/>
        <v>#NUM!</v>
      </c>
      <c r="AN177" s="61">
        <f ca="1">AVERAGE(OFFSET($AM$3,0,0,'Données projet'!$E$10+1,1))-AVERAGE(OFFSET($H$3,0,0,'Données projet'!$E$10+1,1))</f>
        <v>475.47920969424894</v>
      </c>
      <c r="AO177" s="61">
        <f t="shared" si="144"/>
        <v>271.73544012419364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-3.4106051316484809E-13</v>
      </c>
      <c r="BE177" s="14">
        <f>BD177*VLOOKUP('Données projet'!$B$11,Paramètres!$A$1:$I$89,3,0)*VLOOKUP('Données projet'!$B$11,Paramètres!$A$1:$I$89,5,0)</f>
        <v>-1.9065282685915009E-13</v>
      </c>
      <c r="BF177" s="14" t="e">
        <f t="shared" si="167"/>
        <v>#NUM!</v>
      </c>
      <c r="BG177" s="22" t="e">
        <f t="shared" si="168"/>
        <v>#NUM!</v>
      </c>
      <c r="BH177" s="61" t="e">
        <f t="shared" si="116"/>
        <v>#NUM!</v>
      </c>
      <c r="BI177" s="61">
        <f ca="1">AVERAGE(OFFSET($BH$3,0,0,'Données projet'!$E$11+1,1))-AVERAGE(OFFSET($H$3,0,0,'Données projet'!$E$11+1,1))</f>
        <v>374.79806286316051</v>
      </c>
      <c r="BJ177" s="61">
        <f t="shared" si="146"/>
        <v>350.01856672839466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0.4109378792571769</v>
      </c>
      <c r="BR177" s="23">
        <f>EXP(-LN(2)/2)*BR176+(1-EXP(-LN(2)/2))/(LN(2)/2)*BL177*BO177*VLOOKUP('Données projet'!$B$11,Paramètres!$A$1:$I$89,3,0)*0.475*44/12</f>
        <v>2.3309883046171953E-21</v>
      </c>
      <c r="BS177" s="24">
        <f t="shared" si="169"/>
        <v>0.4109378792571769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5.6843418860808015E-13</v>
      </c>
      <c r="BZ177" s="14">
        <f>BY177*VLOOKUP('Données projet'!$B$12,Paramètres!$A$1:$I$89,3,0)*VLOOKUP('Données projet'!$B$12,Paramètres!$A$1:$I$89,5,0)</f>
        <v>2.6602720026858149E-13</v>
      </c>
      <c r="CA177" s="14">
        <f t="shared" si="170"/>
        <v>3.5662905043956649E-12</v>
      </c>
      <c r="CB177" s="22">
        <f t="shared" si="171"/>
        <v>6.6746200022902298E-12</v>
      </c>
      <c r="CC177" s="61">
        <f t="shared" si="119"/>
        <v>293.33333333333997</v>
      </c>
      <c r="CD177" s="61">
        <f ca="1">AVERAGE(OFFSET($CC$3,0,0,'Données projet'!$E$12+1,1))-AVERAGE(OFFSET($H$3,0,0,'Données projet'!$E$12+1,1))</f>
        <v>285.59863510278109</v>
      </c>
      <c r="CE177" s="61">
        <f t="shared" si="148"/>
        <v>190.4880882944471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5.4683368944097308E-14</v>
      </c>
      <c r="CV177" s="14">
        <f t="shared" si="173"/>
        <v>8.8129432816788268E-13</v>
      </c>
      <c r="CW177" s="22">
        <f t="shared" si="174"/>
        <v>1.6301611558033651E-12</v>
      </c>
      <c r="CX177" s="61">
        <f t="shared" si="122"/>
        <v>293.33333333333496</v>
      </c>
      <c r="CY177" s="61">
        <f ca="1">AVERAGE(OFFSET($CX$3,0,0,'Données projet'!$E$13+1,1))-AVERAGE(OFFSET($H$3,0,0,'Données projet'!$E$13+1,1))</f>
        <v>273.72618036666552</v>
      </c>
      <c r="CZ177" s="61">
        <f t="shared" si="150"/>
        <v>157.67999791700714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1.7053025658242404E-13</v>
      </c>
      <c r="DP177" s="18">
        <f>DO177*VLOOKUP('Données projet'!$B$14,Paramètres!$A$1:$I$89,3,0)*VLOOKUP('Données projet'!$B$14,Paramètres!$A$1:$I$89,5,0)</f>
        <v>1.1439169611549005E-13</v>
      </c>
      <c r="DQ177" s="14">
        <f t="shared" si="176"/>
        <v>1.6918016515029816E-12</v>
      </c>
      <c r="DR177" s="22">
        <f t="shared" si="177"/>
        <v>3.1457867471021712E-12</v>
      </c>
      <c r="DS177" s="61">
        <f t="shared" si="125"/>
        <v>293.33333333333644</v>
      </c>
      <c r="DT177" s="61">
        <f ca="1">AVERAGE(OFFSET($DS$3,0,0,'Données projet'!$E$14+1,1))-AVERAGE(OFFSET($H$3,0,0,'Données projet'!$E$14+1,1))</f>
        <v>312.06797204903796</v>
      </c>
      <c r="DU177" s="61">
        <f t="shared" si="152"/>
        <v>258.20189001775151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1.4210854715202004E-13</v>
      </c>
      <c r="EK177" s="18">
        <f>EJ177*VLOOKUP('Données projet'!$B$15,Paramètres!$A$1:$I$89,3,0)*VLOOKUP('Données projet'!$B$15,Paramètres!$A$1:$I$89,5,0)</f>
        <v>1.1527845344971866E-13</v>
      </c>
      <c r="EL177" s="14">
        <f t="shared" si="179"/>
        <v>1.7033846239409443E-12</v>
      </c>
      <c r="EM177" s="22">
        <f t="shared" si="180"/>
        <v>3.1675048597887374E-12</v>
      </c>
      <c r="EN177" s="61">
        <f t="shared" si="128"/>
        <v>293.3333333333365</v>
      </c>
      <c r="EO177" s="61">
        <f ca="1">AVERAGE(OFFSET($EN$3,0,0,'Données projet'!$E$15+1,1))-AVERAGE(OFFSET($H$3,0,0,'Données projet'!$E$15+1,1))</f>
        <v>222.15256609836689</v>
      </c>
      <c r="EP177" s="61">
        <f t="shared" si="154"/>
        <v>221.10360210521077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1.1368683772161603E-13</v>
      </c>
      <c r="FF177" s="18">
        <f>FE177*VLOOKUP('Données projet'!$B$16,Paramètres!$A$1:$I$89,3,0)*VLOOKUP('Données projet'!$B$16,Paramètres!$A$1:$I$89,5,0)</f>
        <v>8.8675733422860506E-14</v>
      </c>
      <c r="FG177" s="14">
        <f t="shared" si="182"/>
        <v>1.3509285393066301E-12</v>
      </c>
      <c r="FH177" s="22">
        <f t="shared" si="183"/>
        <v>2.5073107750038623E-12</v>
      </c>
      <c r="FI177" s="61">
        <f t="shared" si="131"/>
        <v>293.33333333333582</v>
      </c>
      <c r="FJ177" s="61">
        <f ca="1">AVERAGE(OFFSET($FI$3,0,0,'Données projet'!$E$16+1,1))-AVERAGE(OFFSET($H$3,0,0,'Données projet'!$E$16+1,1))</f>
        <v>292.57482726862594</v>
      </c>
      <c r="FK177" s="61">
        <f t="shared" si="156"/>
        <v>283.48738729114024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-9.6633812063373625E-13</v>
      </c>
      <c r="GA177" s="18">
        <f>FZ177*VLOOKUP('Données projet'!$B$17,Paramètres!$A$1:$I$89,3,0)*VLOOKUP('Données projet'!$B$17,Paramètres!$A$1:$I$89,5,0)</f>
        <v>-9.3464223027694966E-13</v>
      </c>
      <c r="GB177" s="14" t="e">
        <f t="shared" si="185"/>
        <v>#NUM!</v>
      </c>
      <c r="GC177" s="22" t="e">
        <f t="shared" si="186"/>
        <v>#NUM!</v>
      </c>
      <c r="GD177" s="61" t="e">
        <f t="shared" si="134"/>
        <v>#NUM!</v>
      </c>
      <c r="GE177" s="61">
        <f ca="1">AVERAGE(OFFSET($GD$3,0,0,'Données projet'!$E$17+1,1))-AVERAGE(OFFSET($H$3,0,0,'Données projet'!$E$17+1,1))</f>
        <v>455.50822833641354</v>
      </c>
      <c r="GF177" s="61">
        <f t="shared" si="158"/>
        <v>261.14722581688039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0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0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-9.6633812063373625E-13</v>
      </c>
      <c r="GV177" s="18">
        <f>GU177*VLOOKUP('Données projet'!$B$18,Paramètres!$A$1:$I$89,3,0)*VLOOKUP('Données projet'!$B$18,Paramètres!$A$1:$I$89,5,0)</f>
        <v>-1.0401663530501537E-12</v>
      </c>
      <c r="GW177" s="14" t="e">
        <f t="shared" si="188"/>
        <v>#NUM!</v>
      </c>
      <c r="GX177" s="22" t="e">
        <f t="shared" si="189"/>
        <v>#NUM!</v>
      </c>
      <c r="GY177" s="61" t="e">
        <f t="shared" si="137"/>
        <v>#NUM!</v>
      </c>
      <c r="GZ177" s="61">
        <f ca="1">AVERAGE(OFFSET($GY$3,0,0,'Données projet'!$E$18+1,1))-AVERAGE(OFFSET($H$3,0,0,'Données projet'!$E$18+1,1))</f>
        <v>502.07782026233912</v>
      </c>
      <c r="HA177" s="61">
        <f t="shared" si="160"/>
        <v>285.83623046025156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0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0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-8.7434273154940449E-13</v>
      </c>
      <c r="P178" s="14" t="e">
        <f t="shared" si="141"/>
        <v>#NUM!</v>
      </c>
      <c r="Q178" s="22" t="e">
        <f t="shared" si="162"/>
        <v>#NUM!</v>
      </c>
      <c r="R178" s="61" t="e">
        <f t="shared" si="109"/>
        <v>#NUM!</v>
      </c>
      <c r="S178" s="61">
        <f ca="1">AVERAGE(OFFSET($R$3,0,0,'Données projet'!$E$9+1,1))-AVERAGE(OFFSET($H$3,0,0,'Données projet'!$E$9+1,1))</f>
        <v>428.8489304403459</v>
      </c>
      <c r="T178" s="61">
        <f t="shared" si="142"/>
        <v>247.01165577562966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1" t="e">
        <f t="shared" si="113"/>
        <v>#NUM!</v>
      </c>
      <c r="AN178" s="61">
        <f ca="1">AVERAGE(OFFSET($AM$3,0,0,'Données projet'!$E$10+1,1))-AVERAGE(OFFSET($H$3,0,0,'Données projet'!$E$10+1,1))</f>
        <v>475.47920969424894</v>
      </c>
      <c r="AO178" s="61">
        <f t="shared" si="144"/>
        <v>271.73544012419364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-3.4106051316484809E-13</v>
      </c>
      <c r="BE178" s="14">
        <f>BD178*VLOOKUP('Données projet'!$B$11,Paramètres!$A$1:$I$89,3,0)*VLOOKUP('Données projet'!$B$11,Paramètres!$A$1:$I$89,5,0)</f>
        <v>-1.9065282685915009E-13</v>
      </c>
      <c r="BF178" s="14" t="e">
        <f t="shared" si="167"/>
        <v>#NUM!</v>
      </c>
      <c r="BG178" s="22" t="e">
        <f t="shared" si="168"/>
        <v>#NUM!</v>
      </c>
      <c r="BH178" s="61" t="e">
        <f t="shared" si="116"/>
        <v>#NUM!</v>
      </c>
      <c r="BI178" s="61">
        <f ca="1">AVERAGE(OFFSET($BH$3,0,0,'Données projet'!$E$11+1,1))-AVERAGE(OFFSET($H$3,0,0,'Données projet'!$E$11+1,1))</f>
        <v>374.79806286316051</v>
      </c>
      <c r="BJ178" s="61">
        <f t="shared" si="146"/>
        <v>350.01856672839466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0.39970076133860555</v>
      </c>
      <c r="BR178" s="23">
        <f>EXP(-LN(2)/2)*BR177+(1-EXP(-LN(2)/2))/(LN(2)/2)*BL178*BO178*VLOOKUP('Données projet'!$B$11,Paramètres!$A$1:$I$89,3,0)*0.475*44/12</f>
        <v>1.6482576370613526E-21</v>
      </c>
      <c r="BS178" s="24">
        <f t="shared" si="169"/>
        <v>0.39970076133860555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5.6843418860808015E-13</v>
      </c>
      <c r="BZ178" s="14">
        <f>BY178*VLOOKUP('Données projet'!$B$12,Paramètres!$A$1:$I$89,3,0)*VLOOKUP('Données projet'!$B$12,Paramètres!$A$1:$I$89,5,0)</f>
        <v>2.6602720026858149E-13</v>
      </c>
      <c r="CA178" s="14">
        <f t="shared" si="170"/>
        <v>3.5662905043956649E-12</v>
      </c>
      <c r="CB178" s="22">
        <f t="shared" si="171"/>
        <v>6.6746200022902298E-12</v>
      </c>
      <c r="CC178" s="61">
        <f t="shared" si="119"/>
        <v>293.33333333333997</v>
      </c>
      <c r="CD178" s="61">
        <f ca="1">AVERAGE(OFFSET($CC$3,0,0,'Données projet'!$E$12+1,1))-AVERAGE(OFFSET($H$3,0,0,'Données projet'!$E$12+1,1))</f>
        <v>285.59863510278109</v>
      </c>
      <c r="CE178" s="61">
        <f t="shared" si="148"/>
        <v>190.4880882944471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5.4683368944097308E-14</v>
      </c>
      <c r="CV178" s="14">
        <f t="shared" si="173"/>
        <v>8.8129432816788268E-13</v>
      </c>
      <c r="CW178" s="22">
        <f t="shared" si="174"/>
        <v>1.6301611558033651E-12</v>
      </c>
      <c r="CX178" s="61">
        <f t="shared" si="122"/>
        <v>293.33333333333496</v>
      </c>
      <c r="CY178" s="61">
        <f ca="1">AVERAGE(OFFSET($CX$3,0,0,'Données projet'!$E$13+1,1))-AVERAGE(OFFSET($H$3,0,0,'Données projet'!$E$13+1,1))</f>
        <v>273.72618036666552</v>
      </c>
      <c r="CZ178" s="61">
        <f t="shared" si="150"/>
        <v>157.67999791700714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1.7053025658242404E-13</v>
      </c>
      <c r="DP178" s="18">
        <f>DO178*VLOOKUP('Données projet'!$B$14,Paramètres!$A$1:$I$89,3,0)*VLOOKUP('Données projet'!$B$14,Paramètres!$A$1:$I$89,5,0)</f>
        <v>1.1439169611549005E-13</v>
      </c>
      <c r="DQ178" s="14">
        <f t="shared" si="176"/>
        <v>1.6918016515029816E-12</v>
      </c>
      <c r="DR178" s="22">
        <f t="shared" si="177"/>
        <v>3.1457867471021712E-12</v>
      </c>
      <c r="DS178" s="61">
        <f t="shared" si="125"/>
        <v>293.33333333333644</v>
      </c>
      <c r="DT178" s="61">
        <f ca="1">AVERAGE(OFFSET($DS$3,0,0,'Données projet'!$E$14+1,1))-AVERAGE(OFFSET($H$3,0,0,'Données projet'!$E$14+1,1))</f>
        <v>312.06797204903796</v>
      </c>
      <c r="DU178" s="61">
        <f t="shared" si="152"/>
        <v>258.20189001775151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1.4210854715202004E-13</v>
      </c>
      <c r="EK178" s="18">
        <f>EJ178*VLOOKUP('Données projet'!$B$15,Paramètres!$A$1:$I$89,3,0)*VLOOKUP('Données projet'!$B$15,Paramètres!$A$1:$I$89,5,0)</f>
        <v>1.1527845344971866E-13</v>
      </c>
      <c r="EL178" s="14">
        <f t="shared" si="179"/>
        <v>1.7033846239409443E-12</v>
      </c>
      <c r="EM178" s="22">
        <f t="shared" si="180"/>
        <v>3.1675048597887374E-12</v>
      </c>
      <c r="EN178" s="61">
        <f t="shared" si="128"/>
        <v>293.3333333333365</v>
      </c>
      <c r="EO178" s="61">
        <f ca="1">AVERAGE(OFFSET($EN$3,0,0,'Données projet'!$E$15+1,1))-AVERAGE(OFFSET($H$3,0,0,'Données projet'!$E$15+1,1))</f>
        <v>222.15256609836689</v>
      </c>
      <c r="EP178" s="61">
        <f t="shared" si="154"/>
        <v>221.10360210521077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1.1368683772161603E-13</v>
      </c>
      <c r="FF178" s="18">
        <f>FE178*VLOOKUP('Données projet'!$B$16,Paramètres!$A$1:$I$89,3,0)*VLOOKUP('Données projet'!$B$16,Paramètres!$A$1:$I$89,5,0)</f>
        <v>8.8675733422860506E-14</v>
      </c>
      <c r="FG178" s="14">
        <f t="shared" si="182"/>
        <v>1.3509285393066301E-12</v>
      </c>
      <c r="FH178" s="22">
        <f t="shared" si="183"/>
        <v>2.5073107750038623E-12</v>
      </c>
      <c r="FI178" s="61">
        <f t="shared" si="131"/>
        <v>293.33333333333582</v>
      </c>
      <c r="FJ178" s="61">
        <f ca="1">AVERAGE(OFFSET($FI$3,0,0,'Données projet'!$E$16+1,1))-AVERAGE(OFFSET($H$3,0,0,'Données projet'!$E$16+1,1))</f>
        <v>292.57482726862594</v>
      </c>
      <c r="FK178" s="61">
        <f t="shared" si="156"/>
        <v>283.48738729114024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-9.6633812063373625E-13</v>
      </c>
      <c r="GA178" s="18">
        <f>FZ178*VLOOKUP('Données projet'!$B$17,Paramètres!$A$1:$I$89,3,0)*VLOOKUP('Données projet'!$B$17,Paramètres!$A$1:$I$89,5,0)</f>
        <v>-9.3464223027694966E-13</v>
      </c>
      <c r="GB178" s="14" t="e">
        <f t="shared" si="185"/>
        <v>#NUM!</v>
      </c>
      <c r="GC178" s="22" t="e">
        <f t="shared" si="186"/>
        <v>#NUM!</v>
      </c>
      <c r="GD178" s="61" t="e">
        <f t="shared" si="134"/>
        <v>#NUM!</v>
      </c>
      <c r="GE178" s="61">
        <f ca="1">AVERAGE(OFFSET($GD$3,0,0,'Données projet'!$E$17+1,1))-AVERAGE(OFFSET($H$3,0,0,'Données projet'!$E$17+1,1))</f>
        <v>455.50822833641354</v>
      </c>
      <c r="GF178" s="61">
        <f t="shared" si="158"/>
        <v>261.14722581688039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0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0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-9.6633812063373625E-13</v>
      </c>
      <c r="GV178" s="18">
        <f>GU178*VLOOKUP('Données projet'!$B$18,Paramètres!$A$1:$I$89,3,0)*VLOOKUP('Données projet'!$B$18,Paramètres!$A$1:$I$89,5,0)</f>
        <v>-1.0401663530501537E-12</v>
      </c>
      <c r="GW178" s="14" t="e">
        <f t="shared" si="188"/>
        <v>#NUM!</v>
      </c>
      <c r="GX178" s="22" t="e">
        <f t="shared" si="189"/>
        <v>#NUM!</v>
      </c>
      <c r="GY178" s="61" t="e">
        <f t="shared" si="137"/>
        <v>#NUM!</v>
      </c>
      <c r="GZ178" s="61">
        <f ca="1">AVERAGE(OFFSET($GY$3,0,0,'Données projet'!$E$18+1,1))-AVERAGE(OFFSET($H$3,0,0,'Données projet'!$E$18+1,1))</f>
        <v>502.07782026233912</v>
      </c>
      <c r="HA178" s="61">
        <f t="shared" si="160"/>
        <v>285.83623046025156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0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0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-8.7434273154940449E-13</v>
      </c>
      <c r="P179" s="14" t="e">
        <f t="shared" si="141"/>
        <v>#NUM!</v>
      </c>
      <c r="Q179" s="22" t="e">
        <f t="shared" si="162"/>
        <v>#NUM!</v>
      </c>
      <c r="R179" s="61" t="e">
        <f t="shared" si="109"/>
        <v>#NUM!</v>
      </c>
      <c r="S179" s="61">
        <f ca="1">AVERAGE(OFFSET($R$3,0,0,'Données projet'!$E$9+1,1))-AVERAGE(OFFSET($H$3,0,0,'Données projet'!$E$9+1,1))</f>
        <v>428.8489304403459</v>
      </c>
      <c r="T179" s="61">
        <f t="shared" si="142"/>
        <v>247.01165577562966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1" t="e">
        <f t="shared" si="113"/>
        <v>#NUM!</v>
      </c>
      <c r="AN179" s="61">
        <f ca="1">AVERAGE(OFFSET($AM$3,0,0,'Données projet'!$E$10+1,1))-AVERAGE(OFFSET($H$3,0,0,'Données projet'!$E$10+1,1))</f>
        <v>475.47920969424894</v>
      </c>
      <c r="AO179" s="61">
        <f t="shared" si="144"/>
        <v>271.73544012419364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-3.4106051316484809E-13</v>
      </c>
      <c r="BE179" s="14">
        <f>BD179*VLOOKUP('Données projet'!$B$11,Paramètres!$A$1:$I$89,3,0)*VLOOKUP('Données projet'!$B$11,Paramètres!$A$1:$I$89,5,0)</f>
        <v>-1.9065282685915009E-13</v>
      </c>
      <c r="BF179" s="14" t="e">
        <f t="shared" si="167"/>
        <v>#NUM!</v>
      </c>
      <c r="BG179" s="22" t="e">
        <f t="shared" si="168"/>
        <v>#NUM!</v>
      </c>
      <c r="BH179" s="61" t="e">
        <f t="shared" si="116"/>
        <v>#NUM!</v>
      </c>
      <c r="BI179" s="61">
        <f ca="1">AVERAGE(OFFSET($BH$3,0,0,'Données projet'!$E$11+1,1))-AVERAGE(OFFSET($H$3,0,0,'Données projet'!$E$11+1,1))</f>
        <v>374.79806286316051</v>
      </c>
      <c r="BJ179" s="61">
        <f t="shared" si="146"/>
        <v>350.01856672839466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0.38877092300045185</v>
      </c>
      <c r="BR179" s="23">
        <f>EXP(-LN(2)/2)*BR178+(1-EXP(-LN(2)/2))/(LN(2)/2)*BL179*BO179*VLOOKUP('Données projet'!$B$11,Paramètres!$A$1:$I$89,3,0)*0.475*44/12</f>
        <v>1.1654941523085978E-21</v>
      </c>
      <c r="BS179" s="24">
        <f t="shared" si="169"/>
        <v>0.38877092300045185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5.6843418860808015E-13</v>
      </c>
      <c r="BZ179" s="14">
        <f>BY179*VLOOKUP('Données projet'!$B$12,Paramètres!$A$1:$I$89,3,0)*VLOOKUP('Données projet'!$B$12,Paramètres!$A$1:$I$89,5,0)</f>
        <v>2.6602720026858149E-13</v>
      </c>
      <c r="CA179" s="14">
        <f t="shared" si="170"/>
        <v>3.5662905043956649E-12</v>
      </c>
      <c r="CB179" s="22">
        <f t="shared" si="171"/>
        <v>6.6746200022902298E-12</v>
      </c>
      <c r="CC179" s="61">
        <f t="shared" si="119"/>
        <v>293.33333333333997</v>
      </c>
      <c r="CD179" s="61">
        <f ca="1">AVERAGE(OFFSET($CC$3,0,0,'Données projet'!$E$12+1,1))-AVERAGE(OFFSET($H$3,0,0,'Données projet'!$E$12+1,1))</f>
        <v>285.59863510278109</v>
      </c>
      <c r="CE179" s="61">
        <f t="shared" si="148"/>
        <v>190.4880882944471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5.4683368944097308E-14</v>
      </c>
      <c r="CV179" s="14">
        <f t="shared" si="173"/>
        <v>8.8129432816788268E-13</v>
      </c>
      <c r="CW179" s="22">
        <f t="shared" si="174"/>
        <v>1.6301611558033651E-12</v>
      </c>
      <c r="CX179" s="61">
        <f t="shared" si="122"/>
        <v>293.33333333333496</v>
      </c>
      <c r="CY179" s="61">
        <f ca="1">AVERAGE(OFFSET($CX$3,0,0,'Données projet'!$E$13+1,1))-AVERAGE(OFFSET($H$3,0,0,'Données projet'!$E$13+1,1))</f>
        <v>273.72618036666552</v>
      </c>
      <c r="CZ179" s="61">
        <f t="shared" si="150"/>
        <v>157.67999791700714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1.7053025658242404E-13</v>
      </c>
      <c r="DP179" s="18">
        <f>DO179*VLOOKUP('Données projet'!$B$14,Paramètres!$A$1:$I$89,3,0)*VLOOKUP('Données projet'!$B$14,Paramètres!$A$1:$I$89,5,0)</f>
        <v>1.1439169611549005E-13</v>
      </c>
      <c r="DQ179" s="14">
        <f t="shared" si="176"/>
        <v>1.6918016515029816E-12</v>
      </c>
      <c r="DR179" s="22">
        <f t="shared" si="177"/>
        <v>3.1457867471021712E-12</v>
      </c>
      <c r="DS179" s="61">
        <f t="shared" si="125"/>
        <v>293.33333333333644</v>
      </c>
      <c r="DT179" s="61">
        <f ca="1">AVERAGE(OFFSET($DS$3,0,0,'Données projet'!$E$14+1,1))-AVERAGE(OFFSET($H$3,0,0,'Données projet'!$E$14+1,1))</f>
        <v>312.06797204903796</v>
      </c>
      <c r="DU179" s="61">
        <f t="shared" si="152"/>
        <v>258.20189001775151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1.4210854715202004E-13</v>
      </c>
      <c r="EK179" s="18">
        <f>EJ179*VLOOKUP('Données projet'!$B$15,Paramètres!$A$1:$I$89,3,0)*VLOOKUP('Données projet'!$B$15,Paramètres!$A$1:$I$89,5,0)</f>
        <v>1.1527845344971866E-13</v>
      </c>
      <c r="EL179" s="14">
        <f t="shared" si="179"/>
        <v>1.7033846239409443E-12</v>
      </c>
      <c r="EM179" s="22">
        <f t="shared" si="180"/>
        <v>3.1675048597887374E-12</v>
      </c>
      <c r="EN179" s="61">
        <f t="shared" si="128"/>
        <v>293.3333333333365</v>
      </c>
      <c r="EO179" s="61">
        <f ca="1">AVERAGE(OFFSET($EN$3,0,0,'Données projet'!$E$15+1,1))-AVERAGE(OFFSET($H$3,0,0,'Données projet'!$E$15+1,1))</f>
        <v>222.15256609836689</v>
      </c>
      <c r="EP179" s="61">
        <f t="shared" si="154"/>
        <v>221.10360210521077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1.1368683772161603E-13</v>
      </c>
      <c r="FF179" s="18">
        <f>FE179*VLOOKUP('Données projet'!$B$16,Paramètres!$A$1:$I$89,3,0)*VLOOKUP('Données projet'!$B$16,Paramètres!$A$1:$I$89,5,0)</f>
        <v>8.8675733422860506E-14</v>
      </c>
      <c r="FG179" s="14">
        <f t="shared" si="182"/>
        <v>1.3509285393066301E-12</v>
      </c>
      <c r="FH179" s="22">
        <f t="shared" si="183"/>
        <v>2.5073107750038623E-12</v>
      </c>
      <c r="FI179" s="61">
        <f t="shared" si="131"/>
        <v>293.33333333333582</v>
      </c>
      <c r="FJ179" s="61">
        <f ca="1">AVERAGE(OFFSET($FI$3,0,0,'Données projet'!$E$16+1,1))-AVERAGE(OFFSET($H$3,0,0,'Données projet'!$E$16+1,1))</f>
        <v>292.57482726862594</v>
      </c>
      <c r="FK179" s="61">
        <f t="shared" si="156"/>
        <v>283.48738729114024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-9.6633812063373625E-13</v>
      </c>
      <c r="GA179" s="18">
        <f>FZ179*VLOOKUP('Données projet'!$B$17,Paramètres!$A$1:$I$89,3,0)*VLOOKUP('Données projet'!$B$17,Paramètres!$A$1:$I$89,5,0)</f>
        <v>-9.3464223027694966E-13</v>
      </c>
      <c r="GB179" s="14" t="e">
        <f t="shared" si="185"/>
        <v>#NUM!</v>
      </c>
      <c r="GC179" s="22" t="e">
        <f t="shared" si="186"/>
        <v>#NUM!</v>
      </c>
      <c r="GD179" s="61" t="e">
        <f t="shared" si="134"/>
        <v>#NUM!</v>
      </c>
      <c r="GE179" s="61">
        <f ca="1">AVERAGE(OFFSET($GD$3,0,0,'Données projet'!$E$17+1,1))-AVERAGE(OFFSET($H$3,0,0,'Données projet'!$E$17+1,1))</f>
        <v>455.50822833641354</v>
      </c>
      <c r="GF179" s="61">
        <f t="shared" si="158"/>
        <v>261.14722581688039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0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0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-9.6633812063373625E-13</v>
      </c>
      <c r="GV179" s="18">
        <f>GU179*VLOOKUP('Données projet'!$B$18,Paramètres!$A$1:$I$89,3,0)*VLOOKUP('Données projet'!$B$18,Paramètres!$A$1:$I$89,5,0)</f>
        <v>-1.0401663530501537E-12</v>
      </c>
      <c r="GW179" s="14" t="e">
        <f t="shared" si="188"/>
        <v>#NUM!</v>
      </c>
      <c r="GX179" s="22" t="e">
        <f t="shared" si="189"/>
        <v>#NUM!</v>
      </c>
      <c r="GY179" s="61" t="e">
        <f t="shared" si="137"/>
        <v>#NUM!</v>
      </c>
      <c r="GZ179" s="61">
        <f ca="1">AVERAGE(OFFSET($GY$3,0,0,'Données projet'!$E$18+1,1))-AVERAGE(OFFSET($H$3,0,0,'Données projet'!$E$18+1,1))</f>
        <v>502.07782026233912</v>
      </c>
      <c r="HA179" s="61">
        <f t="shared" si="160"/>
        <v>285.83623046025156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0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0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-8.7434273154940449E-13</v>
      </c>
      <c r="P180" s="14" t="e">
        <f t="shared" si="141"/>
        <v>#NUM!</v>
      </c>
      <c r="Q180" s="22" t="e">
        <f t="shared" si="162"/>
        <v>#NUM!</v>
      </c>
      <c r="R180" s="61" t="e">
        <f t="shared" si="109"/>
        <v>#NUM!</v>
      </c>
      <c r="S180" s="61">
        <f ca="1">AVERAGE(OFFSET($R$3,0,0,'Données projet'!$E$9+1,1))-AVERAGE(OFFSET($H$3,0,0,'Données projet'!$E$9+1,1))</f>
        <v>428.8489304403459</v>
      </c>
      <c r="T180" s="61">
        <f t="shared" si="142"/>
        <v>247.01165577562966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1" t="e">
        <f t="shared" si="113"/>
        <v>#NUM!</v>
      </c>
      <c r="AN180" s="61">
        <f ca="1">AVERAGE(OFFSET($AM$3,0,0,'Données projet'!$E$10+1,1))-AVERAGE(OFFSET($H$3,0,0,'Données projet'!$E$10+1,1))</f>
        <v>475.47920969424894</v>
      </c>
      <c r="AO180" s="61">
        <f t="shared" si="144"/>
        <v>271.73544012419364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-3.4106051316484809E-13</v>
      </c>
      <c r="BE180" s="14">
        <f>BD180*VLOOKUP('Données projet'!$B$11,Paramètres!$A$1:$I$89,3,0)*VLOOKUP('Données projet'!$B$11,Paramètres!$A$1:$I$89,5,0)</f>
        <v>-1.9065282685915009E-13</v>
      </c>
      <c r="BF180" s="14" t="e">
        <f t="shared" si="167"/>
        <v>#NUM!</v>
      </c>
      <c r="BG180" s="22" t="e">
        <f t="shared" si="168"/>
        <v>#NUM!</v>
      </c>
      <c r="BH180" s="61" t="e">
        <f t="shared" si="116"/>
        <v>#NUM!</v>
      </c>
      <c r="BI180" s="61">
        <f ca="1">AVERAGE(OFFSET($BH$3,0,0,'Données projet'!$E$11+1,1))-AVERAGE(OFFSET($H$3,0,0,'Données projet'!$E$11+1,1))</f>
        <v>374.79806286316051</v>
      </c>
      <c r="BJ180" s="61">
        <f t="shared" si="146"/>
        <v>350.01856672839466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0.37813996166643021</v>
      </c>
      <c r="BR180" s="23">
        <f>EXP(-LN(2)/2)*BR179+(1-EXP(-LN(2)/2))/(LN(2)/2)*BL180*BO180*VLOOKUP('Données projet'!$B$11,Paramètres!$A$1:$I$89,3,0)*0.475*44/12</f>
        <v>8.2412881853067649E-22</v>
      </c>
      <c r="BS180" s="24">
        <f t="shared" si="169"/>
        <v>0.37813996166643021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5.6843418860808015E-13</v>
      </c>
      <c r="BZ180" s="14">
        <f>BY180*VLOOKUP('Données projet'!$B$12,Paramètres!$A$1:$I$89,3,0)*VLOOKUP('Données projet'!$B$12,Paramètres!$A$1:$I$89,5,0)</f>
        <v>2.6602720026858149E-13</v>
      </c>
      <c r="CA180" s="14">
        <f t="shared" si="170"/>
        <v>3.5662905043956649E-12</v>
      </c>
      <c r="CB180" s="22">
        <f t="shared" si="171"/>
        <v>6.6746200022902298E-12</v>
      </c>
      <c r="CC180" s="61">
        <f t="shared" si="119"/>
        <v>293.33333333333997</v>
      </c>
      <c r="CD180" s="61">
        <f ca="1">AVERAGE(OFFSET($CC$3,0,0,'Données projet'!$E$12+1,1))-AVERAGE(OFFSET($H$3,0,0,'Données projet'!$E$12+1,1))</f>
        <v>285.59863510278109</v>
      </c>
      <c r="CE180" s="61">
        <f t="shared" si="148"/>
        <v>190.4880882944471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5.4683368944097308E-14</v>
      </c>
      <c r="CV180" s="14">
        <f t="shared" si="173"/>
        <v>8.8129432816788268E-13</v>
      </c>
      <c r="CW180" s="22">
        <f t="shared" si="174"/>
        <v>1.6301611558033651E-12</v>
      </c>
      <c r="CX180" s="61">
        <f t="shared" si="122"/>
        <v>293.33333333333496</v>
      </c>
      <c r="CY180" s="61">
        <f ca="1">AVERAGE(OFFSET($CX$3,0,0,'Données projet'!$E$13+1,1))-AVERAGE(OFFSET($H$3,0,0,'Données projet'!$E$13+1,1))</f>
        <v>273.72618036666552</v>
      </c>
      <c r="CZ180" s="61">
        <f t="shared" si="150"/>
        <v>157.67999791700714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1.7053025658242404E-13</v>
      </c>
      <c r="DP180" s="18">
        <f>DO180*VLOOKUP('Données projet'!$B$14,Paramètres!$A$1:$I$89,3,0)*VLOOKUP('Données projet'!$B$14,Paramètres!$A$1:$I$89,5,0)</f>
        <v>1.1439169611549005E-13</v>
      </c>
      <c r="DQ180" s="14">
        <f t="shared" si="176"/>
        <v>1.6918016515029816E-12</v>
      </c>
      <c r="DR180" s="22">
        <f t="shared" si="177"/>
        <v>3.1457867471021712E-12</v>
      </c>
      <c r="DS180" s="61">
        <f t="shared" si="125"/>
        <v>293.33333333333644</v>
      </c>
      <c r="DT180" s="61">
        <f ca="1">AVERAGE(OFFSET($DS$3,0,0,'Données projet'!$E$14+1,1))-AVERAGE(OFFSET($H$3,0,0,'Données projet'!$E$14+1,1))</f>
        <v>312.06797204903796</v>
      </c>
      <c r="DU180" s="61">
        <f t="shared" si="152"/>
        <v>258.20189001775151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1.4210854715202004E-13</v>
      </c>
      <c r="EK180" s="18">
        <f>EJ180*VLOOKUP('Données projet'!$B$15,Paramètres!$A$1:$I$89,3,0)*VLOOKUP('Données projet'!$B$15,Paramètres!$A$1:$I$89,5,0)</f>
        <v>1.1527845344971866E-13</v>
      </c>
      <c r="EL180" s="14">
        <f t="shared" si="179"/>
        <v>1.7033846239409443E-12</v>
      </c>
      <c r="EM180" s="22">
        <f t="shared" si="180"/>
        <v>3.1675048597887374E-12</v>
      </c>
      <c r="EN180" s="61">
        <f t="shared" si="128"/>
        <v>293.3333333333365</v>
      </c>
      <c r="EO180" s="61">
        <f ca="1">AVERAGE(OFFSET($EN$3,0,0,'Données projet'!$E$15+1,1))-AVERAGE(OFFSET($H$3,0,0,'Données projet'!$E$15+1,1))</f>
        <v>222.15256609836689</v>
      </c>
      <c r="EP180" s="61">
        <f t="shared" si="154"/>
        <v>221.10360210521077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1.1368683772161603E-13</v>
      </c>
      <c r="FF180" s="18">
        <f>FE180*VLOOKUP('Données projet'!$B$16,Paramètres!$A$1:$I$89,3,0)*VLOOKUP('Données projet'!$B$16,Paramètres!$A$1:$I$89,5,0)</f>
        <v>8.8675733422860506E-14</v>
      </c>
      <c r="FG180" s="14">
        <f t="shared" si="182"/>
        <v>1.3509285393066301E-12</v>
      </c>
      <c r="FH180" s="22">
        <f t="shared" si="183"/>
        <v>2.5073107750038623E-12</v>
      </c>
      <c r="FI180" s="61">
        <f t="shared" si="131"/>
        <v>293.33333333333582</v>
      </c>
      <c r="FJ180" s="61">
        <f ca="1">AVERAGE(OFFSET($FI$3,0,0,'Données projet'!$E$16+1,1))-AVERAGE(OFFSET($H$3,0,0,'Données projet'!$E$16+1,1))</f>
        <v>292.57482726862594</v>
      </c>
      <c r="FK180" s="61">
        <f t="shared" si="156"/>
        <v>283.48738729114024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-9.6633812063373625E-13</v>
      </c>
      <c r="GA180" s="18">
        <f>FZ180*VLOOKUP('Données projet'!$B$17,Paramètres!$A$1:$I$89,3,0)*VLOOKUP('Données projet'!$B$17,Paramètres!$A$1:$I$89,5,0)</f>
        <v>-9.3464223027694966E-13</v>
      </c>
      <c r="GB180" s="14" t="e">
        <f t="shared" si="185"/>
        <v>#NUM!</v>
      </c>
      <c r="GC180" s="22" t="e">
        <f t="shared" si="186"/>
        <v>#NUM!</v>
      </c>
      <c r="GD180" s="61" t="e">
        <f t="shared" si="134"/>
        <v>#NUM!</v>
      </c>
      <c r="GE180" s="61">
        <f ca="1">AVERAGE(OFFSET($GD$3,0,0,'Données projet'!$E$17+1,1))-AVERAGE(OFFSET($H$3,0,0,'Données projet'!$E$17+1,1))</f>
        <v>455.50822833641354</v>
      </c>
      <c r="GF180" s="61">
        <f t="shared" si="158"/>
        <v>261.14722581688039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0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0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-9.6633812063373625E-13</v>
      </c>
      <c r="GV180" s="18">
        <f>GU180*VLOOKUP('Données projet'!$B$18,Paramètres!$A$1:$I$89,3,0)*VLOOKUP('Données projet'!$B$18,Paramètres!$A$1:$I$89,5,0)</f>
        <v>-1.0401663530501537E-12</v>
      </c>
      <c r="GW180" s="14" t="e">
        <f t="shared" si="188"/>
        <v>#NUM!</v>
      </c>
      <c r="GX180" s="22" t="e">
        <f t="shared" si="189"/>
        <v>#NUM!</v>
      </c>
      <c r="GY180" s="61" t="e">
        <f t="shared" si="137"/>
        <v>#NUM!</v>
      </c>
      <c r="GZ180" s="61">
        <f ca="1">AVERAGE(OFFSET($GY$3,0,0,'Données projet'!$E$18+1,1))-AVERAGE(OFFSET($H$3,0,0,'Données projet'!$E$18+1,1))</f>
        <v>502.07782026233912</v>
      </c>
      <c r="HA180" s="61">
        <f t="shared" si="160"/>
        <v>285.83623046025156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0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0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-8.7434273154940449E-13</v>
      </c>
      <c r="P181" s="14" t="e">
        <f t="shared" si="141"/>
        <v>#NUM!</v>
      </c>
      <c r="Q181" s="22" t="e">
        <f t="shared" si="162"/>
        <v>#NUM!</v>
      </c>
      <c r="R181" s="61" t="e">
        <f t="shared" si="109"/>
        <v>#NUM!</v>
      </c>
      <c r="S181" s="61">
        <f ca="1">AVERAGE(OFFSET($R$3,0,0,'Données projet'!$E$9+1,1))-AVERAGE(OFFSET($H$3,0,0,'Données projet'!$E$9+1,1))</f>
        <v>428.8489304403459</v>
      </c>
      <c r="T181" s="61">
        <f t="shared" si="142"/>
        <v>247.01165577562966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1" t="e">
        <f t="shared" si="113"/>
        <v>#NUM!</v>
      </c>
      <c r="AN181" s="61">
        <f ca="1">AVERAGE(OFFSET($AM$3,0,0,'Données projet'!$E$10+1,1))-AVERAGE(OFFSET($H$3,0,0,'Données projet'!$E$10+1,1))</f>
        <v>475.47920969424894</v>
      </c>
      <c r="AO181" s="61">
        <f t="shared" si="144"/>
        <v>271.73544012419364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-3.4106051316484809E-13</v>
      </c>
      <c r="BE181" s="14">
        <f>BD181*VLOOKUP('Données projet'!$B$11,Paramètres!$A$1:$I$89,3,0)*VLOOKUP('Données projet'!$B$11,Paramètres!$A$1:$I$89,5,0)</f>
        <v>-1.9065282685915009E-13</v>
      </c>
      <c r="BF181" s="14" t="e">
        <f t="shared" si="167"/>
        <v>#NUM!</v>
      </c>
      <c r="BG181" s="22" t="e">
        <f t="shared" si="168"/>
        <v>#NUM!</v>
      </c>
      <c r="BH181" s="61" t="e">
        <f t="shared" si="116"/>
        <v>#NUM!</v>
      </c>
      <c r="BI181" s="61">
        <f ca="1">AVERAGE(OFFSET($BH$3,0,0,'Données projet'!$E$11+1,1))-AVERAGE(OFFSET($H$3,0,0,'Données projet'!$E$11+1,1))</f>
        <v>374.79806286316051</v>
      </c>
      <c r="BJ181" s="61">
        <f t="shared" si="146"/>
        <v>350.01856672839466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0.36779970452914534</v>
      </c>
      <c r="BR181" s="23">
        <f>EXP(-LN(2)/2)*BR180+(1-EXP(-LN(2)/2))/(LN(2)/2)*BL181*BO181*VLOOKUP('Données projet'!$B$11,Paramètres!$A$1:$I$89,3,0)*0.475*44/12</f>
        <v>5.8274707615429902E-22</v>
      </c>
      <c r="BS181" s="24">
        <f t="shared" si="169"/>
        <v>0.36779970452914534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5.6843418860808015E-13</v>
      </c>
      <c r="BZ181" s="14">
        <f>BY181*VLOOKUP('Données projet'!$B$12,Paramètres!$A$1:$I$89,3,0)*VLOOKUP('Données projet'!$B$12,Paramètres!$A$1:$I$89,5,0)</f>
        <v>2.6602720026858149E-13</v>
      </c>
      <c r="CA181" s="14">
        <f t="shared" si="170"/>
        <v>3.5662905043956649E-12</v>
      </c>
      <c r="CB181" s="22">
        <f t="shared" si="171"/>
        <v>6.6746200022902298E-12</v>
      </c>
      <c r="CC181" s="61">
        <f t="shared" si="119"/>
        <v>293.33333333333997</v>
      </c>
      <c r="CD181" s="61">
        <f ca="1">AVERAGE(OFFSET($CC$3,0,0,'Données projet'!$E$12+1,1))-AVERAGE(OFFSET($H$3,0,0,'Données projet'!$E$12+1,1))</f>
        <v>285.59863510278109</v>
      </c>
      <c r="CE181" s="61">
        <f t="shared" si="148"/>
        <v>190.4880882944471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5.4683368944097308E-14</v>
      </c>
      <c r="CV181" s="14">
        <f t="shared" si="173"/>
        <v>8.8129432816788268E-13</v>
      </c>
      <c r="CW181" s="22">
        <f t="shared" si="174"/>
        <v>1.6301611558033651E-12</v>
      </c>
      <c r="CX181" s="61">
        <f t="shared" si="122"/>
        <v>293.33333333333496</v>
      </c>
      <c r="CY181" s="61">
        <f ca="1">AVERAGE(OFFSET($CX$3,0,0,'Données projet'!$E$13+1,1))-AVERAGE(OFFSET($H$3,0,0,'Données projet'!$E$13+1,1))</f>
        <v>273.72618036666552</v>
      </c>
      <c r="CZ181" s="61">
        <f t="shared" si="150"/>
        <v>157.67999791700714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1.7053025658242404E-13</v>
      </c>
      <c r="DP181" s="18">
        <f>DO181*VLOOKUP('Données projet'!$B$14,Paramètres!$A$1:$I$89,3,0)*VLOOKUP('Données projet'!$B$14,Paramètres!$A$1:$I$89,5,0)</f>
        <v>1.1439169611549005E-13</v>
      </c>
      <c r="DQ181" s="14">
        <f t="shared" si="176"/>
        <v>1.6918016515029816E-12</v>
      </c>
      <c r="DR181" s="22">
        <f t="shared" si="177"/>
        <v>3.1457867471021712E-12</v>
      </c>
      <c r="DS181" s="61">
        <f t="shared" si="125"/>
        <v>293.33333333333644</v>
      </c>
      <c r="DT181" s="61">
        <f ca="1">AVERAGE(OFFSET($DS$3,0,0,'Données projet'!$E$14+1,1))-AVERAGE(OFFSET($H$3,0,0,'Données projet'!$E$14+1,1))</f>
        <v>312.06797204903796</v>
      </c>
      <c r="DU181" s="61">
        <f t="shared" si="152"/>
        <v>258.20189001775151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1.4210854715202004E-13</v>
      </c>
      <c r="EK181" s="18">
        <f>EJ181*VLOOKUP('Données projet'!$B$15,Paramètres!$A$1:$I$89,3,0)*VLOOKUP('Données projet'!$B$15,Paramètres!$A$1:$I$89,5,0)</f>
        <v>1.1527845344971866E-13</v>
      </c>
      <c r="EL181" s="14">
        <f t="shared" si="179"/>
        <v>1.7033846239409443E-12</v>
      </c>
      <c r="EM181" s="22">
        <f t="shared" si="180"/>
        <v>3.1675048597887374E-12</v>
      </c>
      <c r="EN181" s="61">
        <f t="shared" si="128"/>
        <v>293.3333333333365</v>
      </c>
      <c r="EO181" s="61">
        <f ca="1">AVERAGE(OFFSET($EN$3,0,0,'Données projet'!$E$15+1,1))-AVERAGE(OFFSET($H$3,0,0,'Données projet'!$E$15+1,1))</f>
        <v>222.15256609836689</v>
      </c>
      <c r="EP181" s="61">
        <f t="shared" si="154"/>
        <v>221.10360210521077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1.1368683772161603E-13</v>
      </c>
      <c r="FF181" s="18">
        <f>FE181*VLOOKUP('Données projet'!$B$16,Paramètres!$A$1:$I$89,3,0)*VLOOKUP('Données projet'!$B$16,Paramètres!$A$1:$I$89,5,0)</f>
        <v>8.8675733422860506E-14</v>
      </c>
      <c r="FG181" s="14">
        <f t="shared" si="182"/>
        <v>1.3509285393066301E-12</v>
      </c>
      <c r="FH181" s="22">
        <f t="shared" si="183"/>
        <v>2.5073107750038623E-12</v>
      </c>
      <c r="FI181" s="61">
        <f t="shared" si="131"/>
        <v>293.33333333333582</v>
      </c>
      <c r="FJ181" s="61">
        <f ca="1">AVERAGE(OFFSET($FI$3,0,0,'Données projet'!$E$16+1,1))-AVERAGE(OFFSET($H$3,0,0,'Données projet'!$E$16+1,1))</f>
        <v>292.57482726862594</v>
      </c>
      <c r="FK181" s="61">
        <f t="shared" si="156"/>
        <v>283.48738729114024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-9.6633812063373625E-13</v>
      </c>
      <c r="GA181" s="18">
        <f>FZ181*VLOOKUP('Données projet'!$B$17,Paramètres!$A$1:$I$89,3,0)*VLOOKUP('Données projet'!$B$17,Paramètres!$A$1:$I$89,5,0)</f>
        <v>-9.3464223027694966E-13</v>
      </c>
      <c r="GB181" s="14" t="e">
        <f t="shared" si="185"/>
        <v>#NUM!</v>
      </c>
      <c r="GC181" s="22" t="e">
        <f t="shared" si="186"/>
        <v>#NUM!</v>
      </c>
      <c r="GD181" s="61" t="e">
        <f t="shared" si="134"/>
        <v>#NUM!</v>
      </c>
      <c r="GE181" s="61">
        <f ca="1">AVERAGE(OFFSET($GD$3,0,0,'Données projet'!$E$17+1,1))-AVERAGE(OFFSET($H$3,0,0,'Données projet'!$E$17+1,1))</f>
        <v>455.50822833641354</v>
      </c>
      <c r="GF181" s="61">
        <f t="shared" si="158"/>
        <v>261.14722581688039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0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0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-9.6633812063373625E-13</v>
      </c>
      <c r="GV181" s="18">
        <f>GU181*VLOOKUP('Données projet'!$B$18,Paramètres!$A$1:$I$89,3,0)*VLOOKUP('Données projet'!$B$18,Paramètres!$A$1:$I$89,5,0)</f>
        <v>-1.0401663530501537E-12</v>
      </c>
      <c r="GW181" s="14" t="e">
        <f t="shared" si="188"/>
        <v>#NUM!</v>
      </c>
      <c r="GX181" s="22" t="e">
        <f t="shared" si="189"/>
        <v>#NUM!</v>
      </c>
      <c r="GY181" s="61" t="e">
        <f t="shared" si="137"/>
        <v>#NUM!</v>
      </c>
      <c r="GZ181" s="61">
        <f ca="1">AVERAGE(OFFSET($GY$3,0,0,'Données projet'!$E$18+1,1))-AVERAGE(OFFSET($H$3,0,0,'Données projet'!$E$18+1,1))</f>
        <v>502.07782026233912</v>
      </c>
      <c r="HA181" s="61">
        <f t="shared" si="160"/>
        <v>285.83623046025156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0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0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-8.7434273154940449E-13</v>
      </c>
      <c r="P182" s="14" t="e">
        <f t="shared" si="141"/>
        <v>#NUM!</v>
      </c>
      <c r="Q182" s="22" t="e">
        <f t="shared" si="162"/>
        <v>#NUM!</v>
      </c>
      <c r="R182" s="61" t="e">
        <f t="shared" si="109"/>
        <v>#NUM!</v>
      </c>
      <c r="S182" s="61">
        <f ca="1">AVERAGE(OFFSET($R$3,0,0,'Données projet'!$E$9+1,1))-AVERAGE(OFFSET($H$3,0,0,'Données projet'!$E$9+1,1))</f>
        <v>428.8489304403459</v>
      </c>
      <c r="T182" s="61">
        <f t="shared" si="142"/>
        <v>247.01165577562966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1" t="e">
        <f t="shared" si="113"/>
        <v>#NUM!</v>
      </c>
      <c r="AN182" s="61">
        <f ca="1">AVERAGE(OFFSET($AM$3,0,0,'Données projet'!$E$10+1,1))-AVERAGE(OFFSET($H$3,0,0,'Données projet'!$E$10+1,1))</f>
        <v>475.47920969424894</v>
      </c>
      <c r="AO182" s="61">
        <f t="shared" si="144"/>
        <v>271.73544012419364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-3.4106051316484809E-13</v>
      </c>
      <c r="BE182" s="14">
        <f>BD182*VLOOKUP('Données projet'!$B$11,Paramètres!$A$1:$I$89,3,0)*VLOOKUP('Données projet'!$B$11,Paramètres!$A$1:$I$89,5,0)</f>
        <v>-1.9065282685915009E-13</v>
      </c>
      <c r="BF182" s="14" t="e">
        <f t="shared" si="167"/>
        <v>#NUM!</v>
      </c>
      <c r="BG182" s="22" t="e">
        <f t="shared" si="168"/>
        <v>#NUM!</v>
      </c>
      <c r="BH182" s="61" t="e">
        <f t="shared" si="116"/>
        <v>#NUM!</v>
      </c>
      <c r="BI182" s="61">
        <f ca="1">AVERAGE(OFFSET($BH$3,0,0,'Données projet'!$E$11+1,1))-AVERAGE(OFFSET($H$3,0,0,'Données projet'!$E$11+1,1))</f>
        <v>374.79806286316051</v>
      </c>
      <c r="BJ182" s="61">
        <f t="shared" si="146"/>
        <v>350.01856672839466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0.35774220226705</v>
      </c>
      <c r="BR182" s="23">
        <f>EXP(-LN(2)/2)*BR181+(1-EXP(-LN(2)/2))/(LN(2)/2)*BL182*BO182*VLOOKUP('Données projet'!$B$11,Paramètres!$A$1:$I$89,3,0)*0.475*44/12</f>
        <v>4.1206440926533829E-22</v>
      </c>
      <c r="BS182" s="24">
        <f t="shared" si="169"/>
        <v>0.35774220226705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5.6843418860808015E-13</v>
      </c>
      <c r="BZ182" s="14">
        <f>BY182*VLOOKUP('Données projet'!$B$12,Paramètres!$A$1:$I$89,3,0)*VLOOKUP('Données projet'!$B$12,Paramètres!$A$1:$I$89,5,0)</f>
        <v>2.6602720026858149E-13</v>
      </c>
      <c r="CA182" s="14">
        <f t="shared" si="170"/>
        <v>3.5662905043956649E-12</v>
      </c>
      <c r="CB182" s="22">
        <f t="shared" si="171"/>
        <v>6.6746200022902298E-12</v>
      </c>
      <c r="CC182" s="61">
        <f t="shared" si="119"/>
        <v>293.33333333333997</v>
      </c>
      <c r="CD182" s="61">
        <f ca="1">AVERAGE(OFFSET($CC$3,0,0,'Données projet'!$E$12+1,1))-AVERAGE(OFFSET($H$3,0,0,'Données projet'!$E$12+1,1))</f>
        <v>285.59863510278109</v>
      </c>
      <c r="CE182" s="61">
        <f t="shared" si="148"/>
        <v>190.4880882944471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5.4683368944097308E-14</v>
      </c>
      <c r="CV182" s="14">
        <f t="shared" si="173"/>
        <v>8.8129432816788268E-13</v>
      </c>
      <c r="CW182" s="22">
        <f t="shared" si="174"/>
        <v>1.6301611558033651E-12</v>
      </c>
      <c r="CX182" s="61">
        <f t="shared" si="122"/>
        <v>293.33333333333496</v>
      </c>
      <c r="CY182" s="61">
        <f ca="1">AVERAGE(OFFSET($CX$3,0,0,'Données projet'!$E$13+1,1))-AVERAGE(OFFSET($H$3,0,0,'Données projet'!$E$13+1,1))</f>
        <v>273.72618036666552</v>
      </c>
      <c r="CZ182" s="61">
        <f t="shared" si="150"/>
        <v>157.67999791700714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1.7053025658242404E-13</v>
      </c>
      <c r="DP182" s="18">
        <f>DO182*VLOOKUP('Données projet'!$B$14,Paramètres!$A$1:$I$89,3,0)*VLOOKUP('Données projet'!$B$14,Paramètres!$A$1:$I$89,5,0)</f>
        <v>1.1439169611549005E-13</v>
      </c>
      <c r="DQ182" s="14">
        <f t="shared" si="176"/>
        <v>1.6918016515029816E-12</v>
      </c>
      <c r="DR182" s="22">
        <f t="shared" si="177"/>
        <v>3.1457867471021712E-12</v>
      </c>
      <c r="DS182" s="61">
        <f t="shared" si="125"/>
        <v>293.33333333333644</v>
      </c>
      <c r="DT182" s="61">
        <f ca="1">AVERAGE(OFFSET($DS$3,0,0,'Données projet'!$E$14+1,1))-AVERAGE(OFFSET($H$3,0,0,'Données projet'!$E$14+1,1))</f>
        <v>312.06797204903796</v>
      </c>
      <c r="DU182" s="61">
        <f t="shared" si="152"/>
        <v>258.20189001775151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1.4210854715202004E-13</v>
      </c>
      <c r="EK182" s="18">
        <f>EJ182*VLOOKUP('Données projet'!$B$15,Paramètres!$A$1:$I$89,3,0)*VLOOKUP('Données projet'!$B$15,Paramètres!$A$1:$I$89,5,0)</f>
        <v>1.1527845344971866E-13</v>
      </c>
      <c r="EL182" s="14">
        <f t="shared" si="179"/>
        <v>1.7033846239409443E-12</v>
      </c>
      <c r="EM182" s="22">
        <f t="shared" si="180"/>
        <v>3.1675048597887374E-12</v>
      </c>
      <c r="EN182" s="61">
        <f t="shared" si="128"/>
        <v>293.3333333333365</v>
      </c>
      <c r="EO182" s="61">
        <f ca="1">AVERAGE(OFFSET($EN$3,0,0,'Données projet'!$E$15+1,1))-AVERAGE(OFFSET($H$3,0,0,'Données projet'!$E$15+1,1))</f>
        <v>222.15256609836689</v>
      </c>
      <c r="EP182" s="61">
        <f t="shared" si="154"/>
        <v>221.10360210521077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1.1368683772161603E-13</v>
      </c>
      <c r="FF182" s="18">
        <f>FE182*VLOOKUP('Données projet'!$B$16,Paramètres!$A$1:$I$89,3,0)*VLOOKUP('Données projet'!$B$16,Paramètres!$A$1:$I$89,5,0)</f>
        <v>8.8675733422860506E-14</v>
      </c>
      <c r="FG182" s="14">
        <f t="shared" si="182"/>
        <v>1.3509285393066301E-12</v>
      </c>
      <c r="FH182" s="22">
        <f t="shared" si="183"/>
        <v>2.5073107750038623E-12</v>
      </c>
      <c r="FI182" s="61">
        <f t="shared" si="131"/>
        <v>293.33333333333582</v>
      </c>
      <c r="FJ182" s="61">
        <f ca="1">AVERAGE(OFFSET($FI$3,0,0,'Données projet'!$E$16+1,1))-AVERAGE(OFFSET($H$3,0,0,'Données projet'!$E$16+1,1))</f>
        <v>292.57482726862594</v>
      </c>
      <c r="FK182" s="61">
        <f t="shared" si="156"/>
        <v>283.48738729114024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-9.6633812063373625E-13</v>
      </c>
      <c r="GA182" s="18">
        <f>FZ182*VLOOKUP('Données projet'!$B$17,Paramètres!$A$1:$I$89,3,0)*VLOOKUP('Données projet'!$B$17,Paramètres!$A$1:$I$89,5,0)</f>
        <v>-9.3464223027694966E-13</v>
      </c>
      <c r="GB182" s="14" t="e">
        <f t="shared" si="185"/>
        <v>#NUM!</v>
      </c>
      <c r="GC182" s="22" t="e">
        <f t="shared" si="186"/>
        <v>#NUM!</v>
      </c>
      <c r="GD182" s="61" t="e">
        <f t="shared" si="134"/>
        <v>#NUM!</v>
      </c>
      <c r="GE182" s="61">
        <f ca="1">AVERAGE(OFFSET($GD$3,0,0,'Données projet'!$E$17+1,1))-AVERAGE(OFFSET($H$3,0,0,'Données projet'!$E$17+1,1))</f>
        <v>455.50822833641354</v>
      </c>
      <c r="GF182" s="61">
        <f t="shared" si="158"/>
        <v>261.14722581688039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0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0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-9.6633812063373625E-13</v>
      </c>
      <c r="GV182" s="18">
        <f>GU182*VLOOKUP('Données projet'!$B$18,Paramètres!$A$1:$I$89,3,0)*VLOOKUP('Données projet'!$B$18,Paramètres!$A$1:$I$89,5,0)</f>
        <v>-1.0401663530501537E-12</v>
      </c>
      <c r="GW182" s="14" t="e">
        <f t="shared" si="188"/>
        <v>#NUM!</v>
      </c>
      <c r="GX182" s="22" t="e">
        <f t="shared" si="189"/>
        <v>#NUM!</v>
      </c>
      <c r="GY182" s="61" t="e">
        <f t="shared" si="137"/>
        <v>#NUM!</v>
      </c>
      <c r="GZ182" s="61">
        <f ca="1">AVERAGE(OFFSET($GY$3,0,0,'Données projet'!$E$18+1,1))-AVERAGE(OFFSET($H$3,0,0,'Données projet'!$E$18+1,1))</f>
        <v>502.07782026233912</v>
      </c>
      <c r="HA182" s="61">
        <f t="shared" si="160"/>
        <v>285.83623046025156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0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0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-8.7434273154940449E-13</v>
      </c>
      <c r="P183" s="14" t="e">
        <f t="shared" si="141"/>
        <v>#NUM!</v>
      </c>
      <c r="Q183" s="22" t="e">
        <f t="shared" si="162"/>
        <v>#NUM!</v>
      </c>
      <c r="R183" s="61" t="e">
        <f t="shared" si="109"/>
        <v>#NUM!</v>
      </c>
      <c r="S183" s="61">
        <f ca="1">AVERAGE(OFFSET($R$3,0,0,'Données projet'!$E$9+1,1))-AVERAGE(OFFSET($H$3,0,0,'Données projet'!$E$9+1,1))</f>
        <v>428.8489304403459</v>
      </c>
      <c r="T183" s="61">
        <f t="shared" si="142"/>
        <v>247.01165577562966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1" t="e">
        <f t="shared" si="113"/>
        <v>#NUM!</v>
      </c>
      <c r="AN183" s="61">
        <f ca="1">AVERAGE(OFFSET($AM$3,0,0,'Données projet'!$E$10+1,1))-AVERAGE(OFFSET($H$3,0,0,'Données projet'!$E$10+1,1))</f>
        <v>475.47920969424894</v>
      </c>
      <c r="AO183" s="61">
        <f t="shared" si="144"/>
        <v>271.73544012419364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-3.4106051316484809E-13</v>
      </c>
      <c r="BE183" s="14">
        <f>BD183*VLOOKUP('Données projet'!$B$11,Paramètres!$A$1:$I$89,3,0)*VLOOKUP('Données projet'!$B$11,Paramètres!$A$1:$I$89,5,0)</f>
        <v>-1.9065282685915009E-13</v>
      </c>
      <c r="BF183" s="14" t="e">
        <f t="shared" si="167"/>
        <v>#NUM!</v>
      </c>
      <c r="BG183" s="22" t="e">
        <f t="shared" si="168"/>
        <v>#NUM!</v>
      </c>
      <c r="BH183" s="61" t="e">
        <f t="shared" si="116"/>
        <v>#NUM!</v>
      </c>
      <c r="BI183" s="61">
        <f ca="1">AVERAGE(OFFSET($BH$3,0,0,'Données projet'!$E$11+1,1))-AVERAGE(OFFSET($H$3,0,0,'Données projet'!$E$11+1,1))</f>
        <v>374.79806286316051</v>
      </c>
      <c r="BJ183" s="61">
        <f t="shared" si="146"/>
        <v>350.01856672839466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0.34795972293321276</v>
      </c>
      <c r="BR183" s="23">
        <f>EXP(-LN(2)/2)*BR182+(1-EXP(-LN(2)/2))/(LN(2)/2)*BL183*BO183*VLOOKUP('Données projet'!$B$11,Paramètres!$A$1:$I$89,3,0)*0.475*44/12</f>
        <v>2.9137353807714956E-22</v>
      </c>
      <c r="BS183" s="24">
        <f t="shared" si="169"/>
        <v>0.34795972293321276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5.6843418860808015E-13</v>
      </c>
      <c r="BZ183" s="14">
        <f>BY183*VLOOKUP('Données projet'!$B$12,Paramètres!$A$1:$I$89,3,0)*VLOOKUP('Données projet'!$B$12,Paramètres!$A$1:$I$89,5,0)</f>
        <v>2.6602720026858149E-13</v>
      </c>
      <c r="CA183" s="14">
        <f t="shared" si="170"/>
        <v>3.5662905043956649E-12</v>
      </c>
      <c r="CB183" s="22">
        <f t="shared" si="171"/>
        <v>6.6746200022902298E-12</v>
      </c>
      <c r="CC183" s="61">
        <f t="shared" si="119"/>
        <v>293.33333333333997</v>
      </c>
      <c r="CD183" s="61">
        <f ca="1">AVERAGE(OFFSET($CC$3,0,0,'Données projet'!$E$12+1,1))-AVERAGE(OFFSET($H$3,0,0,'Données projet'!$E$12+1,1))</f>
        <v>285.59863510278109</v>
      </c>
      <c r="CE183" s="61">
        <f t="shared" si="148"/>
        <v>190.4880882944471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5.4683368944097308E-14</v>
      </c>
      <c r="CV183" s="14">
        <f t="shared" si="173"/>
        <v>8.8129432816788268E-13</v>
      </c>
      <c r="CW183" s="22">
        <f t="shared" si="174"/>
        <v>1.6301611558033651E-12</v>
      </c>
      <c r="CX183" s="61">
        <f t="shared" si="122"/>
        <v>293.33333333333496</v>
      </c>
      <c r="CY183" s="61">
        <f ca="1">AVERAGE(OFFSET($CX$3,0,0,'Données projet'!$E$13+1,1))-AVERAGE(OFFSET($H$3,0,0,'Données projet'!$E$13+1,1))</f>
        <v>273.72618036666552</v>
      </c>
      <c r="CZ183" s="61">
        <f t="shared" si="150"/>
        <v>157.67999791700714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1.7053025658242404E-13</v>
      </c>
      <c r="DP183" s="18">
        <f>DO183*VLOOKUP('Données projet'!$B$14,Paramètres!$A$1:$I$89,3,0)*VLOOKUP('Données projet'!$B$14,Paramètres!$A$1:$I$89,5,0)</f>
        <v>1.1439169611549005E-13</v>
      </c>
      <c r="DQ183" s="14">
        <f t="shared" si="176"/>
        <v>1.6918016515029816E-12</v>
      </c>
      <c r="DR183" s="22">
        <f t="shared" si="177"/>
        <v>3.1457867471021712E-12</v>
      </c>
      <c r="DS183" s="61">
        <f t="shared" si="125"/>
        <v>293.33333333333644</v>
      </c>
      <c r="DT183" s="61">
        <f ca="1">AVERAGE(OFFSET($DS$3,0,0,'Données projet'!$E$14+1,1))-AVERAGE(OFFSET($H$3,0,0,'Données projet'!$E$14+1,1))</f>
        <v>312.06797204903796</v>
      </c>
      <c r="DU183" s="61">
        <f t="shared" si="152"/>
        <v>258.20189001775151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1.4210854715202004E-13</v>
      </c>
      <c r="EK183" s="18">
        <f>EJ183*VLOOKUP('Données projet'!$B$15,Paramètres!$A$1:$I$89,3,0)*VLOOKUP('Données projet'!$B$15,Paramètres!$A$1:$I$89,5,0)</f>
        <v>1.1527845344971866E-13</v>
      </c>
      <c r="EL183" s="14">
        <f t="shared" si="179"/>
        <v>1.7033846239409443E-12</v>
      </c>
      <c r="EM183" s="22">
        <f t="shared" si="180"/>
        <v>3.1675048597887374E-12</v>
      </c>
      <c r="EN183" s="61">
        <f t="shared" si="128"/>
        <v>293.3333333333365</v>
      </c>
      <c r="EO183" s="61">
        <f ca="1">AVERAGE(OFFSET($EN$3,0,0,'Données projet'!$E$15+1,1))-AVERAGE(OFFSET($H$3,0,0,'Données projet'!$E$15+1,1))</f>
        <v>222.15256609836689</v>
      </c>
      <c r="EP183" s="61">
        <f t="shared" si="154"/>
        <v>221.10360210521077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1.1368683772161603E-13</v>
      </c>
      <c r="FF183" s="18">
        <f>FE183*VLOOKUP('Données projet'!$B$16,Paramètres!$A$1:$I$89,3,0)*VLOOKUP('Données projet'!$B$16,Paramètres!$A$1:$I$89,5,0)</f>
        <v>8.8675733422860506E-14</v>
      </c>
      <c r="FG183" s="14">
        <f t="shared" si="182"/>
        <v>1.3509285393066301E-12</v>
      </c>
      <c r="FH183" s="22">
        <f t="shared" si="183"/>
        <v>2.5073107750038623E-12</v>
      </c>
      <c r="FI183" s="61">
        <f t="shared" si="131"/>
        <v>293.33333333333582</v>
      </c>
      <c r="FJ183" s="61">
        <f ca="1">AVERAGE(OFFSET($FI$3,0,0,'Données projet'!$E$16+1,1))-AVERAGE(OFFSET($H$3,0,0,'Données projet'!$E$16+1,1))</f>
        <v>292.57482726862594</v>
      </c>
      <c r="FK183" s="61">
        <f t="shared" si="156"/>
        <v>283.48738729114024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-9.6633812063373625E-13</v>
      </c>
      <c r="GA183" s="18">
        <f>FZ183*VLOOKUP('Données projet'!$B$17,Paramètres!$A$1:$I$89,3,0)*VLOOKUP('Données projet'!$B$17,Paramètres!$A$1:$I$89,5,0)</f>
        <v>-9.3464223027694966E-13</v>
      </c>
      <c r="GB183" s="14" t="e">
        <f t="shared" si="185"/>
        <v>#NUM!</v>
      </c>
      <c r="GC183" s="22" t="e">
        <f t="shared" si="186"/>
        <v>#NUM!</v>
      </c>
      <c r="GD183" s="61" t="e">
        <f t="shared" si="134"/>
        <v>#NUM!</v>
      </c>
      <c r="GE183" s="61">
        <f ca="1">AVERAGE(OFFSET($GD$3,0,0,'Données projet'!$E$17+1,1))-AVERAGE(OFFSET($H$3,0,0,'Données projet'!$E$17+1,1))</f>
        <v>455.50822833641354</v>
      </c>
      <c r="GF183" s="61">
        <f t="shared" si="158"/>
        <v>261.14722581688039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0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0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-9.6633812063373625E-13</v>
      </c>
      <c r="GV183" s="18">
        <f>GU183*VLOOKUP('Données projet'!$B$18,Paramètres!$A$1:$I$89,3,0)*VLOOKUP('Données projet'!$B$18,Paramètres!$A$1:$I$89,5,0)</f>
        <v>-1.0401663530501537E-12</v>
      </c>
      <c r="GW183" s="14" t="e">
        <f t="shared" si="188"/>
        <v>#NUM!</v>
      </c>
      <c r="GX183" s="22" t="e">
        <f t="shared" si="189"/>
        <v>#NUM!</v>
      </c>
      <c r="GY183" s="61" t="e">
        <f t="shared" si="137"/>
        <v>#NUM!</v>
      </c>
      <c r="GZ183" s="61">
        <f ca="1">AVERAGE(OFFSET($GY$3,0,0,'Données projet'!$E$18+1,1))-AVERAGE(OFFSET($H$3,0,0,'Données projet'!$E$18+1,1))</f>
        <v>502.07782026233912</v>
      </c>
      <c r="HA183" s="61">
        <f t="shared" si="160"/>
        <v>285.83623046025156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0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0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-8.7434273154940449E-13</v>
      </c>
      <c r="P184" s="14" t="e">
        <f t="shared" si="141"/>
        <v>#NUM!</v>
      </c>
      <c r="Q184" s="22" t="e">
        <f t="shared" si="162"/>
        <v>#NUM!</v>
      </c>
      <c r="R184" s="61" t="e">
        <f t="shared" si="109"/>
        <v>#NUM!</v>
      </c>
      <c r="S184" s="61">
        <f ca="1">AVERAGE(OFFSET($R$3,0,0,'Données projet'!$E$9+1,1))-AVERAGE(OFFSET($H$3,0,0,'Données projet'!$E$9+1,1))</f>
        <v>428.8489304403459</v>
      </c>
      <c r="T184" s="61">
        <f t="shared" si="142"/>
        <v>247.01165577562966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1" t="e">
        <f t="shared" si="113"/>
        <v>#NUM!</v>
      </c>
      <c r="AN184" s="61">
        <f ca="1">AVERAGE(OFFSET($AM$3,0,0,'Données projet'!$E$10+1,1))-AVERAGE(OFFSET($H$3,0,0,'Données projet'!$E$10+1,1))</f>
        <v>475.47920969424894</v>
      </c>
      <c r="AO184" s="61">
        <f t="shared" si="144"/>
        <v>271.73544012419364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-3.4106051316484809E-13</v>
      </c>
      <c r="BE184" s="14">
        <f>BD184*VLOOKUP('Données projet'!$B$11,Paramètres!$A$1:$I$89,3,0)*VLOOKUP('Données projet'!$B$11,Paramètres!$A$1:$I$89,5,0)</f>
        <v>-1.9065282685915009E-13</v>
      </c>
      <c r="BF184" s="14" t="e">
        <f t="shared" si="167"/>
        <v>#NUM!</v>
      </c>
      <c r="BG184" s="22" t="e">
        <f t="shared" si="168"/>
        <v>#NUM!</v>
      </c>
      <c r="BH184" s="61" t="e">
        <f t="shared" si="116"/>
        <v>#NUM!</v>
      </c>
      <c r="BI184" s="61">
        <f ca="1">AVERAGE(OFFSET($BH$3,0,0,'Données projet'!$E$11+1,1))-AVERAGE(OFFSET($H$3,0,0,'Données projet'!$E$11+1,1))</f>
        <v>374.79806286316051</v>
      </c>
      <c r="BJ184" s="61">
        <f t="shared" si="146"/>
        <v>350.01856672839466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0.33844474601119751</v>
      </c>
      <c r="BR184" s="23">
        <f>EXP(-LN(2)/2)*BR183+(1-EXP(-LN(2)/2))/(LN(2)/2)*BL184*BO184*VLOOKUP('Données projet'!$B$11,Paramètres!$A$1:$I$89,3,0)*0.475*44/12</f>
        <v>2.0603220463266917E-22</v>
      </c>
      <c r="BS184" s="24">
        <f t="shared" si="169"/>
        <v>0.33844474601119751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5.6843418860808015E-13</v>
      </c>
      <c r="BZ184" s="14">
        <f>BY184*VLOOKUP('Données projet'!$B$12,Paramètres!$A$1:$I$89,3,0)*VLOOKUP('Données projet'!$B$12,Paramètres!$A$1:$I$89,5,0)</f>
        <v>2.6602720026858149E-13</v>
      </c>
      <c r="CA184" s="14">
        <f t="shared" si="170"/>
        <v>3.5662905043956649E-12</v>
      </c>
      <c r="CB184" s="22">
        <f t="shared" si="171"/>
        <v>6.6746200022902298E-12</v>
      </c>
      <c r="CC184" s="61">
        <f t="shared" si="119"/>
        <v>293.33333333333997</v>
      </c>
      <c r="CD184" s="61">
        <f ca="1">AVERAGE(OFFSET($CC$3,0,0,'Données projet'!$E$12+1,1))-AVERAGE(OFFSET($H$3,0,0,'Données projet'!$E$12+1,1))</f>
        <v>285.59863510278109</v>
      </c>
      <c r="CE184" s="61">
        <f t="shared" si="148"/>
        <v>190.4880882944471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5.4683368944097308E-14</v>
      </c>
      <c r="CV184" s="14">
        <f t="shared" si="173"/>
        <v>8.8129432816788268E-13</v>
      </c>
      <c r="CW184" s="22">
        <f t="shared" si="174"/>
        <v>1.6301611558033651E-12</v>
      </c>
      <c r="CX184" s="61">
        <f t="shared" si="122"/>
        <v>293.33333333333496</v>
      </c>
      <c r="CY184" s="61">
        <f ca="1">AVERAGE(OFFSET($CX$3,0,0,'Données projet'!$E$13+1,1))-AVERAGE(OFFSET($H$3,0,0,'Données projet'!$E$13+1,1))</f>
        <v>273.72618036666552</v>
      </c>
      <c r="CZ184" s="61">
        <f t="shared" si="150"/>
        <v>157.67999791700714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1.7053025658242404E-13</v>
      </c>
      <c r="DP184" s="18">
        <f>DO184*VLOOKUP('Données projet'!$B$14,Paramètres!$A$1:$I$89,3,0)*VLOOKUP('Données projet'!$B$14,Paramètres!$A$1:$I$89,5,0)</f>
        <v>1.1439169611549005E-13</v>
      </c>
      <c r="DQ184" s="14">
        <f t="shared" si="176"/>
        <v>1.6918016515029816E-12</v>
      </c>
      <c r="DR184" s="22">
        <f t="shared" si="177"/>
        <v>3.1457867471021712E-12</v>
      </c>
      <c r="DS184" s="61">
        <f t="shared" si="125"/>
        <v>293.33333333333644</v>
      </c>
      <c r="DT184" s="61">
        <f ca="1">AVERAGE(OFFSET($DS$3,0,0,'Données projet'!$E$14+1,1))-AVERAGE(OFFSET($H$3,0,0,'Données projet'!$E$14+1,1))</f>
        <v>312.06797204903796</v>
      </c>
      <c r="DU184" s="61">
        <f t="shared" si="152"/>
        <v>258.20189001775151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1.4210854715202004E-13</v>
      </c>
      <c r="EK184" s="18">
        <f>EJ184*VLOOKUP('Données projet'!$B$15,Paramètres!$A$1:$I$89,3,0)*VLOOKUP('Données projet'!$B$15,Paramètres!$A$1:$I$89,5,0)</f>
        <v>1.1527845344971866E-13</v>
      </c>
      <c r="EL184" s="14">
        <f t="shared" si="179"/>
        <v>1.7033846239409443E-12</v>
      </c>
      <c r="EM184" s="22">
        <f t="shared" si="180"/>
        <v>3.1675048597887374E-12</v>
      </c>
      <c r="EN184" s="61">
        <f t="shared" si="128"/>
        <v>293.3333333333365</v>
      </c>
      <c r="EO184" s="61">
        <f ca="1">AVERAGE(OFFSET($EN$3,0,0,'Données projet'!$E$15+1,1))-AVERAGE(OFFSET($H$3,0,0,'Données projet'!$E$15+1,1))</f>
        <v>222.15256609836689</v>
      </c>
      <c r="EP184" s="61">
        <f t="shared" si="154"/>
        <v>221.10360210521077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1.1368683772161603E-13</v>
      </c>
      <c r="FF184" s="18">
        <f>FE184*VLOOKUP('Données projet'!$B$16,Paramètres!$A$1:$I$89,3,0)*VLOOKUP('Données projet'!$B$16,Paramètres!$A$1:$I$89,5,0)</f>
        <v>8.8675733422860506E-14</v>
      </c>
      <c r="FG184" s="14">
        <f t="shared" si="182"/>
        <v>1.3509285393066301E-12</v>
      </c>
      <c r="FH184" s="22">
        <f t="shared" si="183"/>
        <v>2.5073107750038623E-12</v>
      </c>
      <c r="FI184" s="61">
        <f t="shared" si="131"/>
        <v>293.33333333333582</v>
      </c>
      <c r="FJ184" s="61">
        <f ca="1">AVERAGE(OFFSET($FI$3,0,0,'Données projet'!$E$16+1,1))-AVERAGE(OFFSET($H$3,0,0,'Données projet'!$E$16+1,1))</f>
        <v>292.57482726862594</v>
      </c>
      <c r="FK184" s="61">
        <f t="shared" si="156"/>
        <v>283.48738729114024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-9.6633812063373625E-13</v>
      </c>
      <c r="GA184" s="18">
        <f>FZ184*VLOOKUP('Données projet'!$B$17,Paramètres!$A$1:$I$89,3,0)*VLOOKUP('Données projet'!$B$17,Paramètres!$A$1:$I$89,5,0)</f>
        <v>-9.3464223027694966E-13</v>
      </c>
      <c r="GB184" s="14" t="e">
        <f t="shared" si="185"/>
        <v>#NUM!</v>
      </c>
      <c r="GC184" s="22" t="e">
        <f t="shared" si="186"/>
        <v>#NUM!</v>
      </c>
      <c r="GD184" s="61" t="e">
        <f t="shared" si="134"/>
        <v>#NUM!</v>
      </c>
      <c r="GE184" s="61">
        <f ca="1">AVERAGE(OFFSET($GD$3,0,0,'Données projet'!$E$17+1,1))-AVERAGE(OFFSET($H$3,0,0,'Données projet'!$E$17+1,1))</f>
        <v>455.50822833641354</v>
      </c>
      <c r="GF184" s="61">
        <f t="shared" si="158"/>
        <v>261.14722581688039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0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0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-9.6633812063373625E-13</v>
      </c>
      <c r="GV184" s="18">
        <f>GU184*VLOOKUP('Données projet'!$B$18,Paramètres!$A$1:$I$89,3,0)*VLOOKUP('Données projet'!$B$18,Paramètres!$A$1:$I$89,5,0)</f>
        <v>-1.0401663530501537E-12</v>
      </c>
      <c r="GW184" s="14" t="e">
        <f t="shared" si="188"/>
        <v>#NUM!</v>
      </c>
      <c r="GX184" s="22" t="e">
        <f t="shared" si="189"/>
        <v>#NUM!</v>
      </c>
      <c r="GY184" s="61" t="e">
        <f t="shared" si="137"/>
        <v>#NUM!</v>
      </c>
      <c r="GZ184" s="61">
        <f ca="1">AVERAGE(OFFSET($GY$3,0,0,'Données projet'!$E$18+1,1))-AVERAGE(OFFSET($H$3,0,0,'Données projet'!$E$18+1,1))</f>
        <v>502.07782026233912</v>
      </c>
      <c r="HA184" s="61">
        <f t="shared" si="160"/>
        <v>285.83623046025156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0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0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-8.7434273154940449E-13</v>
      </c>
      <c r="P185" s="14" t="e">
        <f t="shared" si="141"/>
        <v>#NUM!</v>
      </c>
      <c r="Q185" s="22" t="e">
        <f t="shared" si="162"/>
        <v>#NUM!</v>
      </c>
      <c r="R185" s="61" t="e">
        <f t="shared" si="109"/>
        <v>#NUM!</v>
      </c>
      <c r="S185" s="61">
        <f ca="1">AVERAGE(OFFSET($R$3,0,0,'Données projet'!$E$9+1,1))-AVERAGE(OFFSET($H$3,0,0,'Données projet'!$E$9+1,1))</f>
        <v>428.8489304403459</v>
      </c>
      <c r="T185" s="61">
        <f t="shared" si="142"/>
        <v>247.01165577562966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1" t="e">
        <f t="shared" si="113"/>
        <v>#NUM!</v>
      </c>
      <c r="AN185" s="61">
        <f ca="1">AVERAGE(OFFSET($AM$3,0,0,'Données projet'!$E$10+1,1))-AVERAGE(OFFSET($H$3,0,0,'Données projet'!$E$10+1,1))</f>
        <v>475.47920969424894</v>
      </c>
      <c r="AO185" s="61">
        <f t="shared" si="144"/>
        <v>271.73544012419364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-3.4106051316484809E-13</v>
      </c>
      <c r="BE185" s="14">
        <f>BD185*VLOOKUP('Données projet'!$B$11,Paramètres!$A$1:$I$89,3,0)*VLOOKUP('Données projet'!$B$11,Paramètres!$A$1:$I$89,5,0)</f>
        <v>-1.9065282685915009E-13</v>
      </c>
      <c r="BF185" s="14" t="e">
        <f t="shared" si="167"/>
        <v>#NUM!</v>
      </c>
      <c r="BG185" s="22" t="e">
        <f t="shared" si="168"/>
        <v>#NUM!</v>
      </c>
      <c r="BH185" s="61" t="e">
        <f t="shared" si="116"/>
        <v>#NUM!</v>
      </c>
      <c r="BI185" s="61">
        <f ca="1">AVERAGE(OFFSET($BH$3,0,0,'Données projet'!$E$11+1,1))-AVERAGE(OFFSET($H$3,0,0,'Données projet'!$E$11+1,1))</f>
        <v>374.79806286316051</v>
      </c>
      <c r="BJ185" s="61">
        <f t="shared" si="146"/>
        <v>350.01856672839466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0.32918995663348566</v>
      </c>
      <c r="BR185" s="23">
        <f>EXP(-LN(2)/2)*BR184+(1-EXP(-LN(2)/2))/(LN(2)/2)*BL185*BO185*VLOOKUP('Données projet'!$B$11,Paramètres!$A$1:$I$89,3,0)*0.475*44/12</f>
        <v>1.456867690385748E-22</v>
      </c>
      <c r="BS185" s="24">
        <f t="shared" si="169"/>
        <v>0.32918995663348566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5.6843418860808015E-13</v>
      </c>
      <c r="BZ185" s="14">
        <f>BY185*VLOOKUP('Données projet'!$B$12,Paramètres!$A$1:$I$89,3,0)*VLOOKUP('Données projet'!$B$12,Paramètres!$A$1:$I$89,5,0)</f>
        <v>2.6602720026858149E-13</v>
      </c>
      <c r="CA185" s="14">
        <f t="shared" si="170"/>
        <v>3.5662905043956649E-12</v>
      </c>
      <c r="CB185" s="22">
        <f t="shared" si="171"/>
        <v>6.6746200022902298E-12</v>
      </c>
      <c r="CC185" s="61">
        <f t="shared" si="119"/>
        <v>293.33333333333997</v>
      </c>
      <c r="CD185" s="61">
        <f ca="1">AVERAGE(OFFSET($CC$3,0,0,'Données projet'!$E$12+1,1))-AVERAGE(OFFSET($H$3,0,0,'Données projet'!$E$12+1,1))</f>
        <v>285.59863510278109</v>
      </c>
      <c r="CE185" s="61">
        <f t="shared" si="148"/>
        <v>190.4880882944471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5.4683368944097308E-14</v>
      </c>
      <c r="CV185" s="14">
        <f t="shared" si="173"/>
        <v>8.8129432816788268E-13</v>
      </c>
      <c r="CW185" s="22">
        <f t="shared" si="174"/>
        <v>1.6301611558033651E-12</v>
      </c>
      <c r="CX185" s="61">
        <f t="shared" si="122"/>
        <v>293.33333333333496</v>
      </c>
      <c r="CY185" s="61">
        <f ca="1">AVERAGE(OFFSET($CX$3,0,0,'Données projet'!$E$13+1,1))-AVERAGE(OFFSET($H$3,0,0,'Données projet'!$E$13+1,1))</f>
        <v>273.72618036666552</v>
      </c>
      <c r="CZ185" s="61">
        <f t="shared" si="150"/>
        <v>157.67999791700714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1.7053025658242404E-13</v>
      </c>
      <c r="DP185" s="18">
        <f>DO185*VLOOKUP('Données projet'!$B$14,Paramètres!$A$1:$I$89,3,0)*VLOOKUP('Données projet'!$B$14,Paramètres!$A$1:$I$89,5,0)</f>
        <v>1.1439169611549005E-13</v>
      </c>
      <c r="DQ185" s="14">
        <f t="shared" si="176"/>
        <v>1.6918016515029816E-12</v>
      </c>
      <c r="DR185" s="22">
        <f t="shared" si="177"/>
        <v>3.1457867471021712E-12</v>
      </c>
      <c r="DS185" s="61">
        <f t="shared" si="125"/>
        <v>293.33333333333644</v>
      </c>
      <c r="DT185" s="61">
        <f ca="1">AVERAGE(OFFSET($DS$3,0,0,'Données projet'!$E$14+1,1))-AVERAGE(OFFSET($H$3,0,0,'Données projet'!$E$14+1,1))</f>
        <v>312.06797204903796</v>
      </c>
      <c r="DU185" s="61">
        <f t="shared" si="152"/>
        <v>258.20189001775151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1.4210854715202004E-13</v>
      </c>
      <c r="EK185" s="18">
        <f>EJ185*VLOOKUP('Données projet'!$B$15,Paramètres!$A$1:$I$89,3,0)*VLOOKUP('Données projet'!$B$15,Paramètres!$A$1:$I$89,5,0)</f>
        <v>1.1527845344971866E-13</v>
      </c>
      <c r="EL185" s="14">
        <f t="shared" si="179"/>
        <v>1.7033846239409443E-12</v>
      </c>
      <c r="EM185" s="22">
        <f t="shared" si="180"/>
        <v>3.1675048597887374E-12</v>
      </c>
      <c r="EN185" s="61">
        <f t="shared" si="128"/>
        <v>293.3333333333365</v>
      </c>
      <c r="EO185" s="61">
        <f ca="1">AVERAGE(OFFSET($EN$3,0,0,'Données projet'!$E$15+1,1))-AVERAGE(OFFSET($H$3,0,0,'Données projet'!$E$15+1,1))</f>
        <v>222.15256609836689</v>
      </c>
      <c r="EP185" s="61">
        <f t="shared" si="154"/>
        <v>221.10360210521077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1.1368683772161603E-13</v>
      </c>
      <c r="FF185" s="18">
        <f>FE185*VLOOKUP('Données projet'!$B$16,Paramètres!$A$1:$I$89,3,0)*VLOOKUP('Données projet'!$B$16,Paramètres!$A$1:$I$89,5,0)</f>
        <v>8.8675733422860506E-14</v>
      </c>
      <c r="FG185" s="14">
        <f t="shared" si="182"/>
        <v>1.3509285393066301E-12</v>
      </c>
      <c r="FH185" s="22">
        <f t="shared" si="183"/>
        <v>2.5073107750038623E-12</v>
      </c>
      <c r="FI185" s="61">
        <f t="shared" si="131"/>
        <v>293.33333333333582</v>
      </c>
      <c r="FJ185" s="61">
        <f ca="1">AVERAGE(OFFSET($FI$3,0,0,'Données projet'!$E$16+1,1))-AVERAGE(OFFSET($H$3,0,0,'Données projet'!$E$16+1,1))</f>
        <v>292.57482726862594</v>
      </c>
      <c r="FK185" s="61">
        <f t="shared" si="156"/>
        <v>283.48738729114024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-9.6633812063373625E-13</v>
      </c>
      <c r="GA185" s="18">
        <f>FZ185*VLOOKUP('Données projet'!$B$17,Paramètres!$A$1:$I$89,3,0)*VLOOKUP('Données projet'!$B$17,Paramètres!$A$1:$I$89,5,0)</f>
        <v>-9.3464223027694966E-13</v>
      </c>
      <c r="GB185" s="14" t="e">
        <f t="shared" si="185"/>
        <v>#NUM!</v>
      </c>
      <c r="GC185" s="22" t="e">
        <f t="shared" si="186"/>
        <v>#NUM!</v>
      </c>
      <c r="GD185" s="61" t="e">
        <f t="shared" si="134"/>
        <v>#NUM!</v>
      </c>
      <c r="GE185" s="61">
        <f ca="1">AVERAGE(OFFSET($GD$3,0,0,'Données projet'!$E$17+1,1))-AVERAGE(OFFSET($H$3,0,0,'Données projet'!$E$17+1,1))</f>
        <v>455.50822833641354</v>
      </c>
      <c r="GF185" s="61">
        <f t="shared" si="158"/>
        <v>261.14722581688039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0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0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-9.6633812063373625E-13</v>
      </c>
      <c r="GV185" s="18">
        <f>GU185*VLOOKUP('Données projet'!$B$18,Paramètres!$A$1:$I$89,3,0)*VLOOKUP('Données projet'!$B$18,Paramètres!$A$1:$I$89,5,0)</f>
        <v>-1.0401663530501537E-12</v>
      </c>
      <c r="GW185" s="14" t="e">
        <f t="shared" si="188"/>
        <v>#NUM!</v>
      </c>
      <c r="GX185" s="22" t="e">
        <f t="shared" si="189"/>
        <v>#NUM!</v>
      </c>
      <c r="GY185" s="61" t="e">
        <f t="shared" si="137"/>
        <v>#NUM!</v>
      </c>
      <c r="GZ185" s="61">
        <f ca="1">AVERAGE(OFFSET($GY$3,0,0,'Données projet'!$E$18+1,1))-AVERAGE(OFFSET($H$3,0,0,'Données projet'!$E$18+1,1))</f>
        <v>502.07782026233912</v>
      </c>
      <c r="HA185" s="61">
        <f t="shared" si="160"/>
        <v>285.83623046025156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0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0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-8.7434273154940449E-13</v>
      </c>
      <c r="P186" s="14" t="e">
        <f t="shared" si="141"/>
        <v>#NUM!</v>
      </c>
      <c r="Q186" s="22" t="e">
        <f t="shared" si="162"/>
        <v>#NUM!</v>
      </c>
      <c r="R186" s="61" t="e">
        <f t="shared" si="109"/>
        <v>#NUM!</v>
      </c>
      <c r="S186" s="61">
        <f ca="1">AVERAGE(OFFSET($R$3,0,0,'Données projet'!$E$9+1,1))-AVERAGE(OFFSET($H$3,0,0,'Données projet'!$E$9+1,1))</f>
        <v>428.8489304403459</v>
      </c>
      <c r="T186" s="61">
        <f t="shared" si="142"/>
        <v>247.01165577562966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1" t="e">
        <f t="shared" si="113"/>
        <v>#NUM!</v>
      </c>
      <c r="AN186" s="61">
        <f ca="1">AVERAGE(OFFSET($AM$3,0,0,'Données projet'!$E$10+1,1))-AVERAGE(OFFSET($H$3,0,0,'Données projet'!$E$10+1,1))</f>
        <v>475.47920969424894</v>
      </c>
      <c r="AO186" s="61">
        <f t="shared" si="144"/>
        <v>271.73544012419364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-3.4106051316484809E-13</v>
      </c>
      <c r="BE186" s="14">
        <f>BD186*VLOOKUP('Données projet'!$B$11,Paramètres!$A$1:$I$89,3,0)*VLOOKUP('Données projet'!$B$11,Paramètres!$A$1:$I$89,5,0)</f>
        <v>-1.9065282685915009E-13</v>
      </c>
      <c r="BF186" s="14" t="e">
        <f t="shared" si="167"/>
        <v>#NUM!</v>
      </c>
      <c r="BG186" s="22" t="e">
        <f t="shared" si="168"/>
        <v>#NUM!</v>
      </c>
      <c r="BH186" s="61" t="e">
        <f t="shared" si="116"/>
        <v>#NUM!</v>
      </c>
      <c r="BI186" s="61">
        <f ca="1">AVERAGE(OFFSET($BH$3,0,0,'Données projet'!$E$11+1,1))-AVERAGE(OFFSET($H$3,0,0,'Données projet'!$E$11+1,1))</f>
        <v>374.79806286316051</v>
      </c>
      <c r="BJ186" s="61">
        <f t="shared" si="146"/>
        <v>350.01856672839466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0.32018823995799556</v>
      </c>
      <c r="BR186" s="23">
        <f>EXP(-LN(2)/2)*BR185+(1-EXP(-LN(2)/2))/(LN(2)/2)*BL186*BO186*VLOOKUP('Données projet'!$B$11,Paramètres!$A$1:$I$89,3,0)*0.475*44/12</f>
        <v>1.0301610231633461E-22</v>
      </c>
      <c r="BS186" s="24">
        <f t="shared" si="169"/>
        <v>0.32018823995799556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5.6843418860808015E-13</v>
      </c>
      <c r="BZ186" s="14">
        <f>BY186*VLOOKUP('Données projet'!$B$12,Paramètres!$A$1:$I$89,3,0)*VLOOKUP('Données projet'!$B$12,Paramètres!$A$1:$I$89,5,0)</f>
        <v>2.6602720026858149E-13</v>
      </c>
      <c r="CA186" s="14">
        <f t="shared" si="170"/>
        <v>3.5662905043956649E-12</v>
      </c>
      <c r="CB186" s="22">
        <f t="shared" si="171"/>
        <v>6.6746200022902298E-12</v>
      </c>
      <c r="CC186" s="61">
        <f t="shared" si="119"/>
        <v>293.33333333333997</v>
      </c>
      <c r="CD186" s="61">
        <f ca="1">AVERAGE(OFFSET($CC$3,0,0,'Données projet'!$E$12+1,1))-AVERAGE(OFFSET($H$3,0,0,'Données projet'!$E$12+1,1))</f>
        <v>285.59863510278109</v>
      </c>
      <c r="CE186" s="61">
        <f t="shared" si="148"/>
        <v>190.4880882944471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5.4683368944097308E-14</v>
      </c>
      <c r="CV186" s="14">
        <f t="shared" si="173"/>
        <v>8.8129432816788268E-13</v>
      </c>
      <c r="CW186" s="22">
        <f t="shared" si="174"/>
        <v>1.6301611558033651E-12</v>
      </c>
      <c r="CX186" s="61">
        <f t="shared" si="122"/>
        <v>293.33333333333496</v>
      </c>
      <c r="CY186" s="61">
        <f ca="1">AVERAGE(OFFSET($CX$3,0,0,'Données projet'!$E$13+1,1))-AVERAGE(OFFSET($H$3,0,0,'Données projet'!$E$13+1,1))</f>
        <v>273.72618036666552</v>
      </c>
      <c r="CZ186" s="61">
        <f t="shared" si="150"/>
        <v>157.67999791700714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1.7053025658242404E-13</v>
      </c>
      <c r="DP186" s="18">
        <f>DO186*VLOOKUP('Données projet'!$B$14,Paramètres!$A$1:$I$89,3,0)*VLOOKUP('Données projet'!$B$14,Paramètres!$A$1:$I$89,5,0)</f>
        <v>1.1439169611549005E-13</v>
      </c>
      <c r="DQ186" s="14">
        <f t="shared" si="176"/>
        <v>1.6918016515029816E-12</v>
      </c>
      <c r="DR186" s="22">
        <f t="shared" si="177"/>
        <v>3.1457867471021712E-12</v>
      </c>
      <c r="DS186" s="61">
        <f t="shared" si="125"/>
        <v>293.33333333333644</v>
      </c>
      <c r="DT186" s="61">
        <f ca="1">AVERAGE(OFFSET($DS$3,0,0,'Données projet'!$E$14+1,1))-AVERAGE(OFFSET($H$3,0,0,'Données projet'!$E$14+1,1))</f>
        <v>312.06797204903796</v>
      </c>
      <c r="DU186" s="61">
        <f t="shared" si="152"/>
        <v>258.20189001775151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1.4210854715202004E-13</v>
      </c>
      <c r="EK186" s="18">
        <f>EJ186*VLOOKUP('Données projet'!$B$15,Paramètres!$A$1:$I$89,3,0)*VLOOKUP('Données projet'!$B$15,Paramètres!$A$1:$I$89,5,0)</f>
        <v>1.1527845344971866E-13</v>
      </c>
      <c r="EL186" s="14">
        <f t="shared" si="179"/>
        <v>1.7033846239409443E-12</v>
      </c>
      <c r="EM186" s="22">
        <f t="shared" si="180"/>
        <v>3.1675048597887374E-12</v>
      </c>
      <c r="EN186" s="61">
        <f t="shared" si="128"/>
        <v>293.3333333333365</v>
      </c>
      <c r="EO186" s="61">
        <f ca="1">AVERAGE(OFFSET($EN$3,0,0,'Données projet'!$E$15+1,1))-AVERAGE(OFFSET($H$3,0,0,'Données projet'!$E$15+1,1))</f>
        <v>222.15256609836689</v>
      </c>
      <c r="EP186" s="61">
        <f t="shared" si="154"/>
        <v>221.10360210521077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1.1368683772161603E-13</v>
      </c>
      <c r="FF186" s="18">
        <f>FE186*VLOOKUP('Données projet'!$B$16,Paramètres!$A$1:$I$89,3,0)*VLOOKUP('Données projet'!$B$16,Paramètres!$A$1:$I$89,5,0)</f>
        <v>8.8675733422860506E-14</v>
      </c>
      <c r="FG186" s="14">
        <f t="shared" si="182"/>
        <v>1.3509285393066301E-12</v>
      </c>
      <c r="FH186" s="22">
        <f t="shared" si="183"/>
        <v>2.5073107750038623E-12</v>
      </c>
      <c r="FI186" s="61">
        <f t="shared" si="131"/>
        <v>293.33333333333582</v>
      </c>
      <c r="FJ186" s="61">
        <f ca="1">AVERAGE(OFFSET($FI$3,0,0,'Données projet'!$E$16+1,1))-AVERAGE(OFFSET($H$3,0,0,'Données projet'!$E$16+1,1))</f>
        <v>292.57482726862594</v>
      </c>
      <c r="FK186" s="61">
        <f t="shared" si="156"/>
        <v>283.48738729114024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-9.6633812063373625E-13</v>
      </c>
      <c r="GA186" s="18">
        <f>FZ186*VLOOKUP('Données projet'!$B$17,Paramètres!$A$1:$I$89,3,0)*VLOOKUP('Données projet'!$B$17,Paramètres!$A$1:$I$89,5,0)</f>
        <v>-9.3464223027694966E-13</v>
      </c>
      <c r="GB186" s="14" t="e">
        <f t="shared" si="185"/>
        <v>#NUM!</v>
      </c>
      <c r="GC186" s="22" t="e">
        <f t="shared" si="186"/>
        <v>#NUM!</v>
      </c>
      <c r="GD186" s="61" t="e">
        <f t="shared" si="134"/>
        <v>#NUM!</v>
      </c>
      <c r="GE186" s="61">
        <f ca="1">AVERAGE(OFFSET($GD$3,0,0,'Données projet'!$E$17+1,1))-AVERAGE(OFFSET($H$3,0,0,'Données projet'!$E$17+1,1))</f>
        <v>455.50822833641354</v>
      </c>
      <c r="GF186" s="61">
        <f t="shared" si="158"/>
        <v>261.14722581688039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0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0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-9.6633812063373625E-13</v>
      </c>
      <c r="GV186" s="18">
        <f>GU186*VLOOKUP('Données projet'!$B$18,Paramètres!$A$1:$I$89,3,0)*VLOOKUP('Données projet'!$B$18,Paramètres!$A$1:$I$89,5,0)</f>
        <v>-1.0401663530501537E-12</v>
      </c>
      <c r="GW186" s="14" t="e">
        <f t="shared" si="188"/>
        <v>#NUM!</v>
      </c>
      <c r="GX186" s="22" t="e">
        <f t="shared" si="189"/>
        <v>#NUM!</v>
      </c>
      <c r="GY186" s="61" t="e">
        <f t="shared" si="137"/>
        <v>#NUM!</v>
      </c>
      <c r="GZ186" s="61">
        <f ca="1">AVERAGE(OFFSET($GY$3,0,0,'Données projet'!$E$18+1,1))-AVERAGE(OFFSET($H$3,0,0,'Données projet'!$E$18+1,1))</f>
        <v>502.07782026233912</v>
      </c>
      <c r="HA186" s="61">
        <f t="shared" si="160"/>
        <v>285.83623046025156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0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0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-8.7434273154940449E-13</v>
      </c>
      <c r="P187" s="14" t="e">
        <f t="shared" si="141"/>
        <v>#NUM!</v>
      </c>
      <c r="Q187" s="22" t="e">
        <f t="shared" si="162"/>
        <v>#NUM!</v>
      </c>
      <c r="R187" s="61" t="e">
        <f t="shared" si="109"/>
        <v>#NUM!</v>
      </c>
      <c r="S187" s="61">
        <f ca="1">AVERAGE(OFFSET($R$3,0,0,'Données projet'!$E$9+1,1))-AVERAGE(OFFSET($H$3,0,0,'Données projet'!$E$9+1,1))</f>
        <v>428.8489304403459</v>
      </c>
      <c r="T187" s="61">
        <f t="shared" si="142"/>
        <v>247.01165577562966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1" t="e">
        <f t="shared" si="113"/>
        <v>#NUM!</v>
      </c>
      <c r="AN187" s="61">
        <f ca="1">AVERAGE(OFFSET($AM$3,0,0,'Données projet'!$E$10+1,1))-AVERAGE(OFFSET($H$3,0,0,'Données projet'!$E$10+1,1))</f>
        <v>475.47920969424894</v>
      </c>
      <c r="AO187" s="61">
        <f t="shared" si="144"/>
        <v>271.73544012419364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-3.4106051316484809E-13</v>
      </c>
      <c r="BE187" s="14">
        <f>BD187*VLOOKUP('Données projet'!$B$11,Paramètres!$A$1:$I$89,3,0)*VLOOKUP('Données projet'!$B$11,Paramètres!$A$1:$I$89,5,0)</f>
        <v>-1.9065282685915009E-13</v>
      </c>
      <c r="BF187" s="14" t="e">
        <f t="shared" si="167"/>
        <v>#NUM!</v>
      </c>
      <c r="BG187" s="22" t="e">
        <f t="shared" si="168"/>
        <v>#NUM!</v>
      </c>
      <c r="BH187" s="61" t="e">
        <f t="shared" si="116"/>
        <v>#NUM!</v>
      </c>
      <c r="BI187" s="61">
        <f ca="1">AVERAGE(OFFSET($BH$3,0,0,'Données projet'!$E$11+1,1))-AVERAGE(OFFSET($H$3,0,0,'Données projet'!$E$11+1,1))</f>
        <v>374.79806286316051</v>
      </c>
      <c r="BJ187" s="61">
        <f t="shared" si="146"/>
        <v>350.01856672839466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0.3114326756983764</v>
      </c>
      <c r="BR187" s="23">
        <f>EXP(-LN(2)/2)*BR186+(1-EXP(-LN(2)/2))/(LN(2)/2)*BL187*BO187*VLOOKUP('Données projet'!$B$11,Paramètres!$A$1:$I$89,3,0)*0.475*44/12</f>
        <v>7.2843384519287413E-23</v>
      </c>
      <c r="BS187" s="24">
        <f t="shared" si="169"/>
        <v>0.3114326756983764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5.6843418860808015E-13</v>
      </c>
      <c r="BZ187" s="14">
        <f>BY187*VLOOKUP('Données projet'!$B$12,Paramètres!$A$1:$I$89,3,0)*VLOOKUP('Données projet'!$B$12,Paramètres!$A$1:$I$89,5,0)</f>
        <v>2.6602720026858149E-13</v>
      </c>
      <c r="CA187" s="14">
        <f t="shared" si="170"/>
        <v>3.5662905043956649E-12</v>
      </c>
      <c r="CB187" s="22">
        <f t="shared" si="171"/>
        <v>6.6746200022902298E-12</v>
      </c>
      <c r="CC187" s="61">
        <f t="shared" si="119"/>
        <v>293.33333333333997</v>
      </c>
      <c r="CD187" s="61">
        <f ca="1">AVERAGE(OFFSET($CC$3,0,0,'Données projet'!$E$12+1,1))-AVERAGE(OFFSET($H$3,0,0,'Données projet'!$E$12+1,1))</f>
        <v>285.59863510278109</v>
      </c>
      <c r="CE187" s="61">
        <f t="shared" si="148"/>
        <v>190.4880882944471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5.4683368944097308E-14</v>
      </c>
      <c r="CV187" s="14">
        <f t="shared" si="173"/>
        <v>8.8129432816788268E-13</v>
      </c>
      <c r="CW187" s="22">
        <f t="shared" si="174"/>
        <v>1.6301611558033651E-12</v>
      </c>
      <c r="CX187" s="61">
        <f t="shared" si="122"/>
        <v>293.33333333333496</v>
      </c>
      <c r="CY187" s="61">
        <f ca="1">AVERAGE(OFFSET($CX$3,0,0,'Données projet'!$E$13+1,1))-AVERAGE(OFFSET($H$3,0,0,'Données projet'!$E$13+1,1))</f>
        <v>273.72618036666552</v>
      </c>
      <c r="CZ187" s="61">
        <f t="shared" si="150"/>
        <v>157.67999791700714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1.7053025658242404E-13</v>
      </c>
      <c r="DP187" s="18">
        <f>DO187*VLOOKUP('Données projet'!$B$14,Paramètres!$A$1:$I$89,3,0)*VLOOKUP('Données projet'!$B$14,Paramètres!$A$1:$I$89,5,0)</f>
        <v>1.1439169611549005E-13</v>
      </c>
      <c r="DQ187" s="14">
        <f t="shared" si="176"/>
        <v>1.6918016515029816E-12</v>
      </c>
      <c r="DR187" s="22">
        <f t="shared" si="177"/>
        <v>3.1457867471021712E-12</v>
      </c>
      <c r="DS187" s="61">
        <f t="shared" si="125"/>
        <v>293.33333333333644</v>
      </c>
      <c r="DT187" s="61">
        <f ca="1">AVERAGE(OFFSET($DS$3,0,0,'Données projet'!$E$14+1,1))-AVERAGE(OFFSET($H$3,0,0,'Données projet'!$E$14+1,1))</f>
        <v>312.06797204903796</v>
      </c>
      <c r="DU187" s="61">
        <f t="shared" si="152"/>
        <v>258.20189001775151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1.4210854715202004E-13</v>
      </c>
      <c r="EK187" s="18">
        <f>EJ187*VLOOKUP('Données projet'!$B$15,Paramètres!$A$1:$I$89,3,0)*VLOOKUP('Données projet'!$B$15,Paramètres!$A$1:$I$89,5,0)</f>
        <v>1.1527845344971866E-13</v>
      </c>
      <c r="EL187" s="14">
        <f t="shared" si="179"/>
        <v>1.7033846239409443E-12</v>
      </c>
      <c r="EM187" s="22">
        <f t="shared" si="180"/>
        <v>3.1675048597887374E-12</v>
      </c>
      <c r="EN187" s="61">
        <f t="shared" si="128"/>
        <v>293.3333333333365</v>
      </c>
      <c r="EO187" s="61">
        <f ca="1">AVERAGE(OFFSET($EN$3,0,0,'Données projet'!$E$15+1,1))-AVERAGE(OFFSET($H$3,0,0,'Données projet'!$E$15+1,1))</f>
        <v>222.15256609836689</v>
      </c>
      <c r="EP187" s="61">
        <f t="shared" si="154"/>
        <v>221.10360210521077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1.1368683772161603E-13</v>
      </c>
      <c r="FF187" s="18">
        <f>FE187*VLOOKUP('Données projet'!$B$16,Paramètres!$A$1:$I$89,3,0)*VLOOKUP('Données projet'!$B$16,Paramètres!$A$1:$I$89,5,0)</f>
        <v>8.8675733422860506E-14</v>
      </c>
      <c r="FG187" s="14">
        <f t="shared" si="182"/>
        <v>1.3509285393066301E-12</v>
      </c>
      <c r="FH187" s="22">
        <f t="shared" si="183"/>
        <v>2.5073107750038623E-12</v>
      </c>
      <c r="FI187" s="61">
        <f t="shared" si="131"/>
        <v>293.33333333333582</v>
      </c>
      <c r="FJ187" s="61">
        <f ca="1">AVERAGE(OFFSET($FI$3,0,0,'Données projet'!$E$16+1,1))-AVERAGE(OFFSET($H$3,0,0,'Données projet'!$E$16+1,1))</f>
        <v>292.57482726862594</v>
      </c>
      <c r="FK187" s="61">
        <f t="shared" si="156"/>
        <v>283.48738729114024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-9.6633812063373625E-13</v>
      </c>
      <c r="GA187" s="18">
        <f>FZ187*VLOOKUP('Données projet'!$B$17,Paramètres!$A$1:$I$89,3,0)*VLOOKUP('Données projet'!$B$17,Paramètres!$A$1:$I$89,5,0)</f>
        <v>-9.3464223027694966E-13</v>
      </c>
      <c r="GB187" s="14" t="e">
        <f t="shared" si="185"/>
        <v>#NUM!</v>
      </c>
      <c r="GC187" s="22" t="e">
        <f t="shared" si="186"/>
        <v>#NUM!</v>
      </c>
      <c r="GD187" s="61" t="e">
        <f t="shared" si="134"/>
        <v>#NUM!</v>
      </c>
      <c r="GE187" s="61">
        <f ca="1">AVERAGE(OFFSET($GD$3,0,0,'Données projet'!$E$17+1,1))-AVERAGE(OFFSET($H$3,0,0,'Données projet'!$E$17+1,1))</f>
        <v>455.50822833641354</v>
      </c>
      <c r="GF187" s="61">
        <f t="shared" si="158"/>
        <v>261.14722581688039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0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0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-9.6633812063373625E-13</v>
      </c>
      <c r="GV187" s="18">
        <f>GU187*VLOOKUP('Données projet'!$B$18,Paramètres!$A$1:$I$89,3,0)*VLOOKUP('Données projet'!$B$18,Paramètres!$A$1:$I$89,5,0)</f>
        <v>-1.0401663530501537E-12</v>
      </c>
      <c r="GW187" s="14" t="e">
        <f t="shared" si="188"/>
        <v>#NUM!</v>
      </c>
      <c r="GX187" s="22" t="e">
        <f t="shared" si="189"/>
        <v>#NUM!</v>
      </c>
      <c r="GY187" s="61" t="e">
        <f t="shared" si="137"/>
        <v>#NUM!</v>
      </c>
      <c r="GZ187" s="61">
        <f ca="1">AVERAGE(OFFSET($GY$3,0,0,'Données projet'!$E$18+1,1))-AVERAGE(OFFSET($H$3,0,0,'Données projet'!$E$18+1,1))</f>
        <v>502.07782026233912</v>
      </c>
      <c r="HA187" s="61">
        <f t="shared" si="160"/>
        <v>285.83623046025156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0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0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-8.7434273154940449E-13</v>
      </c>
      <c r="P188" s="14" t="e">
        <f t="shared" si="141"/>
        <v>#NUM!</v>
      </c>
      <c r="Q188" s="22" t="e">
        <f t="shared" si="162"/>
        <v>#NUM!</v>
      </c>
      <c r="R188" s="61" t="e">
        <f t="shared" si="109"/>
        <v>#NUM!</v>
      </c>
      <c r="S188" s="61">
        <f ca="1">AVERAGE(OFFSET($R$3,0,0,'Données projet'!$E$9+1,1))-AVERAGE(OFFSET($H$3,0,0,'Données projet'!$E$9+1,1))</f>
        <v>428.8489304403459</v>
      </c>
      <c r="T188" s="61">
        <f t="shared" si="142"/>
        <v>247.01165577562966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1" t="e">
        <f t="shared" si="113"/>
        <v>#NUM!</v>
      </c>
      <c r="AN188" s="61">
        <f ca="1">AVERAGE(OFFSET($AM$3,0,0,'Données projet'!$E$10+1,1))-AVERAGE(OFFSET($H$3,0,0,'Données projet'!$E$10+1,1))</f>
        <v>475.47920969424894</v>
      </c>
      <c r="AO188" s="61">
        <f t="shared" si="144"/>
        <v>271.73544012419364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-3.4106051316484809E-13</v>
      </c>
      <c r="BE188" s="14">
        <f>BD188*VLOOKUP('Données projet'!$B$11,Paramètres!$A$1:$I$89,3,0)*VLOOKUP('Données projet'!$B$11,Paramètres!$A$1:$I$89,5,0)</f>
        <v>-1.9065282685915009E-13</v>
      </c>
      <c r="BF188" s="14" t="e">
        <f t="shared" si="167"/>
        <v>#NUM!</v>
      </c>
      <c r="BG188" s="22" t="e">
        <f t="shared" si="168"/>
        <v>#NUM!</v>
      </c>
      <c r="BH188" s="61" t="e">
        <f t="shared" si="116"/>
        <v>#NUM!</v>
      </c>
      <c r="BI188" s="61">
        <f ca="1">AVERAGE(OFFSET($BH$3,0,0,'Données projet'!$E$11+1,1))-AVERAGE(OFFSET($H$3,0,0,'Données projet'!$E$11+1,1))</f>
        <v>374.79806286316051</v>
      </c>
      <c r="BJ188" s="61">
        <f t="shared" si="146"/>
        <v>350.01856672839466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0.30291653280387165</v>
      </c>
      <c r="BR188" s="23">
        <f>EXP(-LN(2)/2)*BR187+(1-EXP(-LN(2)/2))/(LN(2)/2)*BL188*BO188*VLOOKUP('Données projet'!$B$11,Paramètres!$A$1:$I$89,3,0)*0.475*44/12</f>
        <v>5.150805115816731E-23</v>
      </c>
      <c r="BS188" s="24">
        <f t="shared" si="169"/>
        <v>0.30291653280387165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5.6843418860808015E-13</v>
      </c>
      <c r="BZ188" s="14">
        <f>BY188*VLOOKUP('Données projet'!$B$12,Paramètres!$A$1:$I$89,3,0)*VLOOKUP('Données projet'!$B$12,Paramètres!$A$1:$I$89,5,0)</f>
        <v>2.6602720026858149E-13</v>
      </c>
      <c r="CA188" s="14">
        <f t="shared" si="170"/>
        <v>3.5662905043956649E-12</v>
      </c>
      <c r="CB188" s="22">
        <f t="shared" si="171"/>
        <v>6.6746200022902298E-12</v>
      </c>
      <c r="CC188" s="61">
        <f t="shared" si="119"/>
        <v>293.33333333333997</v>
      </c>
      <c r="CD188" s="61">
        <f ca="1">AVERAGE(OFFSET($CC$3,0,0,'Données projet'!$E$12+1,1))-AVERAGE(OFFSET($H$3,0,0,'Données projet'!$E$12+1,1))</f>
        <v>285.59863510278109</v>
      </c>
      <c r="CE188" s="61">
        <f t="shared" si="148"/>
        <v>190.4880882944471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5.4683368944097308E-14</v>
      </c>
      <c r="CV188" s="14">
        <f t="shared" si="173"/>
        <v>8.8129432816788268E-13</v>
      </c>
      <c r="CW188" s="22">
        <f t="shared" si="174"/>
        <v>1.6301611558033651E-12</v>
      </c>
      <c r="CX188" s="61">
        <f t="shared" si="122"/>
        <v>293.33333333333496</v>
      </c>
      <c r="CY188" s="61">
        <f ca="1">AVERAGE(OFFSET($CX$3,0,0,'Données projet'!$E$13+1,1))-AVERAGE(OFFSET($H$3,0,0,'Données projet'!$E$13+1,1))</f>
        <v>273.72618036666552</v>
      </c>
      <c r="CZ188" s="61">
        <f t="shared" si="150"/>
        <v>157.67999791700714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1.7053025658242404E-13</v>
      </c>
      <c r="DP188" s="18">
        <f>DO188*VLOOKUP('Données projet'!$B$14,Paramètres!$A$1:$I$89,3,0)*VLOOKUP('Données projet'!$B$14,Paramètres!$A$1:$I$89,5,0)</f>
        <v>1.1439169611549005E-13</v>
      </c>
      <c r="DQ188" s="14">
        <f t="shared" si="176"/>
        <v>1.6918016515029816E-12</v>
      </c>
      <c r="DR188" s="22">
        <f t="shared" si="177"/>
        <v>3.1457867471021712E-12</v>
      </c>
      <c r="DS188" s="61">
        <f t="shared" si="125"/>
        <v>293.33333333333644</v>
      </c>
      <c r="DT188" s="61">
        <f ca="1">AVERAGE(OFFSET($DS$3,0,0,'Données projet'!$E$14+1,1))-AVERAGE(OFFSET($H$3,0,0,'Données projet'!$E$14+1,1))</f>
        <v>312.06797204903796</v>
      </c>
      <c r="DU188" s="61">
        <f t="shared" si="152"/>
        <v>258.20189001775151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1.4210854715202004E-13</v>
      </c>
      <c r="EK188" s="18">
        <f>EJ188*VLOOKUP('Données projet'!$B$15,Paramètres!$A$1:$I$89,3,0)*VLOOKUP('Données projet'!$B$15,Paramètres!$A$1:$I$89,5,0)</f>
        <v>1.1527845344971866E-13</v>
      </c>
      <c r="EL188" s="14">
        <f t="shared" si="179"/>
        <v>1.7033846239409443E-12</v>
      </c>
      <c r="EM188" s="22">
        <f t="shared" si="180"/>
        <v>3.1675048597887374E-12</v>
      </c>
      <c r="EN188" s="61">
        <f t="shared" si="128"/>
        <v>293.3333333333365</v>
      </c>
      <c r="EO188" s="61">
        <f ca="1">AVERAGE(OFFSET($EN$3,0,0,'Données projet'!$E$15+1,1))-AVERAGE(OFFSET($H$3,0,0,'Données projet'!$E$15+1,1))</f>
        <v>222.15256609836689</v>
      </c>
      <c r="EP188" s="61">
        <f t="shared" si="154"/>
        <v>221.10360210521077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1.1368683772161603E-13</v>
      </c>
      <c r="FF188" s="18">
        <f>FE188*VLOOKUP('Données projet'!$B$16,Paramètres!$A$1:$I$89,3,0)*VLOOKUP('Données projet'!$B$16,Paramètres!$A$1:$I$89,5,0)</f>
        <v>8.8675733422860506E-14</v>
      </c>
      <c r="FG188" s="14">
        <f t="shared" si="182"/>
        <v>1.3509285393066301E-12</v>
      </c>
      <c r="FH188" s="22">
        <f t="shared" si="183"/>
        <v>2.5073107750038623E-12</v>
      </c>
      <c r="FI188" s="61">
        <f t="shared" si="131"/>
        <v>293.33333333333582</v>
      </c>
      <c r="FJ188" s="61">
        <f ca="1">AVERAGE(OFFSET($FI$3,0,0,'Données projet'!$E$16+1,1))-AVERAGE(OFFSET($H$3,0,0,'Données projet'!$E$16+1,1))</f>
        <v>292.57482726862594</v>
      </c>
      <c r="FK188" s="61">
        <f t="shared" si="156"/>
        <v>283.48738729114024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-9.6633812063373625E-13</v>
      </c>
      <c r="GA188" s="18">
        <f>FZ188*VLOOKUP('Données projet'!$B$17,Paramètres!$A$1:$I$89,3,0)*VLOOKUP('Données projet'!$B$17,Paramètres!$A$1:$I$89,5,0)</f>
        <v>-9.3464223027694966E-13</v>
      </c>
      <c r="GB188" s="14" t="e">
        <f t="shared" si="185"/>
        <v>#NUM!</v>
      </c>
      <c r="GC188" s="22" t="e">
        <f t="shared" si="186"/>
        <v>#NUM!</v>
      </c>
      <c r="GD188" s="61" t="e">
        <f t="shared" si="134"/>
        <v>#NUM!</v>
      </c>
      <c r="GE188" s="61">
        <f ca="1">AVERAGE(OFFSET($GD$3,0,0,'Données projet'!$E$17+1,1))-AVERAGE(OFFSET($H$3,0,0,'Données projet'!$E$17+1,1))</f>
        <v>455.50822833641354</v>
      </c>
      <c r="GF188" s="61">
        <f t="shared" si="158"/>
        <v>261.14722581688039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0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0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-9.6633812063373625E-13</v>
      </c>
      <c r="GV188" s="18">
        <f>GU188*VLOOKUP('Données projet'!$B$18,Paramètres!$A$1:$I$89,3,0)*VLOOKUP('Données projet'!$B$18,Paramètres!$A$1:$I$89,5,0)</f>
        <v>-1.0401663530501537E-12</v>
      </c>
      <c r="GW188" s="14" t="e">
        <f t="shared" si="188"/>
        <v>#NUM!</v>
      </c>
      <c r="GX188" s="22" t="e">
        <f t="shared" si="189"/>
        <v>#NUM!</v>
      </c>
      <c r="GY188" s="61" t="e">
        <f t="shared" si="137"/>
        <v>#NUM!</v>
      </c>
      <c r="GZ188" s="61">
        <f ca="1">AVERAGE(OFFSET($GY$3,0,0,'Données projet'!$E$18+1,1))-AVERAGE(OFFSET($H$3,0,0,'Données projet'!$E$18+1,1))</f>
        <v>502.07782026233912</v>
      </c>
      <c r="HA188" s="61">
        <f t="shared" si="160"/>
        <v>285.83623046025156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0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0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-8.7434273154940449E-13</v>
      </c>
      <c r="P189" s="14" t="e">
        <f t="shared" si="141"/>
        <v>#NUM!</v>
      </c>
      <c r="Q189" s="22" t="e">
        <f t="shared" si="162"/>
        <v>#NUM!</v>
      </c>
      <c r="R189" s="61" t="e">
        <f t="shared" si="109"/>
        <v>#NUM!</v>
      </c>
      <c r="S189" s="61">
        <f ca="1">AVERAGE(OFFSET($R$3,0,0,'Données projet'!$E$9+1,1))-AVERAGE(OFFSET($H$3,0,0,'Données projet'!$E$9+1,1))</f>
        <v>428.8489304403459</v>
      </c>
      <c r="T189" s="61">
        <f t="shared" si="142"/>
        <v>247.01165577562966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1" t="e">
        <f t="shared" si="113"/>
        <v>#NUM!</v>
      </c>
      <c r="AN189" s="61">
        <f ca="1">AVERAGE(OFFSET($AM$3,0,0,'Données projet'!$E$10+1,1))-AVERAGE(OFFSET($H$3,0,0,'Données projet'!$E$10+1,1))</f>
        <v>475.47920969424894</v>
      </c>
      <c r="AO189" s="61">
        <f t="shared" si="144"/>
        <v>271.73544012419364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-3.4106051316484809E-13</v>
      </c>
      <c r="BE189" s="14">
        <f>BD189*VLOOKUP('Données projet'!$B$11,Paramètres!$A$1:$I$89,3,0)*VLOOKUP('Données projet'!$B$11,Paramètres!$A$1:$I$89,5,0)</f>
        <v>-1.9065282685915009E-13</v>
      </c>
      <c r="BF189" s="14" t="e">
        <f t="shared" si="167"/>
        <v>#NUM!</v>
      </c>
      <c r="BG189" s="22" t="e">
        <f t="shared" si="168"/>
        <v>#NUM!</v>
      </c>
      <c r="BH189" s="61" t="e">
        <f t="shared" si="116"/>
        <v>#NUM!</v>
      </c>
      <c r="BI189" s="61">
        <f ca="1">AVERAGE(OFFSET($BH$3,0,0,'Données projet'!$E$11+1,1))-AVERAGE(OFFSET($H$3,0,0,'Données projet'!$E$11+1,1))</f>
        <v>374.79806286316051</v>
      </c>
      <c r="BJ189" s="61">
        <f t="shared" si="146"/>
        <v>350.01856672839466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0.29463326428466163</v>
      </c>
      <c r="BR189" s="23">
        <f>EXP(-LN(2)/2)*BR188+(1-EXP(-LN(2)/2))/(LN(2)/2)*BL189*BO189*VLOOKUP('Données projet'!$B$11,Paramètres!$A$1:$I$89,3,0)*0.475*44/12</f>
        <v>3.6421692259643712E-23</v>
      </c>
      <c r="BS189" s="24">
        <f t="shared" si="169"/>
        <v>0.29463326428466163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5.6843418860808015E-13</v>
      </c>
      <c r="BZ189" s="14">
        <f>BY189*VLOOKUP('Données projet'!$B$12,Paramètres!$A$1:$I$89,3,0)*VLOOKUP('Données projet'!$B$12,Paramètres!$A$1:$I$89,5,0)</f>
        <v>2.6602720026858149E-13</v>
      </c>
      <c r="CA189" s="14">
        <f t="shared" si="170"/>
        <v>3.5662905043956649E-12</v>
      </c>
      <c r="CB189" s="22">
        <f t="shared" si="171"/>
        <v>6.6746200022902298E-12</v>
      </c>
      <c r="CC189" s="61">
        <f t="shared" si="119"/>
        <v>293.33333333333997</v>
      </c>
      <c r="CD189" s="61">
        <f ca="1">AVERAGE(OFFSET($CC$3,0,0,'Données projet'!$E$12+1,1))-AVERAGE(OFFSET($H$3,0,0,'Données projet'!$E$12+1,1))</f>
        <v>285.59863510278109</v>
      </c>
      <c r="CE189" s="61">
        <f t="shared" si="148"/>
        <v>190.4880882944471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5.4683368944097308E-14</v>
      </c>
      <c r="CV189" s="14">
        <f t="shared" si="173"/>
        <v>8.8129432816788268E-13</v>
      </c>
      <c r="CW189" s="22">
        <f t="shared" si="174"/>
        <v>1.6301611558033651E-12</v>
      </c>
      <c r="CX189" s="61">
        <f t="shared" si="122"/>
        <v>293.33333333333496</v>
      </c>
      <c r="CY189" s="61">
        <f ca="1">AVERAGE(OFFSET($CX$3,0,0,'Données projet'!$E$13+1,1))-AVERAGE(OFFSET($H$3,0,0,'Données projet'!$E$13+1,1))</f>
        <v>273.72618036666552</v>
      </c>
      <c r="CZ189" s="61">
        <f t="shared" si="150"/>
        <v>157.67999791700714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1.7053025658242404E-13</v>
      </c>
      <c r="DP189" s="18">
        <f>DO189*VLOOKUP('Données projet'!$B$14,Paramètres!$A$1:$I$89,3,0)*VLOOKUP('Données projet'!$B$14,Paramètres!$A$1:$I$89,5,0)</f>
        <v>1.1439169611549005E-13</v>
      </c>
      <c r="DQ189" s="14">
        <f t="shared" si="176"/>
        <v>1.6918016515029816E-12</v>
      </c>
      <c r="DR189" s="22">
        <f t="shared" si="177"/>
        <v>3.1457867471021712E-12</v>
      </c>
      <c r="DS189" s="61">
        <f t="shared" si="125"/>
        <v>293.33333333333644</v>
      </c>
      <c r="DT189" s="61">
        <f ca="1">AVERAGE(OFFSET($DS$3,0,0,'Données projet'!$E$14+1,1))-AVERAGE(OFFSET($H$3,0,0,'Données projet'!$E$14+1,1))</f>
        <v>312.06797204903796</v>
      </c>
      <c r="DU189" s="61">
        <f t="shared" si="152"/>
        <v>258.20189001775151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1.4210854715202004E-13</v>
      </c>
      <c r="EK189" s="18">
        <f>EJ189*VLOOKUP('Données projet'!$B$15,Paramètres!$A$1:$I$89,3,0)*VLOOKUP('Données projet'!$B$15,Paramètres!$A$1:$I$89,5,0)</f>
        <v>1.1527845344971866E-13</v>
      </c>
      <c r="EL189" s="14">
        <f t="shared" si="179"/>
        <v>1.7033846239409443E-12</v>
      </c>
      <c r="EM189" s="22">
        <f t="shared" si="180"/>
        <v>3.1675048597887374E-12</v>
      </c>
      <c r="EN189" s="61">
        <f t="shared" si="128"/>
        <v>293.3333333333365</v>
      </c>
      <c r="EO189" s="61">
        <f ca="1">AVERAGE(OFFSET($EN$3,0,0,'Données projet'!$E$15+1,1))-AVERAGE(OFFSET($H$3,0,0,'Données projet'!$E$15+1,1))</f>
        <v>222.15256609836689</v>
      </c>
      <c r="EP189" s="61">
        <f t="shared" si="154"/>
        <v>221.10360210521077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1.1368683772161603E-13</v>
      </c>
      <c r="FF189" s="18">
        <f>FE189*VLOOKUP('Données projet'!$B$16,Paramètres!$A$1:$I$89,3,0)*VLOOKUP('Données projet'!$B$16,Paramètres!$A$1:$I$89,5,0)</f>
        <v>8.8675733422860506E-14</v>
      </c>
      <c r="FG189" s="14">
        <f t="shared" si="182"/>
        <v>1.3509285393066301E-12</v>
      </c>
      <c r="FH189" s="22">
        <f t="shared" si="183"/>
        <v>2.5073107750038623E-12</v>
      </c>
      <c r="FI189" s="61">
        <f t="shared" si="131"/>
        <v>293.33333333333582</v>
      </c>
      <c r="FJ189" s="61">
        <f ca="1">AVERAGE(OFFSET($FI$3,0,0,'Données projet'!$E$16+1,1))-AVERAGE(OFFSET($H$3,0,0,'Données projet'!$E$16+1,1))</f>
        <v>292.57482726862594</v>
      </c>
      <c r="FK189" s="61">
        <f t="shared" si="156"/>
        <v>283.48738729114024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-9.6633812063373625E-13</v>
      </c>
      <c r="GA189" s="18">
        <f>FZ189*VLOOKUP('Données projet'!$B$17,Paramètres!$A$1:$I$89,3,0)*VLOOKUP('Données projet'!$B$17,Paramètres!$A$1:$I$89,5,0)</f>
        <v>-9.3464223027694966E-13</v>
      </c>
      <c r="GB189" s="14" t="e">
        <f t="shared" si="185"/>
        <v>#NUM!</v>
      </c>
      <c r="GC189" s="22" t="e">
        <f t="shared" si="186"/>
        <v>#NUM!</v>
      </c>
      <c r="GD189" s="61" t="e">
        <f t="shared" si="134"/>
        <v>#NUM!</v>
      </c>
      <c r="GE189" s="61">
        <f ca="1">AVERAGE(OFFSET($GD$3,0,0,'Données projet'!$E$17+1,1))-AVERAGE(OFFSET($H$3,0,0,'Données projet'!$E$17+1,1))</f>
        <v>455.50822833641354</v>
      </c>
      <c r="GF189" s="61">
        <f t="shared" si="158"/>
        <v>261.14722581688039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0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0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-9.6633812063373625E-13</v>
      </c>
      <c r="GV189" s="18">
        <f>GU189*VLOOKUP('Données projet'!$B$18,Paramètres!$A$1:$I$89,3,0)*VLOOKUP('Données projet'!$B$18,Paramètres!$A$1:$I$89,5,0)</f>
        <v>-1.0401663530501537E-12</v>
      </c>
      <c r="GW189" s="14" t="e">
        <f t="shared" si="188"/>
        <v>#NUM!</v>
      </c>
      <c r="GX189" s="22" t="e">
        <f t="shared" si="189"/>
        <v>#NUM!</v>
      </c>
      <c r="GY189" s="61" t="e">
        <f t="shared" si="137"/>
        <v>#NUM!</v>
      </c>
      <c r="GZ189" s="61">
        <f ca="1">AVERAGE(OFFSET($GY$3,0,0,'Données projet'!$E$18+1,1))-AVERAGE(OFFSET($H$3,0,0,'Données projet'!$E$18+1,1))</f>
        <v>502.07782026233912</v>
      </c>
      <c r="HA189" s="61">
        <f t="shared" si="160"/>
        <v>285.83623046025156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0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0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-8.7434273154940449E-13</v>
      </c>
      <c r="P190" s="14" t="e">
        <f t="shared" si="141"/>
        <v>#NUM!</v>
      </c>
      <c r="Q190" s="22" t="e">
        <f t="shared" si="162"/>
        <v>#NUM!</v>
      </c>
      <c r="R190" s="61" t="e">
        <f t="shared" si="109"/>
        <v>#NUM!</v>
      </c>
      <c r="S190" s="61">
        <f ca="1">AVERAGE(OFFSET($R$3,0,0,'Données projet'!$E$9+1,1))-AVERAGE(OFFSET($H$3,0,0,'Données projet'!$E$9+1,1))</f>
        <v>428.8489304403459</v>
      </c>
      <c r="T190" s="61">
        <f t="shared" si="142"/>
        <v>247.01165577562966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1" t="e">
        <f t="shared" si="113"/>
        <v>#NUM!</v>
      </c>
      <c r="AN190" s="61">
        <f ca="1">AVERAGE(OFFSET($AM$3,0,0,'Données projet'!$E$10+1,1))-AVERAGE(OFFSET($H$3,0,0,'Données projet'!$E$10+1,1))</f>
        <v>475.47920969424894</v>
      </c>
      <c r="AO190" s="61">
        <f t="shared" si="144"/>
        <v>271.73544012419364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-3.4106051316484809E-13</v>
      </c>
      <c r="BE190" s="14">
        <f>BD190*VLOOKUP('Données projet'!$B$11,Paramètres!$A$1:$I$89,3,0)*VLOOKUP('Données projet'!$B$11,Paramètres!$A$1:$I$89,5,0)</f>
        <v>-1.9065282685915009E-13</v>
      </c>
      <c r="BF190" s="14" t="e">
        <f t="shared" si="167"/>
        <v>#NUM!</v>
      </c>
      <c r="BG190" s="22" t="e">
        <f t="shared" si="168"/>
        <v>#NUM!</v>
      </c>
      <c r="BH190" s="61" t="e">
        <f t="shared" si="116"/>
        <v>#NUM!</v>
      </c>
      <c r="BI190" s="61">
        <f ca="1">AVERAGE(OFFSET($BH$3,0,0,'Données projet'!$E$11+1,1))-AVERAGE(OFFSET($H$3,0,0,'Données projet'!$E$11+1,1))</f>
        <v>374.79806286316051</v>
      </c>
      <c r="BJ190" s="61">
        <f t="shared" si="146"/>
        <v>350.01856672839466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0.28657650217870756</v>
      </c>
      <c r="BR190" s="23">
        <f>EXP(-LN(2)/2)*BR189+(1-EXP(-LN(2)/2))/(LN(2)/2)*BL190*BO190*VLOOKUP('Données projet'!$B$11,Paramètres!$A$1:$I$89,3,0)*0.475*44/12</f>
        <v>2.5754025579083661E-23</v>
      </c>
      <c r="BS190" s="24">
        <f t="shared" si="169"/>
        <v>0.28657650217870756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5.6843418860808015E-13</v>
      </c>
      <c r="BZ190" s="14">
        <f>BY190*VLOOKUP('Données projet'!$B$12,Paramètres!$A$1:$I$89,3,0)*VLOOKUP('Données projet'!$B$12,Paramètres!$A$1:$I$89,5,0)</f>
        <v>2.6602720026858149E-13</v>
      </c>
      <c r="CA190" s="14">
        <f t="shared" si="170"/>
        <v>3.5662905043956649E-12</v>
      </c>
      <c r="CB190" s="22">
        <f t="shared" si="171"/>
        <v>6.6746200022902298E-12</v>
      </c>
      <c r="CC190" s="61">
        <f t="shared" si="119"/>
        <v>293.33333333333997</v>
      </c>
      <c r="CD190" s="61">
        <f ca="1">AVERAGE(OFFSET($CC$3,0,0,'Données projet'!$E$12+1,1))-AVERAGE(OFFSET($H$3,0,0,'Données projet'!$E$12+1,1))</f>
        <v>285.59863510278109</v>
      </c>
      <c r="CE190" s="61">
        <f t="shared" si="148"/>
        <v>190.4880882944471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5.4683368944097308E-14</v>
      </c>
      <c r="CV190" s="14">
        <f t="shared" si="173"/>
        <v>8.8129432816788268E-13</v>
      </c>
      <c r="CW190" s="22">
        <f t="shared" si="174"/>
        <v>1.6301611558033651E-12</v>
      </c>
      <c r="CX190" s="61">
        <f t="shared" si="122"/>
        <v>293.33333333333496</v>
      </c>
      <c r="CY190" s="61">
        <f ca="1">AVERAGE(OFFSET($CX$3,0,0,'Données projet'!$E$13+1,1))-AVERAGE(OFFSET($H$3,0,0,'Données projet'!$E$13+1,1))</f>
        <v>273.72618036666552</v>
      </c>
      <c r="CZ190" s="61">
        <f t="shared" si="150"/>
        <v>157.67999791700714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1.7053025658242404E-13</v>
      </c>
      <c r="DP190" s="18">
        <f>DO190*VLOOKUP('Données projet'!$B$14,Paramètres!$A$1:$I$89,3,0)*VLOOKUP('Données projet'!$B$14,Paramètres!$A$1:$I$89,5,0)</f>
        <v>1.1439169611549005E-13</v>
      </c>
      <c r="DQ190" s="14">
        <f t="shared" si="176"/>
        <v>1.6918016515029816E-12</v>
      </c>
      <c r="DR190" s="22">
        <f t="shared" si="177"/>
        <v>3.1457867471021712E-12</v>
      </c>
      <c r="DS190" s="61">
        <f t="shared" si="125"/>
        <v>293.33333333333644</v>
      </c>
      <c r="DT190" s="61">
        <f ca="1">AVERAGE(OFFSET($DS$3,0,0,'Données projet'!$E$14+1,1))-AVERAGE(OFFSET($H$3,0,0,'Données projet'!$E$14+1,1))</f>
        <v>312.06797204903796</v>
      </c>
      <c r="DU190" s="61">
        <f t="shared" si="152"/>
        <v>258.20189001775151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1.4210854715202004E-13</v>
      </c>
      <c r="EK190" s="18">
        <f>EJ190*VLOOKUP('Données projet'!$B$15,Paramètres!$A$1:$I$89,3,0)*VLOOKUP('Données projet'!$B$15,Paramètres!$A$1:$I$89,5,0)</f>
        <v>1.1527845344971866E-13</v>
      </c>
      <c r="EL190" s="14">
        <f t="shared" si="179"/>
        <v>1.7033846239409443E-12</v>
      </c>
      <c r="EM190" s="22">
        <f t="shared" si="180"/>
        <v>3.1675048597887374E-12</v>
      </c>
      <c r="EN190" s="61">
        <f t="shared" si="128"/>
        <v>293.3333333333365</v>
      </c>
      <c r="EO190" s="61">
        <f ca="1">AVERAGE(OFFSET($EN$3,0,0,'Données projet'!$E$15+1,1))-AVERAGE(OFFSET($H$3,0,0,'Données projet'!$E$15+1,1))</f>
        <v>222.15256609836689</v>
      </c>
      <c r="EP190" s="61">
        <f t="shared" si="154"/>
        <v>221.10360210521077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1.1368683772161603E-13</v>
      </c>
      <c r="FF190" s="18">
        <f>FE190*VLOOKUP('Données projet'!$B$16,Paramètres!$A$1:$I$89,3,0)*VLOOKUP('Données projet'!$B$16,Paramètres!$A$1:$I$89,5,0)</f>
        <v>8.8675733422860506E-14</v>
      </c>
      <c r="FG190" s="14">
        <f t="shared" si="182"/>
        <v>1.3509285393066301E-12</v>
      </c>
      <c r="FH190" s="22">
        <f t="shared" si="183"/>
        <v>2.5073107750038623E-12</v>
      </c>
      <c r="FI190" s="61">
        <f t="shared" si="131"/>
        <v>293.33333333333582</v>
      </c>
      <c r="FJ190" s="61">
        <f ca="1">AVERAGE(OFFSET($FI$3,0,0,'Données projet'!$E$16+1,1))-AVERAGE(OFFSET($H$3,0,0,'Données projet'!$E$16+1,1))</f>
        <v>292.57482726862594</v>
      </c>
      <c r="FK190" s="61">
        <f t="shared" si="156"/>
        <v>283.48738729114024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-9.6633812063373625E-13</v>
      </c>
      <c r="GA190" s="18">
        <f>FZ190*VLOOKUP('Données projet'!$B$17,Paramètres!$A$1:$I$89,3,0)*VLOOKUP('Données projet'!$B$17,Paramètres!$A$1:$I$89,5,0)</f>
        <v>-9.3464223027694966E-13</v>
      </c>
      <c r="GB190" s="14" t="e">
        <f t="shared" si="185"/>
        <v>#NUM!</v>
      </c>
      <c r="GC190" s="22" t="e">
        <f t="shared" si="186"/>
        <v>#NUM!</v>
      </c>
      <c r="GD190" s="61" t="e">
        <f t="shared" si="134"/>
        <v>#NUM!</v>
      </c>
      <c r="GE190" s="61">
        <f ca="1">AVERAGE(OFFSET($GD$3,0,0,'Données projet'!$E$17+1,1))-AVERAGE(OFFSET($H$3,0,0,'Données projet'!$E$17+1,1))</f>
        <v>455.50822833641354</v>
      </c>
      <c r="GF190" s="61">
        <f t="shared" si="158"/>
        <v>261.14722581688039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0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0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-9.6633812063373625E-13</v>
      </c>
      <c r="GV190" s="18">
        <f>GU190*VLOOKUP('Données projet'!$B$18,Paramètres!$A$1:$I$89,3,0)*VLOOKUP('Données projet'!$B$18,Paramètres!$A$1:$I$89,5,0)</f>
        <v>-1.0401663530501537E-12</v>
      </c>
      <c r="GW190" s="14" t="e">
        <f t="shared" si="188"/>
        <v>#NUM!</v>
      </c>
      <c r="GX190" s="22" t="e">
        <f t="shared" si="189"/>
        <v>#NUM!</v>
      </c>
      <c r="GY190" s="61" t="e">
        <f t="shared" si="137"/>
        <v>#NUM!</v>
      </c>
      <c r="GZ190" s="61">
        <f ca="1">AVERAGE(OFFSET($GY$3,0,0,'Données projet'!$E$18+1,1))-AVERAGE(OFFSET($H$3,0,0,'Données projet'!$E$18+1,1))</f>
        <v>502.07782026233912</v>
      </c>
      <c r="HA190" s="61">
        <f t="shared" si="160"/>
        <v>285.83623046025156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0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0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-8.7434273154940449E-13</v>
      </c>
      <c r="P191" s="14" t="e">
        <f t="shared" si="141"/>
        <v>#NUM!</v>
      </c>
      <c r="Q191" s="22" t="e">
        <f t="shared" si="162"/>
        <v>#NUM!</v>
      </c>
      <c r="R191" s="61" t="e">
        <f t="shared" si="109"/>
        <v>#NUM!</v>
      </c>
      <c r="S191" s="61">
        <f ca="1">AVERAGE(OFFSET($R$3,0,0,'Données projet'!$E$9+1,1))-AVERAGE(OFFSET($H$3,0,0,'Données projet'!$E$9+1,1))</f>
        <v>428.8489304403459</v>
      </c>
      <c r="T191" s="61">
        <f t="shared" si="142"/>
        <v>247.01165577562966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1" t="e">
        <f t="shared" si="113"/>
        <v>#NUM!</v>
      </c>
      <c r="AN191" s="61">
        <f ca="1">AVERAGE(OFFSET($AM$3,0,0,'Données projet'!$E$10+1,1))-AVERAGE(OFFSET($H$3,0,0,'Données projet'!$E$10+1,1))</f>
        <v>475.47920969424894</v>
      </c>
      <c r="AO191" s="61">
        <f t="shared" si="144"/>
        <v>271.73544012419364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-3.4106051316484809E-13</v>
      </c>
      <c r="BE191" s="14">
        <f>BD191*VLOOKUP('Données projet'!$B$11,Paramètres!$A$1:$I$89,3,0)*VLOOKUP('Données projet'!$B$11,Paramètres!$A$1:$I$89,5,0)</f>
        <v>-1.9065282685915009E-13</v>
      </c>
      <c r="BF191" s="14" t="e">
        <f t="shared" si="167"/>
        <v>#NUM!</v>
      </c>
      <c r="BG191" s="22" t="e">
        <f t="shared" si="168"/>
        <v>#NUM!</v>
      </c>
      <c r="BH191" s="61" t="e">
        <f t="shared" si="116"/>
        <v>#NUM!</v>
      </c>
      <c r="BI191" s="61">
        <f ca="1">AVERAGE(OFFSET($BH$3,0,0,'Données projet'!$E$11+1,1))-AVERAGE(OFFSET($H$3,0,0,'Données projet'!$E$11+1,1))</f>
        <v>374.79806286316051</v>
      </c>
      <c r="BJ191" s="61">
        <f t="shared" si="146"/>
        <v>350.01856672839466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0.27874005265622753</v>
      </c>
      <c r="BR191" s="23">
        <f>EXP(-LN(2)/2)*BR190+(1-EXP(-LN(2)/2))/(LN(2)/2)*BL191*BO191*VLOOKUP('Données projet'!$B$11,Paramètres!$A$1:$I$89,3,0)*0.475*44/12</f>
        <v>1.8210846129821859E-23</v>
      </c>
      <c r="BS191" s="24">
        <f t="shared" si="169"/>
        <v>0.27874005265622753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5.6843418860808015E-13</v>
      </c>
      <c r="BZ191" s="14">
        <f>BY191*VLOOKUP('Données projet'!$B$12,Paramètres!$A$1:$I$89,3,0)*VLOOKUP('Données projet'!$B$12,Paramètres!$A$1:$I$89,5,0)</f>
        <v>2.6602720026858149E-13</v>
      </c>
      <c r="CA191" s="14">
        <f t="shared" si="170"/>
        <v>3.5662905043956649E-12</v>
      </c>
      <c r="CB191" s="22">
        <f t="shared" si="171"/>
        <v>6.6746200022902298E-12</v>
      </c>
      <c r="CC191" s="61">
        <f t="shared" si="119"/>
        <v>293.33333333333997</v>
      </c>
      <c r="CD191" s="61">
        <f ca="1">AVERAGE(OFFSET($CC$3,0,0,'Données projet'!$E$12+1,1))-AVERAGE(OFFSET($H$3,0,0,'Données projet'!$E$12+1,1))</f>
        <v>285.59863510278109</v>
      </c>
      <c r="CE191" s="61">
        <f t="shared" si="148"/>
        <v>190.4880882944471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5.4683368944097308E-14</v>
      </c>
      <c r="CV191" s="14">
        <f t="shared" si="173"/>
        <v>8.8129432816788268E-13</v>
      </c>
      <c r="CW191" s="22">
        <f t="shared" si="174"/>
        <v>1.6301611558033651E-12</v>
      </c>
      <c r="CX191" s="61">
        <f t="shared" si="122"/>
        <v>293.33333333333496</v>
      </c>
      <c r="CY191" s="61">
        <f ca="1">AVERAGE(OFFSET($CX$3,0,0,'Données projet'!$E$13+1,1))-AVERAGE(OFFSET($H$3,0,0,'Données projet'!$E$13+1,1))</f>
        <v>273.72618036666552</v>
      </c>
      <c r="CZ191" s="61">
        <f t="shared" si="150"/>
        <v>157.67999791700714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1.7053025658242404E-13</v>
      </c>
      <c r="DP191" s="18">
        <f>DO191*VLOOKUP('Données projet'!$B$14,Paramètres!$A$1:$I$89,3,0)*VLOOKUP('Données projet'!$B$14,Paramètres!$A$1:$I$89,5,0)</f>
        <v>1.1439169611549005E-13</v>
      </c>
      <c r="DQ191" s="14">
        <f t="shared" si="176"/>
        <v>1.6918016515029816E-12</v>
      </c>
      <c r="DR191" s="22">
        <f t="shared" si="177"/>
        <v>3.1457867471021712E-12</v>
      </c>
      <c r="DS191" s="61">
        <f t="shared" si="125"/>
        <v>293.33333333333644</v>
      </c>
      <c r="DT191" s="61">
        <f ca="1">AVERAGE(OFFSET($DS$3,0,0,'Données projet'!$E$14+1,1))-AVERAGE(OFFSET($H$3,0,0,'Données projet'!$E$14+1,1))</f>
        <v>312.06797204903796</v>
      </c>
      <c r="DU191" s="61">
        <f t="shared" si="152"/>
        <v>258.20189001775151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1.4210854715202004E-13</v>
      </c>
      <c r="EK191" s="18">
        <f>EJ191*VLOOKUP('Données projet'!$B$15,Paramètres!$A$1:$I$89,3,0)*VLOOKUP('Données projet'!$B$15,Paramètres!$A$1:$I$89,5,0)</f>
        <v>1.1527845344971866E-13</v>
      </c>
      <c r="EL191" s="14">
        <f t="shared" si="179"/>
        <v>1.7033846239409443E-12</v>
      </c>
      <c r="EM191" s="22">
        <f t="shared" si="180"/>
        <v>3.1675048597887374E-12</v>
      </c>
      <c r="EN191" s="61">
        <f t="shared" si="128"/>
        <v>293.3333333333365</v>
      </c>
      <c r="EO191" s="61">
        <f ca="1">AVERAGE(OFFSET($EN$3,0,0,'Données projet'!$E$15+1,1))-AVERAGE(OFFSET($H$3,0,0,'Données projet'!$E$15+1,1))</f>
        <v>222.15256609836689</v>
      </c>
      <c r="EP191" s="61">
        <f t="shared" si="154"/>
        <v>221.10360210521077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1.1368683772161603E-13</v>
      </c>
      <c r="FF191" s="18">
        <f>FE191*VLOOKUP('Données projet'!$B$16,Paramètres!$A$1:$I$89,3,0)*VLOOKUP('Données projet'!$B$16,Paramètres!$A$1:$I$89,5,0)</f>
        <v>8.8675733422860506E-14</v>
      </c>
      <c r="FG191" s="14">
        <f t="shared" si="182"/>
        <v>1.3509285393066301E-12</v>
      </c>
      <c r="FH191" s="22">
        <f t="shared" si="183"/>
        <v>2.5073107750038623E-12</v>
      </c>
      <c r="FI191" s="61">
        <f t="shared" si="131"/>
        <v>293.33333333333582</v>
      </c>
      <c r="FJ191" s="61">
        <f ca="1">AVERAGE(OFFSET($FI$3,0,0,'Données projet'!$E$16+1,1))-AVERAGE(OFFSET($H$3,0,0,'Données projet'!$E$16+1,1))</f>
        <v>292.57482726862594</v>
      </c>
      <c r="FK191" s="61">
        <f t="shared" si="156"/>
        <v>283.48738729114024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-9.6633812063373625E-13</v>
      </c>
      <c r="GA191" s="18">
        <f>FZ191*VLOOKUP('Données projet'!$B$17,Paramètres!$A$1:$I$89,3,0)*VLOOKUP('Données projet'!$B$17,Paramètres!$A$1:$I$89,5,0)</f>
        <v>-9.3464223027694966E-13</v>
      </c>
      <c r="GB191" s="14" t="e">
        <f t="shared" si="185"/>
        <v>#NUM!</v>
      </c>
      <c r="GC191" s="22" t="e">
        <f t="shared" si="186"/>
        <v>#NUM!</v>
      </c>
      <c r="GD191" s="61" t="e">
        <f t="shared" si="134"/>
        <v>#NUM!</v>
      </c>
      <c r="GE191" s="61">
        <f ca="1">AVERAGE(OFFSET($GD$3,0,0,'Données projet'!$E$17+1,1))-AVERAGE(OFFSET($H$3,0,0,'Données projet'!$E$17+1,1))</f>
        <v>455.50822833641354</v>
      </c>
      <c r="GF191" s="61">
        <f t="shared" si="158"/>
        <v>261.14722581688039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0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0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-9.6633812063373625E-13</v>
      </c>
      <c r="GV191" s="18">
        <f>GU191*VLOOKUP('Données projet'!$B$18,Paramètres!$A$1:$I$89,3,0)*VLOOKUP('Données projet'!$B$18,Paramètres!$A$1:$I$89,5,0)</f>
        <v>-1.0401663530501537E-12</v>
      </c>
      <c r="GW191" s="14" t="e">
        <f t="shared" si="188"/>
        <v>#NUM!</v>
      </c>
      <c r="GX191" s="22" t="e">
        <f t="shared" si="189"/>
        <v>#NUM!</v>
      </c>
      <c r="GY191" s="61" t="e">
        <f t="shared" si="137"/>
        <v>#NUM!</v>
      </c>
      <c r="GZ191" s="61">
        <f ca="1">AVERAGE(OFFSET($GY$3,0,0,'Données projet'!$E$18+1,1))-AVERAGE(OFFSET($H$3,0,0,'Données projet'!$E$18+1,1))</f>
        <v>502.07782026233912</v>
      </c>
      <c r="HA191" s="61">
        <f t="shared" si="160"/>
        <v>285.83623046025156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0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0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-8.7434273154940449E-13</v>
      </c>
      <c r="P192" s="14" t="e">
        <f t="shared" si="141"/>
        <v>#NUM!</v>
      </c>
      <c r="Q192" s="22" t="e">
        <f t="shared" si="162"/>
        <v>#NUM!</v>
      </c>
      <c r="R192" s="61" t="e">
        <f t="shared" si="109"/>
        <v>#NUM!</v>
      </c>
      <c r="S192" s="61">
        <f ca="1">AVERAGE(OFFSET($R$3,0,0,'Données projet'!$E$9+1,1))-AVERAGE(OFFSET($H$3,0,0,'Données projet'!$E$9+1,1))</f>
        <v>428.8489304403459</v>
      </c>
      <c r="T192" s="61">
        <f t="shared" si="142"/>
        <v>247.01165577562966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1" t="e">
        <f t="shared" si="113"/>
        <v>#NUM!</v>
      </c>
      <c r="AN192" s="61">
        <f ca="1">AVERAGE(OFFSET($AM$3,0,0,'Données projet'!$E$10+1,1))-AVERAGE(OFFSET($H$3,0,0,'Données projet'!$E$10+1,1))</f>
        <v>475.47920969424894</v>
      </c>
      <c r="AO192" s="61">
        <f t="shared" si="144"/>
        <v>271.73544012419364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-3.4106051316484809E-13</v>
      </c>
      <c r="BE192" s="14">
        <f>BD192*VLOOKUP('Données projet'!$B$11,Paramètres!$A$1:$I$89,3,0)*VLOOKUP('Données projet'!$B$11,Paramètres!$A$1:$I$89,5,0)</f>
        <v>-1.9065282685915009E-13</v>
      </c>
      <c r="BF192" s="14" t="e">
        <f t="shared" si="167"/>
        <v>#NUM!</v>
      </c>
      <c r="BG192" s="22" t="e">
        <f t="shared" si="168"/>
        <v>#NUM!</v>
      </c>
      <c r="BH192" s="61" t="e">
        <f t="shared" si="116"/>
        <v>#NUM!</v>
      </c>
      <c r="BI192" s="61">
        <f ca="1">AVERAGE(OFFSET($BH$3,0,0,'Données projet'!$E$11+1,1))-AVERAGE(OFFSET($H$3,0,0,'Données projet'!$E$11+1,1))</f>
        <v>374.79806286316051</v>
      </c>
      <c r="BJ192" s="61">
        <f t="shared" si="146"/>
        <v>350.01856672839466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0.2711178912580407</v>
      </c>
      <c r="BR192" s="23">
        <f>EXP(-LN(2)/2)*BR191+(1-EXP(-LN(2)/2))/(LN(2)/2)*BL192*BO192*VLOOKUP('Données projet'!$B$11,Paramètres!$A$1:$I$89,3,0)*0.475*44/12</f>
        <v>1.2877012789541832E-23</v>
      </c>
      <c r="BS192" s="24">
        <f t="shared" si="169"/>
        <v>0.2711178912580407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5.6843418860808015E-13</v>
      </c>
      <c r="BZ192" s="14">
        <f>BY192*VLOOKUP('Données projet'!$B$12,Paramètres!$A$1:$I$89,3,0)*VLOOKUP('Données projet'!$B$12,Paramètres!$A$1:$I$89,5,0)</f>
        <v>2.6602720026858149E-13</v>
      </c>
      <c r="CA192" s="14">
        <f t="shared" si="170"/>
        <v>3.5662905043956649E-12</v>
      </c>
      <c r="CB192" s="22">
        <f t="shared" si="171"/>
        <v>6.6746200022902298E-12</v>
      </c>
      <c r="CC192" s="61">
        <f t="shared" si="119"/>
        <v>293.33333333333997</v>
      </c>
      <c r="CD192" s="61">
        <f ca="1">AVERAGE(OFFSET($CC$3,0,0,'Données projet'!$E$12+1,1))-AVERAGE(OFFSET($H$3,0,0,'Données projet'!$E$12+1,1))</f>
        <v>285.59863510278109</v>
      </c>
      <c r="CE192" s="61">
        <f t="shared" si="148"/>
        <v>190.4880882944471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5.4683368944097308E-14</v>
      </c>
      <c r="CV192" s="14">
        <f t="shared" si="173"/>
        <v>8.8129432816788268E-13</v>
      </c>
      <c r="CW192" s="22">
        <f t="shared" si="174"/>
        <v>1.6301611558033651E-12</v>
      </c>
      <c r="CX192" s="61">
        <f t="shared" si="122"/>
        <v>293.33333333333496</v>
      </c>
      <c r="CY192" s="61">
        <f ca="1">AVERAGE(OFFSET($CX$3,0,0,'Données projet'!$E$13+1,1))-AVERAGE(OFFSET($H$3,0,0,'Données projet'!$E$13+1,1))</f>
        <v>273.72618036666552</v>
      </c>
      <c r="CZ192" s="61">
        <f t="shared" si="150"/>
        <v>157.67999791700714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1.7053025658242404E-13</v>
      </c>
      <c r="DP192" s="18">
        <f>DO192*VLOOKUP('Données projet'!$B$14,Paramètres!$A$1:$I$89,3,0)*VLOOKUP('Données projet'!$B$14,Paramètres!$A$1:$I$89,5,0)</f>
        <v>1.1439169611549005E-13</v>
      </c>
      <c r="DQ192" s="14">
        <f t="shared" si="176"/>
        <v>1.6918016515029816E-12</v>
      </c>
      <c r="DR192" s="22">
        <f t="shared" si="177"/>
        <v>3.1457867471021712E-12</v>
      </c>
      <c r="DS192" s="61">
        <f t="shared" si="125"/>
        <v>293.33333333333644</v>
      </c>
      <c r="DT192" s="61">
        <f ca="1">AVERAGE(OFFSET($DS$3,0,0,'Données projet'!$E$14+1,1))-AVERAGE(OFFSET($H$3,0,0,'Données projet'!$E$14+1,1))</f>
        <v>312.06797204903796</v>
      </c>
      <c r="DU192" s="61">
        <f t="shared" si="152"/>
        <v>258.20189001775151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1.4210854715202004E-13</v>
      </c>
      <c r="EK192" s="18">
        <f>EJ192*VLOOKUP('Données projet'!$B$15,Paramètres!$A$1:$I$89,3,0)*VLOOKUP('Données projet'!$B$15,Paramètres!$A$1:$I$89,5,0)</f>
        <v>1.1527845344971866E-13</v>
      </c>
      <c r="EL192" s="14">
        <f t="shared" si="179"/>
        <v>1.7033846239409443E-12</v>
      </c>
      <c r="EM192" s="22">
        <f t="shared" si="180"/>
        <v>3.1675048597887374E-12</v>
      </c>
      <c r="EN192" s="61">
        <f t="shared" si="128"/>
        <v>293.3333333333365</v>
      </c>
      <c r="EO192" s="61">
        <f ca="1">AVERAGE(OFFSET($EN$3,0,0,'Données projet'!$E$15+1,1))-AVERAGE(OFFSET($H$3,0,0,'Données projet'!$E$15+1,1))</f>
        <v>222.15256609836689</v>
      </c>
      <c r="EP192" s="61">
        <f t="shared" si="154"/>
        <v>221.10360210521077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1.1368683772161603E-13</v>
      </c>
      <c r="FF192" s="18">
        <f>FE192*VLOOKUP('Données projet'!$B$16,Paramètres!$A$1:$I$89,3,0)*VLOOKUP('Données projet'!$B$16,Paramètres!$A$1:$I$89,5,0)</f>
        <v>8.8675733422860506E-14</v>
      </c>
      <c r="FG192" s="14">
        <f t="shared" si="182"/>
        <v>1.3509285393066301E-12</v>
      </c>
      <c r="FH192" s="22">
        <f t="shared" si="183"/>
        <v>2.5073107750038623E-12</v>
      </c>
      <c r="FI192" s="61">
        <f t="shared" si="131"/>
        <v>293.33333333333582</v>
      </c>
      <c r="FJ192" s="61">
        <f ca="1">AVERAGE(OFFSET($FI$3,0,0,'Données projet'!$E$16+1,1))-AVERAGE(OFFSET($H$3,0,0,'Données projet'!$E$16+1,1))</f>
        <v>292.57482726862594</v>
      </c>
      <c r="FK192" s="61">
        <f t="shared" si="156"/>
        <v>283.48738729114024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-9.6633812063373625E-13</v>
      </c>
      <c r="GA192" s="18">
        <f>FZ192*VLOOKUP('Données projet'!$B$17,Paramètres!$A$1:$I$89,3,0)*VLOOKUP('Données projet'!$B$17,Paramètres!$A$1:$I$89,5,0)</f>
        <v>-9.3464223027694966E-13</v>
      </c>
      <c r="GB192" s="14" t="e">
        <f t="shared" si="185"/>
        <v>#NUM!</v>
      </c>
      <c r="GC192" s="22" t="e">
        <f t="shared" si="186"/>
        <v>#NUM!</v>
      </c>
      <c r="GD192" s="61" t="e">
        <f t="shared" si="134"/>
        <v>#NUM!</v>
      </c>
      <c r="GE192" s="61">
        <f ca="1">AVERAGE(OFFSET($GD$3,0,0,'Données projet'!$E$17+1,1))-AVERAGE(OFFSET($H$3,0,0,'Données projet'!$E$17+1,1))</f>
        <v>455.50822833641354</v>
      </c>
      <c r="GF192" s="61">
        <f t="shared" si="158"/>
        <v>261.14722581688039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0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0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-9.6633812063373625E-13</v>
      </c>
      <c r="GV192" s="18">
        <f>GU192*VLOOKUP('Données projet'!$B$18,Paramètres!$A$1:$I$89,3,0)*VLOOKUP('Données projet'!$B$18,Paramètres!$A$1:$I$89,5,0)</f>
        <v>-1.0401663530501537E-12</v>
      </c>
      <c r="GW192" s="14" t="e">
        <f t="shared" si="188"/>
        <v>#NUM!</v>
      </c>
      <c r="GX192" s="22" t="e">
        <f t="shared" si="189"/>
        <v>#NUM!</v>
      </c>
      <c r="GY192" s="61" t="e">
        <f t="shared" si="137"/>
        <v>#NUM!</v>
      </c>
      <c r="GZ192" s="61">
        <f ca="1">AVERAGE(OFFSET($GY$3,0,0,'Données projet'!$E$18+1,1))-AVERAGE(OFFSET($H$3,0,0,'Données projet'!$E$18+1,1))</f>
        <v>502.07782026233912</v>
      </c>
      <c r="HA192" s="61">
        <f t="shared" si="160"/>
        <v>285.83623046025156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0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0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-8.7434273154940449E-13</v>
      </c>
      <c r="P193" s="14" t="e">
        <f t="shared" si="141"/>
        <v>#NUM!</v>
      </c>
      <c r="Q193" s="22" t="e">
        <f t="shared" si="162"/>
        <v>#NUM!</v>
      </c>
      <c r="R193" s="61" t="e">
        <f t="shared" si="109"/>
        <v>#NUM!</v>
      </c>
      <c r="S193" s="61">
        <f ca="1">AVERAGE(OFFSET($R$3,0,0,'Données projet'!$E$9+1,1))-AVERAGE(OFFSET($H$3,0,0,'Données projet'!$E$9+1,1))</f>
        <v>428.8489304403459</v>
      </c>
      <c r="T193" s="61">
        <f t="shared" si="142"/>
        <v>247.01165577562966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1" t="e">
        <f t="shared" si="113"/>
        <v>#NUM!</v>
      </c>
      <c r="AN193" s="61">
        <f ca="1">AVERAGE(OFFSET($AM$3,0,0,'Données projet'!$E$10+1,1))-AVERAGE(OFFSET($H$3,0,0,'Données projet'!$E$10+1,1))</f>
        <v>475.47920969424894</v>
      </c>
      <c r="AO193" s="61">
        <f t="shared" si="144"/>
        <v>271.73544012419364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-3.4106051316484809E-13</v>
      </c>
      <c r="BE193" s="14">
        <f>BD193*VLOOKUP('Données projet'!$B$11,Paramètres!$A$1:$I$89,3,0)*VLOOKUP('Données projet'!$B$11,Paramètres!$A$1:$I$89,5,0)</f>
        <v>-1.9065282685915009E-13</v>
      </c>
      <c r="BF193" s="14" t="e">
        <f t="shared" si="167"/>
        <v>#NUM!</v>
      </c>
      <c r="BG193" s="22" t="e">
        <f t="shared" si="168"/>
        <v>#NUM!</v>
      </c>
      <c r="BH193" s="61" t="e">
        <f t="shared" si="116"/>
        <v>#NUM!</v>
      </c>
      <c r="BI193" s="61">
        <f ca="1">AVERAGE(OFFSET($BH$3,0,0,'Données projet'!$E$11+1,1))-AVERAGE(OFFSET($H$3,0,0,'Données projet'!$E$11+1,1))</f>
        <v>374.79806286316051</v>
      </c>
      <c r="BJ193" s="61">
        <f t="shared" si="146"/>
        <v>350.01856672839466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0.2637041582641193</v>
      </c>
      <c r="BR193" s="23">
        <f>EXP(-LN(2)/2)*BR192+(1-EXP(-LN(2)/2))/(LN(2)/2)*BL193*BO193*VLOOKUP('Données projet'!$B$11,Paramètres!$A$1:$I$89,3,0)*0.475*44/12</f>
        <v>9.105423064910931E-24</v>
      </c>
      <c r="BS193" s="24">
        <f t="shared" si="169"/>
        <v>0.2637041582641193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5.6843418860808015E-13</v>
      </c>
      <c r="BZ193" s="14">
        <f>BY193*VLOOKUP('Données projet'!$B$12,Paramètres!$A$1:$I$89,3,0)*VLOOKUP('Données projet'!$B$12,Paramètres!$A$1:$I$89,5,0)</f>
        <v>2.6602720026858149E-13</v>
      </c>
      <c r="CA193" s="14">
        <f t="shared" si="170"/>
        <v>3.5662905043956649E-12</v>
      </c>
      <c r="CB193" s="22">
        <f t="shared" si="171"/>
        <v>6.6746200022902298E-12</v>
      </c>
      <c r="CC193" s="61">
        <f t="shared" si="119"/>
        <v>293.33333333333997</v>
      </c>
      <c r="CD193" s="61">
        <f ca="1">AVERAGE(OFFSET($CC$3,0,0,'Données projet'!$E$12+1,1))-AVERAGE(OFFSET($H$3,0,0,'Données projet'!$E$12+1,1))</f>
        <v>285.59863510278109</v>
      </c>
      <c r="CE193" s="61">
        <f t="shared" si="148"/>
        <v>190.4880882944471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5.4683368944097308E-14</v>
      </c>
      <c r="CV193" s="14">
        <f t="shared" si="173"/>
        <v>8.8129432816788268E-13</v>
      </c>
      <c r="CW193" s="22">
        <f t="shared" si="174"/>
        <v>1.6301611558033651E-12</v>
      </c>
      <c r="CX193" s="61">
        <f t="shared" si="122"/>
        <v>293.33333333333496</v>
      </c>
      <c r="CY193" s="61">
        <f ca="1">AVERAGE(OFFSET($CX$3,0,0,'Données projet'!$E$13+1,1))-AVERAGE(OFFSET($H$3,0,0,'Données projet'!$E$13+1,1))</f>
        <v>273.72618036666552</v>
      </c>
      <c r="CZ193" s="61">
        <f t="shared" si="150"/>
        <v>157.67999791700714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1.7053025658242404E-13</v>
      </c>
      <c r="DP193" s="18">
        <f>DO193*VLOOKUP('Données projet'!$B$14,Paramètres!$A$1:$I$89,3,0)*VLOOKUP('Données projet'!$B$14,Paramètres!$A$1:$I$89,5,0)</f>
        <v>1.1439169611549005E-13</v>
      </c>
      <c r="DQ193" s="14">
        <f t="shared" si="176"/>
        <v>1.6918016515029816E-12</v>
      </c>
      <c r="DR193" s="22">
        <f t="shared" si="177"/>
        <v>3.1457867471021712E-12</v>
      </c>
      <c r="DS193" s="61">
        <f t="shared" si="125"/>
        <v>293.33333333333644</v>
      </c>
      <c r="DT193" s="61">
        <f ca="1">AVERAGE(OFFSET($DS$3,0,0,'Données projet'!$E$14+1,1))-AVERAGE(OFFSET($H$3,0,0,'Données projet'!$E$14+1,1))</f>
        <v>312.06797204903796</v>
      </c>
      <c r="DU193" s="61">
        <f t="shared" si="152"/>
        <v>258.20189001775151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1.4210854715202004E-13</v>
      </c>
      <c r="EK193" s="18">
        <f>EJ193*VLOOKUP('Données projet'!$B$15,Paramètres!$A$1:$I$89,3,0)*VLOOKUP('Données projet'!$B$15,Paramètres!$A$1:$I$89,5,0)</f>
        <v>1.1527845344971866E-13</v>
      </c>
      <c r="EL193" s="14">
        <f t="shared" si="179"/>
        <v>1.7033846239409443E-12</v>
      </c>
      <c r="EM193" s="22">
        <f t="shared" si="180"/>
        <v>3.1675048597887374E-12</v>
      </c>
      <c r="EN193" s="61">
        <f t="shared" si="128"/>
        <v>293.3333333333365</v>
      </c>
      <c r="EO193" s="61">
        <f ca="1">AVERAGE(OFFSET($EN$3,0,0,'Données projet'!$E$15+1,1))-AVERAGE(OFFSET($H$3,0,0,'Données projet'!$E$15+1,1))</f>
        <v>222.15256609836689</v>
      </c>
      <c r="EP193" s="61">
        <f t="shared" si="154"/>
        <v>221.10360210521077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1.1368683772161603E-13</v>
      </c>
      <c r="FF193" s="18">
        <f>FE193*VLOOKUP('Données projet'!$B$16,Paramètres!$A$1:$I$89,3,0)*VLOOKUP('Données projet'!$B$16,Paramètres!$A$1:$I$89,5,0)</f>
        <v>8.8675733422860506E-14</v>
      </c>
      <c r="FG193" s="14">
        <f t="shared" si="182"/>
        <v>1.3509285393066301E-12</v>
      </c>
      <c r="FH193" s="22">
        <f t="shared" si="183"/>
        <v>2.5073107750038623E-12</v>
      </c>
      <c r="FI193" s="61">
        <f t="shared" si="131"/>
        <v>293.33333333333582</v>
      </c>
      <c r="FJ193" s="61">
        <f ca="1">AVERAGE(OFFSET($FI$3,0,0,'Données projet'!$E$16+1,1))-AVERAGE(OFFSET($H$3,0,0,'Données projet'!$E$16+1,1))</f>
        <v>292.57482726862594</v>
      </c>
      <c r="FK193" s="61">
        <f t="shared" si="156"/>
        <v>283.48738729114024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-9.6633812063373625E-13</v>
      </c>
      <c r="GA193" s="18">
        <f>FZ193*VLOOKUP('Données projet'!$B$17,Paramètres!$A$1:$I$89,3,0)*VLOOKUP('Données projet'!$B$17,Paramètres!$A$1:$I$89,5,0)</f>
        <v>-9.3464223027694966E-13</v>
      </c>
      <c r="GB193" s="14" t="e">
        <f t="shared" si="185"/>
        <v>#NUM!</v>
      </c>
      <c r="GC193" s="22" t="e">
        <f t="shared" si="186"/>
        <v>#NUM!</v>
      </c>
      <c r="GD193" s="61" t="e">
        <f t="shared" si="134"/>
        <v>#NUM!</v>
      </c>
      <c r="GE193" s="61">
        <f ca="1">AVERAGE(OFFSET($GD$3,0,0,'Données projet'!$E$17+1,1))-AVERAGE(OFFSET($H$3,0,0,'Données projet'!$E$17+1,1))</f>
        <v>455.50822833641354</v>
      </c>
      <c r="GF193" s="61">
        <f t="shared" si="158"/>
        <v>261.14722581688039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0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0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-9.6633812063373625E-13</v>
      </c>
      <c r="GV193" s="18">
        <f>GU193*VLOOKUP('Données projet'!$B$18,Paramètres!$A$1:$I$89,3,0)*VLOOKUP('Données projet'!$B$18,Paramètres!$A$1:$I$89,5,0)</f>
        <v>-1.0401663530501537E-12</v>
      </c>
      <c r="GW193" s="14" t="e">
        <f t="shared" si="188"/>
        <v>#NUM!</v>
      </c>
      <c r="GX193" s="22" t="e">
        <f t="shared" si="189"/>
        <v>#NUM!</v>
      </c>
      <c r="GY193" s="61" t="e">
        <f t="shared" si="137"/>
        <v>#NUM!</v>
      </c>
      <c r="GZ193" s="61">
        <f ca="1">AVERAGE(OFFSET($GY$3,0,0,'Données projet'!$E$18+1,1))-AVERAGE(OFFSET($H$3,0,0,'Données projet'!$E$18+1,1))</f>
        <v>502.07782026233912</v>
      </c>
      <c r="HA193" s="61">
        <f t="shared" si="160"/>
        <v>285.83623046025156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0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0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-8.7434273154940449E-13</v>
      </c>
      <c r="P194" s="14" t="e">
        <f t="shared" si="141"/>
        <v>#NUM!</v>
      </c>
      <c r="Q194" s="22" t="e">
        <f t="shared" si="162"/>
        <v>#NUM!</v>
      </c>
      <c r="R194" s="61" t="e">
        <f t="shared" si="109"/>
        <v>#NUM!</v>
      </c>
      <c r="S194" s="61">
        <f ca="1">AVERAGE(OFFSET($R$3,0,0,'Données projet'!$E$9+1,1))-AVERAGE(OFFSET($H$3,0,0,'Données projet'!$E$9+1,1))</f>
        <v>428.8489304403459</v>
      </c>
      <c r="T194" s="61">
        <f t="shared" si="142"/>
        <v>247.01165577562966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1" t="e">
        <f t="shared" si="113"/>
        <v>#NUM!</v>
      </c>
      <c r="AN194" s="61">
        <f ca="1">AVERAGE(OFFSET($AM$3,0,0,'Données projet'!$E$10+1,1))-AVERAGE(OFFSET($H$3,0,0,'Données projet'!$E$10+1,1))</f>
        <v>475.47920969424894</v>
      </c>
      <c r="AO194" s="61">
        <f t="shared" si="144"/>
        <v>271.73544012419364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-3.4106051316484809E-13</v>
      </c>
      <c r="BE194" s="14">
        <f>BD194*VLOOKUP('Données projet'!$B$11,Paramètres!$A$1:$I$89,3,0)*VLOOKUP('Données projet'!$B$11,Paramètres!$A$1:$I$89,5,0)</f>
        <v>-1.9065282685915009E-13</v>
      </c>
      <c r="BF194" s="14" t="e">
        <f t="shared" si="167"/>
        <v>#NUM!</v>
      </c>
      <c r="BG194" s="22" t="e">
        <f t="shared" si="168"/>
        <v>#NUM!</v>
      </c>
      <c r="BH194" s="61" t="e">
        <f t="shared" si="116"/>
        <v>#NUM!</v>
      </c>
      <c r="BI194" s="61">
        <f ca="1">AVERAGE(OFFSET($BH$3,0,0,'Données projet'!$E$11+1,1))-AVERAGE(OFFSET($H$3,0,0,'Données projet'!$E$11+1,1))</f>
        <v>374.79806286316051</v>
      </c>
      <c r="BJ194" s="61">
        <f t="shared" si="146"/>
        <v>350.01856672839466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0.25649315418878799</v>
      </c>
      <c r="BR194" s="23">
        <f>EXP(-LN(2)/2)*BR193+(1-EXP(-LN(2)/2))/(LN(2)/2)*BL194*BO194*VLOOKUP('Données projet'!$B$11,Paramètres!$A$1:$I$89,3,0)*0.475*44/12</f>
        <v>6.4385063947709167E-24</v>
      </c>
      <c r="BS194" s="24">
        <f t="shared" si="169"/>
        <v>0.25649315418878799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5.6843418860808015E-13</v>
      </c>
      <c r="BZ194" s="14">
        <f>BY194*VLOOKUP('Données projet'!$B$12,Paramètres!$A$1:$I$89,3,0)*VLOOKUP('Données projet'!$B$12,Paramètres!$A$1:$I$89,5,0)</f>
        <v>2.6602720026858149E-13</v>
      </c>
      <c r="CA194" s="14">
        <f t="shared" si="170"/>
        <v>3.5662905043956649E-12</v>
      </c>
      <c r="CB194" s="22">
        <f t="shared" si="171"/>
        <v>6.6746200022902298E-12</v>
      </c>
      <c r="CC194" s="61">
        <f t="shared" si="119"/>
        <v>293.33333333333997</v>
      </c>
      <c r="CD194" s="61">
        <f ca="1">AVERAGE(OFFSET($CC$3,0,0,'Données projet'!$E$12+1,1))-AVERAGE(OFFSET($H$3,0,0,'Données projet'!$E$12+1,1))</f>
        <v>285.59863510278109</v>
      </c>
      <c r="CE194" s="61">
        <f t="shared" si="148"/>
        <v>190.4880882944471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5.4683368944097308E-14</v>
      </c>
      <c r="CV194" s="14">
        <f t="shared" si="173"/>
        <v>8.8129432816788268E-13</v>
      </c>
      <c r="CW194" s="22">
        <f t="shared" si="174"/>
        <v>1.6301611558033651E-12</v>
      </c>
      <c r="CX194" s="61">
        <f t="shared" si="122"/>
        <v>293.33333333333496</v>
      </c>
      <c r="CY194" s="61">
        <f ca="1">AVERAGE(OFFSET($CX$3,0,0,'Données projet'!$E$13+1,1))-AVERAGE(OFFSET($H$3,0,0,'Données projet'!$E$13+1,1))</f>
        <v>273.72618036666552</v>
      </c>
      <c r="CZ194" s="61">
        <f t="shared" si="150"/>
        <v>157.67999791700714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1.7053025658242404E-13</v>
      </c>
      <c r="DP194" s="18">
        <f>DO194*VLOOKUP('Données projet'!$B$14,Paramètres!$A$1:$I$89,3,0)*VLOOKUP('Données projet'!$B$14,Paramètres!$A$1:$I$89,5,0)</f>
        <v>1.1439169611549005E-13</v>
      </c>
      <c r="DQ194" s="14">
        <f t="shared" si="176"/>
        <v>1.6918016515029816E-12</v>
      </c>
      <c r="DR194" s="22">
        <f t="shared" si="177"/>
        <v>3.1457867471021712E-12</v>
      </c>
      <c r="DS194" s="61">
        <f t="shared" si="125"/>
        <v>293.33333333333644</v>
      </c>
      <c r="DT194" s="61">
        <f ca="1">AVERAGE(OFFSET($DS$3,0,0,'Données projet'!$E$14+1,1))-AVERAGE(OFFSET($H$3,0,0,'Données projet'!$E$14+1,1))</f>
        <v>312.06797204903796</v>
      </c>
      <c r="DU194" s="61">
        <f t="shared" si="152"/>
        <v>258.20189001775151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1.4210854715202004E-13</v>
      </c>
      <c r="EK194" s="18">
        <f>EJ194*VLOOKUP('Données projet'!$B$15,Paramètres!$A$1:$I$89,3,0)*VLOOKUP('Données projet'!$B$15,Paramètres!$A$1:$I$89,5,0)</f>
        <v>1.1527845344971866E-13</v>
      </c>
      <c r="EL194" s="14">
        <f t="shared" si="179"/>
        <v>1.7033846239409443E-12</v>
      </c>
      <c r="EM194" s="22">
        <f t="shared" si="180"/>
        <v>3.1675048597887374E-12</v>
      </c>
      <c r="EN194" s="61">
        <f t="shared" si="128"/>
        <v>293.3333333333365</v>
      </c>
      <c r="EO194" s="61">
        <f ca="1">AVERAGE(OFFSET($EN$3,0,0,'Données projet'!$E$15+1,1))-AVERAGE(OFFSET($H$3,0,0,'Données projet'!$E$15+1,1))</f>
        <v>222.15256609836689</v>
      </c>
      <c r="EP194" s="61">
        <f t="shared" si="154"/>
        <v>221.10360210521077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1.1368683772161603E-13</v>
      </c>
      <c r="FF194" s="18">
        <f>FE194*VLOOKUP('Données projet'!$B$16,Paramètres!$A$1:$I$89,3,0)*VLOOKUP('Données projet'!$B$16,Paramètres!$A$1:$I$89,5,0)</f>
        <v>8.8675733422860506E-14</v>
      </c>
      <c r="FG194" s="14">
        <f t="shared" si="182"/>
        <v>1.3509285393066301E-12</v>
      </c>
      <c r="FH194" s="22">
        <f t="shared" si="183"/>
        <v>2.5073107750038623E-12</v>
      </c>
      <c r="FI194" s="61">
        <f t="shared" si="131"/>
        <v>293.33333333333582</v>
      </c>
      <c r="FJ194" s="61">
        <f ca="1">AVERAGE(OFFSET($FI$3,0,0,'Données projet'!$E$16+1,1))-AVERAGE(OFFSET($H$3,0,0,'Données projet'!$E$16+1,1))</f>
        <v>292.57482726862594</v>
      </c>
      <c r="FK194" s="61">
        <f t="shared" si="156"/>
        <v>283.48738729114024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-9.6633812063373625E-13</v>
      </c>
      <c r="GA194" s="18">
        <f>FZ194*VLOOKUP('Données projet'!$B$17,Paramètres!$A$1:$I$89,3,0)*VLOOKUP('Données projet'!$B$17,Paramètres!$A$1:$I$89,5,0)</f>
        <v>-9.3464223027694966E-13</v>
      </c>
      <c r="GB194" s="14" t="e">
        <f t="shared" si="185"/>
        <v>#NUM!</v>
      </c>
      <c r="GC194" s="22" t="e">
        <f t="shared" si="186"/>
        <v>#NUM!</v>
      </c>
      <c r="GD194" s="61" t="e">
        <f t="shared" si="134"/>
        <v>#NUM!</v>
      </c>
      <c r="GE194" s="61">
        <f ca="1">AVERAGE(OFFSET($GD$3,0,0,'Données projet'!$E$17+1,1))-AVERAGE(OFFSET($H$3,0,0,'Données projet'!$E$17+1,1))</f>
        <v>455.50822833641354</v>
      </c>
      <c r="GF194" s="61">
        <f t="shared" si="158"/>
        <v>261.14722581688039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0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0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-9.6633812063373625E-13</v>
      </c>
      <c r="GV194" s="18">
        <f>GU194*VLOOKUP('Données projet'!$B$18,Paramètres!$A$1:$I$89,3,0)*VLOOKUP('Données projet'!$B$18,Paramètres!$A$1:$I$89,5,0)</f>
        <v>-1.0401663530501537E-12</v>
      </c>
      <c r="GW194" s="14" t="e">
        <f t="shared" si="188"/>
        <v>#NUM!</v>
      </c>
      <c r="GX194" s="22" t="e">
        <f t="shared" si="189"/>
        <v>#NUM!</v>
      </c>
      <c r="GY194" s="61" t="e">
        <f t="shared" si="137"/>
        <v>#NUM!</v>
      </c>
      <c r="GZ194" s="61">
        <f ca="1">AVERAGE(OFFSET($GY$3,0,0,'Données projet'!$E$18+1,1))-AVERAGE(OFFSET($H$3,0,0,'Données projet'!$E$18+1,1))</f>
        <v>502.07782026233912</v>
      </c>
      <c r="HA194" s="61">
        <f t="shared" si="160"/>
        <v>285.83623046025156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0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0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-8.7434273154940449E-13</v>
      </c>
      <c r="P195" s="14" t="e">
        <f t="shared" si="141"/>
        <v>#NUM!</v>
      </c>
      <c r="Q195" s="22" t="e">
        <f t="shared" si="162"/>
        <v>#NUM!</v>
      </c>
      <c r="R195" s="61" t="e">
        <f t="shared" ref="R195:R203" si="191">Q195+(I195+J195)*44/12</f>
        <v>#NUM!</v>
      </c>
      <c r="S195" s="61">
        <f ca="1">AVERAGE(OFFSET($R$3,0,0,'Données projet'!$E$9+1,1))-AVERAGE(OFFSET($H$3,0,0,'Données projet'!$E$9+1,1))</f>
        <v>428.8489304403459</v>
      </c>
      <c r="T195" s="61">
        <f t="shared" si="142"/>
        <v>247.01165577562966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1" t="e">
        <f t="shared" si="113"/>
        <v>#NUM!</v>
      </c>
      <c r="AN195" s="61">
        <f ca="1">AVERAGE(OFFSET($AM$3,0,0,'Données projet'!$E$10+1,1))-AVERAGE(OFFSET($H$3,0,0,'Données projet'!$E$10+1,1))</f>
        <v>475.47920969424894</v>
      </c>
      <c r="AO195" s="61">
        <f t="shared" si="144"/>
        <v>271.73544012419364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-3.4106051316484809E-13</v>
      </c>
      <c r="BE195" s="14">
        <f>BD195*VLOOKUP('Données projet'!$B$11,Paramètres!$A$1:$I$89,3,0)*VLOOKUP('Données projet'!$B$11,Paramètres!$A$1:$I$89,5,0)</f>
        <v>-1.9065282685915009E-13</v>
      </c>
      <c r="BF195" s="14" t="e">
        <f t="shared" si="167"/>
        <v>#NUM!</v>
      </c>
      <c r="BG195" s="22" t="e">
        <f t="shared" si="168"/>
        <v>#NUM!</v>
      </c>
      <c r="BH195" s="61" t="e">
        <f t="shared" si="116"/>
        <v>#NUM!</v>
      </c>
      <c r="BI195" s="61">
        <f ca="1">AVERAGE(OFFSET($BH$3,0,0,'Données projet'!$E$11+1,1))-AVERAGE(OFFSET($H$3,0,0,'Données projet'!$E$11+1,1))</f>
        <v>374.79806286316051</v>
      </c>
      <c r="BJ195" s="61">
        <f t="shared" si="146"/>
        <v>350.01856672839466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0.24947933539910683</v>
      </c>
      <c r="BR195" s="23">
        <f>EXP(-LN(2)/2)*BR194+(1-EXP(-LN(2)/2))/(LN(2)/2)*BL195*BO195*VLOOKUP('Données projet'!$B$11,Paramètres!$A$1:$I$89,3,0)*0.475*44/12</f>
        <v>4.5527115324554662E-24</v>
      </c>
      <c r="BS195" s="24">
        <f t="shared" si="169"/>
        <v>0.24947933539910683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5.6843418860808015E-13</v>
      </c>
      <c r="BZ195" s="14">
        <f>BY195*VLOOKUP('Données projet'!$B$12,Paramètres!$A$1:$I$89,3,0)*VLOOKUP('Données projet'!$B$12,Paramètres!$A$1:$I$89,5,0)</f>
        <v>2.6602720026858149E-13</v>
      </c>
      <c r="CA195" s="14">
        <f t="shared" si="170"/>
        <v>3.5662905043956649E-12</v>
      </c>
      <c r="CB195" s="22">
        <f t="shared" si="171"/>
        <v>6.6746200022902298E-12</v>
      </c>
      <c r="CC195" s="61">
        <f t="shared" si="119"/>
        <v>293.33333333333997</v>
      </c>
      <c r="CD195" s="61">
        <f ca="1">AVERAGE(OFFSET($CC$3,0,0,'Données projet'!$E$12+1,1))-AVERAGE(OFFSET($H$3,0,0,'Données projet'!$E$12+1,1))</f>
        <v>285.59863510278109</v>
      </c>
      <c r="CE195" s="61">
        <f t="shared" si="148"/>
        <v>190.4880882944471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5.4683368944097308E-14</v>
      </c>
      <c r="CV195" s="14">
        <f t="shared" si="173"/>
        <v>8.8129432816788268E-13</v>
      </c>
      <c r="CW195" s="22">
        <f t="shared" si="174"/>
        <v>1.6301611558033651E-12</v>
      </c>
      <c r="CX195" s="61">
        <f t="shared" si="122"/>
        <v>293.33333333333496</v>
      </c>
      <c r="CY195" s="61">
        <f ca="1">AVERAGE(OFFSET($CX$3,0,0,'Données projet'!$E$13+1,1))-AVERAGE(OFFSET($H$3,0,0,'Données projet'!$E$13+1,1))</f>
        <v>273.72618036666552</v>
      </c>
      <c r="CZ195" s="61">
        <f t="shared" si="150"/>
        <v>157.67999791700714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1.7053025658242404E-13</v>
      </c>
      <c r="DP195" s="18">
        <f>DO195*VLOOKUP('Données projet'!$B$14,Paramètres!$A$1:$I$89,3,0)*VLOOKUP('Données projet'!$B$14,Paramètres!$A$1:$I$89,5,0)</f>
        <v>1.1439169611549005E-13</v>
      </c>
      <c r="DQ195" s="14">
        <f t="shared" si="176"/>
        <v>1.6918016515029816E-12</v>
      </c>
      <c r="DR195" s="22">
        <f t="shared" si="177"/>
        <v>3.1457867471021712E-12</v>
      </c>
      <c r="DS195" s="61">
        <f t="shared" si="125"/>
        <v>293.33333333333644</v>
      </c>
      <c r="DT195" s="61">
        <f ca="1">AVERAGE(OFFSET($DS$3,0,0,'Données projet'!$E$14+1,1))-AVERAGE(OFFSET($H$3,0,0,'Données projet'!$E$14+1,1))</f>
        <v>312.06797204903796</v>
      </c>
      <c r="DU195" s="61">
        <f t="shared" si="152"/>
        <v>258.20189001775151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1.4210854715202004E-13</v>
      </c>
      <c r="EK195" s="18">
        <f>EJ195*VLOOKUP('Données projet'!$B$15,Paramètres!$A$1:$I$89,3,0)*VLOOKUP('Données projet'!$B$15,Paramètres!$A$1:$I$89,5,0)</f>
        <v>1.1527845344971866E-13</v>
      </c>
      <c r="EL195" s="14">
        <f t="shared" si="179"/>
        <v>1.7033846239409443E-12</v>
      </c>
      <c r="EM195" s="22">
        <f t="shared" si="180"/>
        <v>3.1675048597887374E-12</v>
      </c>
      <c r="EN195" s="61">
        <f t="shared" si="128"/>
        <v>293.3333333333365</v>
      </c>
      <c r="EO195" s="61">
        <f ca="1">AVERAGE(OFFSET($EN$3,0,0,'Données projet'!$E$15+1,1))-AVERAGE(OFFSET($H$3,0,0,'Données projet'!$E$15+1,1))</f>
        <v>222.15256609836689</v>
      </c>
      <c r="EP195" s="61">
        <f t="shared" si="154"/>
        <v>221.10360210521077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1.1368683772161603E-13</v>
      </c>
      <c r="FF195" s="18">
        <f>FE195*VLOOKUP('Données projet'!$B$16,Paramètres!$A$1:$I$89,3,0)*VLOOKUP('Données projet'!$B$16,Paramètres!$A$1:$I$89,5,0)</f>
        <v>8.8675733422860506E-14</v>
      </c>
      <c r="FG195" s="14">
        <f t="shared" si="182"/>
        <v>1.3509285393066301E-12</v>
      </c>
      <c r="FH195" s="22">
        <f t="shared" si="183"/>
        <v>2.5073107750038623E-12</v>
      </c>
      <c r="FI195" s="61">
        <f t="shared" si="131"/>
        <v>293.33333333333582</v>
      </c>
      <c r="FJ195" s="61">
        <f ca="1">AVERAGE(OFFSET($FI$3,0,0,'Données projet'!$E$16+1,1))-AVERAGE(OFFSET($H$3,0,0,'Données projet'!$E$16+1,1))</f>
        <v>292.57482726862594</v>
      </c>
      <c r="FK195" s="61">
        <f t="shared" si="156"/>
        <v>283.48738729114024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-9.6633812063373625E-13</v>
      </c>
      <c r="GA195" s="18">
        <f>FZ195*VLOOKUP('Données projet'!$B$17,Paramètres!$A$1:$I$89,3,0)*VLOOKUP('Données projet'!$B$17,Paramètres!$A$1:$I$89,5,0)</f>
        <v>-9.3464223027694966E-13</v>
      </c>
      <c r="GB195" s="14" t="e">
        <f t="shared" si="185"/>
        <v>#NUM!</v>
      </c>
      <c r="GC195" s="22" t="e">
        <f t="shared" si="186"/>
        <v>#NUM!</v>
      </c>
      <c r="GD195" s="61" t="e">
        <f t="shared" si="134"/>
        <v>#NUM!</v>
      </c>
      <c r="GE195" s="61">
        <f ca="1">AVERAGE(OFFSET($GD$3,0,0,'Données projet'!$E$17+1,1))-AVERAGE(OFFSET($H$3,0,0,'Données projet'!$E$17+1,1))</f>
        <v>455.50822833641354</v>
      </c>
      <c r="GF195" s="61">
        <f t="shared" si="158"/>
        <v>261.14722581688039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0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0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-9.6633812063373625E-13</v>
      </c>
      <c r="GV195" s="18">
        <f>GU195*VLOOKUP('Données projet'!$B$18,Paramètres!$A$1:$I$89,3,0)*VLOOKUP('Données projet'!$B$18,Paramètres!$A$1:$I$89,5,0)</f>
        <v>-1.0401663530501537E-12</v>
      </c>
      <c r="GW195" s="14" t="e">
        <f t="shared" si="188"/>
        <v>#NUM!</v>
      </c>
      <c r="GX195" s="22" t="e">
        <f t="shared" si="189"/>
        <v>#NUM!</v>
      </c>
      <c r="GY195" s="61" t="e">
        <f t="shared" si="137"/>
        <v>#NUM!</v>
      </c>
      <c r="GZ195" s="61">
        <f ca="1">AVERAGE(OFFSET($GY$3,0,0,'Données projet'!$E$18+1,1))-AVERAGE(OFFSET($H$3,0,0,'Données projet'!$E$18+1,1))</f>
        <v>502.07782026233912</v>
      </c>
      <c r="HA195" s="61">
        <f t="shared" si="160"/>
        <v>285.83623046025156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0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0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-8.7434273154940449E-13</v>
      </c>
      <c r="P196" s="14" t="e">
        <f t="shared" si="141"/>
        <v>#NUM!</v>
      </c>
      <c r="Q196" s="22" t="e">
        <f t="shared" si="162"/>
        <v>#NUM!</v>
      </c>
      <c r="R196" s="61" t="e">
        <f t="shared" si="191"/>
        <v>#NUM!</v>
      </c>
      <c r="S196" s="61">
        <f ca="1">AVERAGE(OFFSET($R$3,0,0,'Données projet'!$E$9+1,1))-AVERAGE(OFFSET($H$3,0,0,'Données projet'!$E$9+1,1))</f>
        <v>428.8489304403459</v>
      </c>
      <c r="T196" s="61">
        <f t="shared" si="142"/>
        <v>247.01165577562966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1" t="e">
        <f t="shared" ref="AM196:AM203" si="193">AL196+(AD196+AE196)*44/12</f>
        <v>#NUM!</v>
      </c>
      <c r="AN196" s="61">
        <f ca="1">AVERAGE(OFFSET($AM$3,0,0,'Données projet'!$E$10+1,1))-AVERAGE(OFFSET($H$3,0,0,'Données projet'!$E$10+1,1))</f>
        <v>475.47920969424894</v>
      </c>
      <c r="AO196" s="61">
        <f t="shared" si="144"/>
        <v>271.73544012419364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-3.4106051316484809E-13</v>
      </c>
      <c r="BE196" s="14">
        <f>BD196*VLOOKUP('Données projet'!$B$11,Paramètres!$A$1:$I$89,3,0)*VLOOKUP('Données projet'!$B$11,Paramètres!$A$1:$I$89,5,0)</f>
        <v>-1.9065282685915009E-13</v>
      </c>
      <c r="BF196" s="14" t="e">
        <f t="shared" si="167"/>
        <v>#NUM!</v>
      </c>
      <c r="BG196" s="22" t="e">
        <f t="shared" si="168"/>
        <v>#NUM!</v>
      </c>
      <c r="BH196" s="61" t="e">
        <f t="shared" ref="BH196:BH203" si="194">BG196+(AY196+AZ196)*44/12</f>
        <v>#NUM!</v>
      </c>
      <c r="BI196" s="61">
        <f ca="1">AVERAGE(OFFSET($BH$3,0,0,'Données projet'!$E$11+1,1))-AVERAGE(OFFSET($H$3,0,0,'Données projet'!$E$11+1,1))</f>
        <v>374.79806286316051</v>
      </c>
      <c r="BJ196" s="61">
        <f t="shared" si="146"/>
        <v>350.01856672839466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0.24265730985307019</v>
      </c>
      <c r="BR196" s="23">
        <f>EXP(-LN(2)/2)*BR195+(1-EXP(-LN(2)/2))/(LN(2)/2)*BL196*BO196*VLOOKUP('Données projet'!$B$11,Paramètres!$A$1:$I$89,3,0)*0.475*44/12</f>
        <v>3.2192531973854591E-24</v>
      </c>
      <c r="BS196" s="24">
        <f t="shared" si="169"/>
        <v>0.24265730985307019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5.6843418860808015E-13</v>
      </c>
      <c r="BZ196" s="14">
        <f>BY196*VLOOKUP('Données projet'!$B$12,Paramètres!$A$1:$I$89,3,0)*VLOOKUP('Données projet'!$B$12,Paramètres!$A$1:$I$89,5,0)</f>
        <v>2.6602720026858149E-13</v>
      </c>
      <c r="CA196" s="14">
        <f t="shared" si="170"/>
        <v>3.5662905043956649E-12</v>
      </c>
      <c r="CB196" s="22">
        <f t="shared" si="171"/>
        <v>6.6746200022902298E-12</v>
      </c>
      <c r="CC196" s="61">
        <f t="shared" ref="CC196:CC203" si="195">CB196+(BT196+BU196)*44/12</f>
        <v>293.33333333333997</v>
      </c>
      <c r="CD196" s="61">
        <f ca="1">AVERAGE(OFFSET($CC$3,0,0,'Données projet'!$E$12+1,1))-AVERAGE(OFFSET($H$3,0,0,'Données projet'!$E$12+1,1))</f>
        <v>285.59863510278109</v>
      </c>
      <c r="CE196" s="61">
        <f t="shared" si="148"/>
        <v>190.4880882944471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5.4683368944097308E-14</v>
      </c>
      <c r="CV196" s="14">
        <f t="shared" si="173"/>
        <v>8.8129432816788268E-13</v>
      </c>
      <c r="CW196" s="22">
        <f t="shared" si="174"/>
        <v>1.6301611558033651E-12</v>
      </c>
      <c r="CX196" s="61">
        <f t="shared" ref="CX196:CX203" si="196">CW196+(CO196+CP196)*44/12</f>
        <v>293.33333333333496</v>
      </c>
      <c r="CY196" s="61">
        <f ca="1">AVERAGE(OFFSET($CX$3,0,0,'Données projet'!$E$13+1,1))-AVERAGE(OFFSET($H$3,0,0,'Données projet'!$E$13+1,1))</f>
        <v>273.72618036666552</v>
      </c>
      <c r="CZ196" s="61">
        <f t="shared" si="150"/>
        <v>157.67999791700714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1.7053025658242404E-13</v>
      </c>
      <c r="DP196" s="18">
        <f>DO196*VLOOKUP('Données projet'!$B$14,Paramètres!$A$1:$I$89,3,0)*VLOOKUP('Données projet'!$B$14,Paramètres!$A$1:$I$89,5,0)</f>
        <v>1.1439169611549005E-13</v>
      </c>
      <c r="DQ196" s="14">
        <f t="shared" si="176"/>
        <v>1.6918016515029816E-12</v>
      </c>
      <c r="DR196" s="22">
        <f t="shared" si="177"/>
        <v>3.1457867471021712E-12</v>
      </c>
      <c r="DS196" s="61">
        <f t="shared" ref="DS196:DS203" si="197">DR196+(DJ196+DK196)*44/12</f>
        <v>293.33333333333644</v>
      </c>
      <c r="DT196" s="61">
        <f ca="1">AVERAGE(OFFSET($DS$3,0,0,'Données projet'!$E$14+1,1))-AVERAGE(OFFSET($H$3,0,0,'Données projet'!$E$14+1,1))</f>
        <v>312.06797204903796</v>
      </c>
      <c r="DU196" s="61">
        <f t="shared" si="152"/>
        <v>258.20189001775151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1.4210854715202004E-13</v>
      </c>
      <c r="EK196" s="18">
        <f>EJ196*VLOOKUP('Données projet'!$B$15,Paramètres!$A$1:$I$89,3,0)*VLOOKUP('Données projet'!$B$15,Paramètres!$A$1:$I$89,5,0)</f>
        <v>1.1527845344971866E-13</v>
      </c>
      <c r="EL196" s="14">
        <f t="shared" si="179"/>
        <v>1.7033846239409443E-12</v>
      </c>
      <c r="EM196" s="22">
        <f t="shared" si="180"/>
        <v>3.1675048597887374E-12</v>
      </c>
      <c r="EN196" s="61">
        <f t="shared" ref="EN196:EN203" si="198">EM196+(EE196+EF196)*44/12</f>
        <v>293.3333333333365</v>
      </c>
      <c r="EO196" s="61">
        <f ca="1">AVERAGE(OFFSET($EN$3,0,0,'Données projet'!$E$15+1,1))-AVERAGE(OFFSET($H$3,0,0,'Données projet'!$E$15+1,1))</f>
        <v>222.15256609836689</v>
      </c>
      <c r="EP196" s="61">
        <f t="shared" si="154"/>
        <v>221.10360210521077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1.1368683772161603E-13</v>
      </c>
      <c r="FF196" s="18">
        <f>FE196*VLOOKUP('Données projet'!$B$16,Paramètres!$A$1:$I$89,3,0)*VLOOKUP('Données projet'!$B$16,Paramètres!$A$1:$I$89,5,0)</f>
        <v>8.8675733422860506E-14</v>
      </c>
      <c r="FG196" s="14">
        <f t="shared" si="182"/>
        <v>1.3509285393066301E-12</v>
      </c>
      <c r="FH196" s="22">
        <f t="shared" si="183"/>
        <v>2.5073107750038623E-12</v>
      </c>
      <c r="FI196" s="61">
        <f t="shared" ref="FI196:FI203" si="199">FH196+(EZ196+FA196)*44/12</f>
        <v>293.33333333333582</v>
      </c>
      <c r="FJ196" s="61">
        <f ca="1">AVERAGE(OFFSET($FI$3,0,0,'Données projet'!$E$16+1,1))-AVERAGE(OFFSET($H$3,0,0,'Données projet'!$E$16+1,1))</f>
        <v>292.57482726862594</v>
      </c>
      <c r="FK196" s="61">
        <f t="shared" si="156"/>
        <v>283.48738729114024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-9.6633812063373625E-13</v>
      </c>
      <c r="GA196" s="18">
        <f>FZ196*VLOOKUP('Données projet'!$B$17,Paramètres!$A$1:$I$89,3,0)*VLOOKUP('Données projet'!$B$17,Paramètres!$A$1:$I$89,5,0)</f>
        <v>-9.3464223027694966E-13</v>
      </c>
      <c r="GB196" s="14" t="e">
        <f t="shared" si="185"/>
        <v>#NUM!</v>
      </c>
      <c r="GC196" s="22" t="e">
        <f t="shared" si="186"/>
        <v>#NUM!</v>
      </c>
      <c r="GD196" s="61" t="e">
        <f t="shared" ref="GD196:GD203" si="200">GC196+(FU196+FV196)*44/12</f>
        <v>#NUM!</v>
      </c>
      <c r="GE196" s="61">
        <f ca="1">AVERAGE(OFFSET($GD$3,0,0,'Données projet'!$E$17+1,1))-AVERAGE(OFFSET($H$3,0,0,'Données projet'!$E$17+1,1))</f>
        <v>455.50822833641354</v>
      </c>
      <c r="GF196" s="61">
        <f t="shared" si="158"/>
        <v>261.14722581688039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0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0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-9.6633812063373625E-13</v>
      </c>
      <c r="GV196" s="18">
        <f>GU196*VLOOKUP('Données projet'!$B$18,Paramètres!$A$1:$I$89,3,0)*VLOOKUP('Données projet'!$B$18,Paramètres!$A$1:$I$89,5,0)</f>
        <v>-1.0401663530501537E-12</v>
      </c>
      <c r="GW196" s="14" t="e">
        <f t="shared" si="188"/>
        <v>#NUM!</v>
      </c>
      <c r="GX196" s="22" t="e">
        <f t="shared" si="189"/>
        <v>#NUM!</v>
      </c>
      <c r="GY196" s="61" t="e">
        <f t="shared" ref="GY196:GY203" si="201">GX196+(GP196+GQ196)*44/12</f>
        <v>#NUM!</v>
      </c>
      <c r="GZ196" s="61">
        <f ca="1">AVERAGE(OFFSET($GY$3,0,0,'Données projet'!$E$18+1,1))-AVERAGE(OFFSET($H$3,0,0,'Données projet'!$E$18+1,1))</f>
        <v>502.07782026233912</v>
      </c>
      <c r="HA196" s="61">
        <f t="shared" si="160"/>
        <v>285.83623046025156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0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0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-8.7434273154940449E-13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1" t="e">
        <f t="shared" si="191"/>
        <v>#NUM!</v>
      </c>
      <c r="S197" s="61">
        <f ca="1">AVERAGE(OFFSET($R$3,0,0,'Données projet'!$E$9+1,1))-AVERAGE(OFFSET($H$3,0,0,'Données projet'!$E$9+1,1))</f>
        <v>428.8489304403459</v>
      </c>
      <c r="T197" s="61">
        <f t="shared" ref="T197:T203" si="204">$T$3</f>
        <v>247.01165577562966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1" t="e">
        <f t="shared" si="193"/>
        <v>#NUM!</v>
      </c>
      <c r="AN197" s="61">
        <f ca="1">AVERAGE(OFFSET($AM$3,0,0,'Données projet'!$E$10+1,1))-AVERAGE(OFFSET($H$3,0,0,'Données projet'!$E$10+1,1))</f>
        <v>475.47920969424894</v>
      </c>
      <c r="AO197" s="61">
        <f t="shared" ref="AO197:AO203" si="205">$AO$3</f>
        <v>271.73544012419364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-3.4106051316484809E-13</v>
      </c>
      <c r="BE197" s="14">
        <f>BD197*VLOOKUP('Données projet'!$B$11,Paramètres!$A$1:$I$89,3,0)*VLOOKUP('Données projet'!$B$11,Paramètres!$A$1:$I$89,5,0)</f>
        <v>-1.9065282685915009E-13</v>
      </c>
      <c r="BF197" s="14" t="e">
        <f t="shared" si="167"/>
        <v>#NUM!</v>
      </c>
      <c r="BG197" s="22" t="e">
        <f t="shared" si="168"/>
        <v>#NUM!</v>
      </c>
      <c r="BH197" s="61" t="e">
        <f t="shared" si="194"/>
        <v>#NUM!</v>
      </c>
      <c r="BI197" s="61">
        <f ca="1">AVERAGE(OFFSET($BH$3,0,0,'Données projet'!$E$11+1,1))-AVERAGE(OFFSET($H$3,0,0,'Données projet'!$E$11+1,1))</f>
        <v>374.79806286316051</v>
      </c>
      <c r="BJ197" s="61">
        <f t="shared" ref="BJ197:BJ203" si="206">$BJ$3</f>
        <v>350.01856672839466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0.23602183295434465</v>
      </c>
      <c r="BR197" s="23">
        <f>EXP(-LN(2)/2)*BR196+(1-EXP(-LN(2)/2))/(LN(2)/2)*BL197*BO197*VLOOKUP('Données projet'!$B$11,Paramètres!$A$1:$I$89,3,0)*0.475*44/12</f>
        <v>2.2763557662277335E-24</v>
      </c>
      <c r="BS197" s="24">
        <f t="shared" si="169"/>
        <v>0.23602183295434465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5.6843418860808015E-13</v>
      </c>
      <c r="BZ197" s="14">
        <f>BY197*VLOOKUP('Données projet'!$B$12,Paramètres!$A$1:$I$89,3,0)*VLOOKUP('Données projet'!$B$12,Paramètres!$A$1:$I$89,5,0)</f>
        <v>2.6602720026858149E-13</v>
      </c>
      <c r="CA197" s="14">
        <f t="shared" si="170"/>
        <v>3.5662905043956649E-12</v>
      </c>
      <c r="CB197" s="22">
        <f t="shared" si="171"/>
        <v>6.6746200022902298E-12</v>
      </c>
      <c r="CC197" s="61">
        <f t="shared" si="195"/>
        <v>293.33333333333997</v>
      </c>
      <c r="CD197" s="61">
        <f ca="1">AVERAGE(OFFSET($CC$3,0,0,'Données projet'!$E$12+1,1))-AVERAGE(OFFSET($H$3,0,0,'Données projet'!$E$12+1,1))</f>
        <v>285.59863510278109</v>
      </c>
      <c r="CE197" s="61">
        <f t="shared" ref="CE197:CE203" si="207">$CE$3</f>
        <v>190.4880882944471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5.4683368944097308E-14</v>
      </c>
      <c r="CV197" s="14">
        <f t="shared" si="173"/>
        <v>8.8129432816788268E-13</v>
      </c>
      <c r="CW197" s="22">
        <f t="shared" si="174"/>
        <v>1.6301611558033651E-12</v>
      </c>
      <c r="CX197" s="61">
        <f t="shared" si="196"/>
        <v>293.33333333333496</v>
      </c>
      <c r="CY197" s="61">
        <f ca="1">AVERAGE(OFFSET($CX$3,0,0,'Données projet'!$E$13+1,1))-AVERAGE(OFFSET($H$3,0,0,'Données projet'!$E$13+1,1))</f>
        <v>273.72618036666552</v>
      </c>
      <c r="CZ197" s="61">
        <f t="shared" ref="CZ197:CZ203" si="208">$CZ$3</f>
        <v>157.67999791700714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1.7053025658242404E-13</v>
      </c>
      <c r="DP197" s="18">
        <f>DO197*VLOOKUP('Données projet'!$B$14,Paramètres!$A$1:$I$89,3,0)*VLOOKUP('Données projet'!$B$14,Paramètres!$A$1:$I$89,5,0)</f>
        <v>1.1439169611549005E-13</v>
      </c>
      <c r="DQ197" s="14">
        <f t="shared" si="176"/>
        <v>1.6918016515029816E-12</v>
      </c>
      <c r="DR197" s="22">
        <f t="shared" si="177"/>
        <v>3.1457867471021712E-12</v>
      </c>
      <c r="DS197" s="61">
        <f t="shared" si="197"/>
        <v>293.33333333333644</v>
      </c>
      <c r="DT197" s="61">
        <f ca="1">AVERAGE(OFFSET($DS$3,0,0,'Données projet'!$E$14+1,1))-AVERAGE(OFFSET($H$3,0,0,'Données projet'!$E$14+1,1))</f>
        <v>312.06797204903796</v>
      </c>
      <c r="DU197" s="61">
        <f t="shared" ref="DU197:DU203" si="209">$DU$3</f>
        <v>258.20189001775151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1.4210854715202004E-13</v>
      </c>
      <c r="EK197" s="18">
        <f>EJ197*VLOOKUP('Données projet'!$B$15,Paramètres!$A$1:$I$89,3,0)*VLOOKUP('Données projet'!$B$15,Paramètres!$A$1:$I$89,5,0)</f>
        <v>1.1527845344971866E-13</v>
      </c>
      <c r="EL197" s="14">
        <f t="shared" si="179"/>
        <v>1.7033846239409443E-12</v>
      </c>
      <c r="EM197" s="22">
        <f t="shared" si="180"/>
        <v>3.1675048597887374E-12</v>
      </c>
      <c r="EN197" s="61">
        <f t="shared" si="198"/>
        <v>293.3333333333365</v>
      </c>
      <c r="EO197" s="61">
        <f ca="1">AVERAGE(OFFSET($EN$3,0,0,'Données projet'!$E$15+1,1))-AVERAGE(OFFSET($H$3,0,0,'Données projet'!$E$15+1,1))</f>
        <v>222.15256609836689</v>
      </c>
      <c r="EP197" s="61">
        <f t="shared" ref="EP197:EP203" si="210">$EP$3</f>
        <v>221.10360210521077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1.1368683772161603E-13</v>
      </c>
      <c r="FF197" s="18">
        <f>FE197*VLOOKUP('Données projet'!$B$16,Paramètres!$A$1:$I$89,3,0)*VLOOKUP('Données projet'!$B$16,Paramètres!$A$1:$I$89,5,0)</f>
        <v>8.8675733422860506E-14</v>
      </c>
      <c r="FG197" s="14">
        <f t="shared" si="182"/>
        <v>1.3509285393066301E-12</v>
      </c>
      <c r="FH197" s="22">
        <f t="shared" si="183"/>
        <v>2.5073107750038623E-12</v>
      </c>
      <c r="FI197" s="61">
        <f t="shared" si="199"/>
        <v>293.33333333333582</v>
      </c>
      <c r="FJ197" s="61">
        <f ca="1">AVERAGE(OFFSET($FI$3,0,0,'Données projet'!$E$16+1,1))-AVERAGE(OFFSET($H$3,0,0,'Données projet'!$E$16+1,1))</f>
        <v>292.57482726862594</v>
      </c>
      <c r="FK197" s="61">
        <f t="shared" ref="FK197:FK203" si="211">$FK$3</f>
        <v>283.48738729114024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-9.6633812063373625E-13</v>
      </c>
      <c r="GA197" s="18">
        <f>FZ197*VLOOKUP('Données projet'!$B$17,Paramètres!$A$1:$I$89,3,0)*VLOOKUP('Données projet'!$B$17,Paramètres!$A$1:$I$89,5,0)</f>
        <v>-9.3464223027694966E-13</v>
      </c>
      <c r="GB197" s="14" t="e">
        <f t="shared" si="185"/>
        <v>#NUM!</v>
      </c>
      <c r="GC197" s="22" t="e">
        <f t="shared" si="186"/>
        <v>#NUM!</v>
      </c>
      <c r="GD197" s="61" t="e">
        <f t="shared" si="200"/>
        <v>#NUM!</v>
      </c>
      <c r="GE197" s="61">
        <f ca="1">AVERAGE(OFFSET($GD$3,0,0,'Données projet'!$E$17+1,1))-AVERAGE(OFFSET($H$3,0,0,'Données projet'!$E$17+1,1))</f>
        <v>455.50822833641354</v>
      </c>
      <c r="GF197" s="61">
        <f t="shared" ref="GF197:GF203" si="212">$GF$3</f>
        <v>261.14722581688039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0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0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-9.6633812063373625E-13</v>
      </c>
      <c r="GV197" s="18">
        <f>GU197*VLOOKUP('Données projet'!$B$18,Paramètres!$A$1:$I$89,3,0)*VLOOKUP('Données projet'!$B$18,Paramètres!$A$1:$I$89,5,0)</f>
        <v>-1.0401663530501537E-12</v>
      </c>
      <c r="GW197" s="14" t="e">
        <f t="shared" si="188"/>
        <v>#NUM!</v>
      </c>
      <c r="GX197" s="22" t="e">
        <f t="shared" si="189"/>
        <v>#NUM!</v>
      </c>
      <c r="GY197" s="61" t="e">
        <f t="shared" si="201"/>
        <v>#NUM!</v>
      </c>
      <c r="GZ197" s="61">
        <f ca="1">AVERAGE(OFFSET($GY$3,0,0,'Données projet'!$E$18+1,1))-AVERAGE(OFFSET($H$3,0,0,'Données projet'!$E$18+1,1))</f>
        <v>502.07782026233912</v>
      </c>
      <c r="HA197" s="61">
        <f t="shared" ref="HA197:HA203" si="213">$HA$3</f>
        <v>285.83623046025156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0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0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-8.7434273154940449E-13</v>
      </c>
      <c r="P198" s="14" t="e">
        <f t="shared" si="203"/>
        <v>#NUM!</v>
      </c>
      <c r="Q198" s="22" t="e">
        <f t="shared" si="162"/>
        <v>#NUM!</v>
      </c>
      <c r="R198" s="61" t="e">
        <f t="shared" si="191"/>
        <v>#NUM!</v>
      </c>
      <c r="S198" s="61">
        <f ca="1">AVERAGE(OFFSET($R$3,0,0,'Données projet'!$E$9+1,1))-AVERAGE(OFFSET($H$3,0,0,'Données projet'!$E$9+1,1))</f>
        <v>428.8489304403459</v>
      </c>
      <c r="T198" s="61">
        <f t="shared" si="204"/>
        <v>247.01165577562966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1" t="e">
        <f t="shared" si="193"/>
        <v>#NUM!</v>
      </c>
      <c r="AN198" s="61">
        <f ca="1">AVERAGE(OFFSET($AM$3,0,0,'Données projet'!$E$10+1,1))-AVERAGE(OFFSET($H$3,0,0,'Données projet'!$E$10+1,1))</f>
        <v>475.47920969424894</v>
      </c>
      <c r="AO198" s="61">
        <f t="shared" si="205"/>
        <v>271.73544012419364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-3.4106051316484809E-13</v>
      </c>
      <c r="BE198" s="14">
        <f>BD198*VLOOKUP('Données projet'!$B$11,Paramètres!$A$1:$I$89,3,0)*VLOOKUP('Données projet'!$B$11,Paramètres!$A$1:$I$89,5,0)</f>
        <v>-1.9065282685915009E-13</v>
      </c>
      <c r="BF198" s="14" t="e">
        <f t="shared" si="167"/>
        <v>#NUM!</v>
      </c>
      <c r="BG198" s="22" t="e">
        <f t="shared" si="168"/>
        <v>#NUM!</v>
      </c>
      <c r="BH198" s="61" t="e">
        <f t="shared" si="194"/>
        <v>#NUM!</v>
      </c>
      <c r="BI198" s="61">
        <f ca="1">AVERAGE(OFFSET($BH$3,0,0,'Données projet'!$E$11+1,1))-AVERAGE(OFFSET($H$3,0,0,'Données projet'!$E$11+1,1))</f>
        <v>374.79806286316051</v>
      </c>
      <c r="BJ198" s="61">
        <f t="shared" si="206"/>
        <v>350.01856672839466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0.22956780352035933</v>
      </c>
      <c r="BR198" s="23">
        <f>EXP(-LN(2)/2)*BR197+(1-EXP(-LN(2)/2))/(LN(2)/2)*BL198*BO198*VLOOKUP('Données projet'!$B$11,Paramètres!$A$1:$I$89,3,0)*0.475*44/12</f>
        <v>1.6096265986927297E-24</v>
      </c>
      <c r="BS198" s="24">
        <f t="shared" si="169"/>
        <v>0.22956780352035933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5.6843418860808015E-13</v>
      </c>
      <c r="BZ198" s="14">
        <f>BY198*VLOOKUP('Données projet'!$B$12,Paramètres!$A$1:$I$89,3,0)*VLOOKUP('Données projet'!$B$12,Paramètres!$A$1:$I$89,5,0)</f>
        <v>2.6602720026858149E-13</v>
      </c>
      <c r="CA198" s="14">
        <f t="shared" si="170"/>
        <v>3.5662905043956649E-12</v>
      </c>
      <c r="CB198" s="22">
        <f t="shared" si="171"/>
        <v>6.6746200022902298E-12</v>
      </c>
      <c r="CC198" s="61">
        <f t="shared" si="195"/>
        <v>293.33333333333997</v>
      </c>
      <c r="CD198" s="61">
        <f ca="1">AVERAGE(OFFSET($CC$3,0,0,'Données projet'!$E$12+1,1))-AVERAGE(OFFSET($H$3,0,0,'Données projet'!$E$12+1,1))</f>
        <v>285.59863510278109</v>
      </c>
      <c r="CE198" s="61">
        <f t="shared" si="207"/>
        <v>190.4880882944471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5.4683368944097308E-14</v>
      </c>
      <c r="CV198" s="14">
        <f t="shared" si="173"/>
        <v>8.8129432816788268E-13</v>
      </c>
      <c r="CW198" s="22">
        <f t="shared" si="174"/>
        <v>1.6301611558033651E-12</v>
      </c>
      <c r="CX198" s="61">
        <f t="shared" si="196"/>
        <v>293.33333333333496</v>
      </c>
      <c r="CY198" s="61">
        <f ca="1">AVERAGE(OFFSET($CX$3,0,0,'Données projet'!$E$13+1,1))-AVERAGE(OFFSET($H$3,0,0,'Données projet'!$E$13+1,1))</f>
        <v>273.72618036666552</v>
      </c>
      <c r="CZ198" s="61">
        <f t="shared" si="208"/>
        <v>157.67999791700714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1.7053025658242404E-13</v>
      </c>
      <c r="DP198" s="18">
        <f>DO198*VLOOKUP('Données projet'!$B$14,Paramètres!$A$1:$I$89,3,0)*VLOOKUP('Données projet'!$B$14,Paramètres!$A$1:$I$89,5,0)</f>
        <v>1.1439169611549005E-13</v>
      </c>
      <c r="DQ198" s="14">
        <f t="shared" si="176"/>
        <v>1.6918016515029816E-12</v>
      </c>
      <c r="DR198" s="22">
        <f t="shared" si="177"/>
        <v>3.1457867471021712E-12</v>
      </c>
      <c r="DS198" s="61">
        <f t="shared" si="197"/>
        <v>293.33333333333644</v>
      </c>
      <c r="DT198" s="61">
        <f ca="1">AVERAGE(OFFSET($DS$3,0,0,'Données projet'!$E$14+1,1))-AVERAGE(OFFSET($H$3,0,0,'Données projet'!$E$14+1,1))</f>
        <v>312.06797204903796</v>
      </c>
      <c r="DU198" s="61">
        <f t="shared" si="209"/>
        <v>258.20189001775151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1.4210854715202004E-13</v>
      </c>
      <c r="EK198" s="18">
        <f>EJ198*VLOOKUP('Données projet'!$B$15,Paramètres!$A$1:$I$89,3,0)*VLOOKUP('Données projet'!$B$15,Paramètres!$A$1:$I$89,5,0)</f>
        <v>1.1527845344971866E-13</v>
      </c>
      <c r="EL198" s="14">
        <f t="shared" si="179"/>
        <v>1.7033846239409443E-12</v>
      </c>
      <c r="EM198" s="22">
        <f t="shared" si="180"/>
        <v>3.1675048597887374E-12</v>
      </c>
      <c r="EN198" s="61">
        <f t="shared" si="198"/>
        <v>293.3333333333365</v>
      </c>
      <c r="EO198" s="61">
        <f ca="1">AVERAGE(OFFSET($EN$3,0,0,'Données projet'!$E$15+1,1))-AVERAGE(OFFSET($H$3,0,0,'Données projet'!$E$15+1,1))</f>
        <v>222.15256609836689</v>
      </c>
      <c r="EP198" s="61">
        <f t="shared" si="210"/>
        <v>221.10360210521077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1.1368683772161603E-13</v>
      </c>
      <c r="FF198" s="18">
        <f>FE198*VLOOKUP('Données projet'!$B$16,Paramètres!$A$1:$I$89,3,0)*VLOOKUP('Données projet'!$B$16,Paramètres!$A$1:$I$89,5,0)</f>
        <v>8.8675733422860506E-14</v>
      </c>
      <c r="FG198" s="14">
        <f t="shared" si="182"/>
        <v>1.3509285393066301E-12</v>
      </c>
      <c r="FH198" s="22">
        <f t="shared" si="183"/>
        <v>2.5073107750038623E-12</v>
      </c>
      <c r="FI198" s="61">
        <f t="shared" si="199"/>
        <v>293.33333333333582</v>
      </c>
      <c r="FJ198" s="61">
        <f ca="1">AVERAGE(OFFSET($FI$3,0,0,'Données projet'!$E$16+1,1))-AVERAGE(OFFSET($H$3,0,0,'Données projet'!$E$16+1,1))</f>
        <v>292.57482726862594</v>
      </c>
      <c r="FK198" s="61">
        <f t="shared" si="211"/>
        <v>283.48738729114024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-9.6633812063373625E-13</v>
      </c>
      <c r="GA198" s="18">
        <f>FZ198*VLOOKUP('Données projet'!$B$17,Paramètres!$A$1:$I$89,3,0)*VLOOKUP('Données projet'!$B$17,Paramètres!$A$1:$I$89,5,0)</f>
        <v>-9.3464223027694966E-13</v>
      </c>
      <c r="GB198" s="14" t="e">
        <f t="shared" si="185"/>
        <v>#NUM!</v>
      </c>
      <c r="GC198" s="22" t="e">
        <f t="shared" si="186"/>
        <v>#NUM!</v>
      </c>
      <c r="GD198" s="61" t="e">
        <f t="shared" si="200"/>
        <v>#NUM!</v>
      </c>
      <c r="GE198" s="61">
        <f ca="1">AVERAGE(OFFSET($GD$3,0,0,'Données projet'!$E$17+1,1))-AVERAGE(OFFSET($H$3,0,0,'Données projet'!$E$17+1,1))</f>
        <v>455.50822833641354</v>
      </c>
      <c r="GF198" s="61">
        <f t="shared" si="212"/>
        <v>261.14722581688039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0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0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-9.6633812063373625E-13</v>
      </c>
      <c r="GV198" s="18">
        <f>GU198*VLOOKUP('Données projet'!$B$18,Paramètres!$A$1:$I$89,3,0)*VLOOKUP('Données projet'!$B$18,Paramètres!$A$1:$I$89,5,0)</f>
        <v>-1.0401663530501537E-12</v>
      </c>
      <c r="GW198" s="14" t="e">
        <f t="shared" si="188"/>
        <v>#NUM!</v>
      </c>
      <c r="GX198" s="22" t="e">
        <f t="shared" si="189"/>
        <v>#NUM!</v>
      </c>
      <c r="GY198" s="61" t="e">
        <f t="shared" si="201"/>
        <v>#NUM!</v>
      </c>
      <c r="GZ198" s="61">
        <f ca="1">AVERAGE(OFFSET($GY$3,0,0,'Données projet'!$E$18+1,1))-AVERAGE(OFFSET($H$3,0,0,'Données projet'!$E$18+1,1))</f>
        <v>502.07782026233912</v>
      </c>
      <c r="HA198" s="61">
        <f t="shared" si="213"/>
        <v>285.83623046025156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0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0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-8.7434273154940449E-13</v>
      </c>
      <c r="P199" s="14" t="e">
        <f t="shared" si="203"/>
        <v>#NUM!</v>
      </c>
      <c r="Q199" s="22" t="e">
        <f t="shared" si="162"/>
        <v>#NUM!</v>
      </c>
      <c r="R199" s="61" t="e">
        <f t="shared" si="191"/>
        <v>#NUM!</v>
      </c>
      <c r="S199" s="61">
        <f ca="1">AVERAGE(OFFSET($R$3,0,0,'Données projet'!$E$9+1,1))-AVERAGE(OFFSET($H$3,0,0,'Données projet'!$E$9+1,1))</f>
        <v>428.8489304403459</v>
      </c>
      <c r="T199" s="61">
        <f t="shared" si="204"/>
        <v>247.01165577562966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1" t="e">
        <f t="shared" si="193"/>
        <v>#NUM!</v>
      </c>
      <c r="AN199" s="61">
        <f ca="1">AVERAGE(OFFSET($AM$3,0,0,'Données projet'!$E$10+1,1))-AVERAGE(OFFSET($H$3,0,0,'Données projet'!$E$10+1,1))</f>
        <v>475.47920969424894</v>
      </c>
      <c r="AO199" s="61">
        <f t="shared" si="205"/>
        <v>271.73544012419364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-3.4106051316484809E-13</v>
      </c>
      <c r="BE199" s="14">
        <f>BD199*VLOOKUP('Données projet'!$B$11,Paramètres!$A$1:$I$89,3,0)*VLOOKUP('Données projet'!$B$11,Paramètres!$A$1:$I$89,5,0)</f>
        <v>-1.9065282685915009E-13</v>
      </c>
      <c r="BF199" s="14" t="e">
        <f t="shared" si="167"/>
        <v>#NUM!</v>
      </c>
      <c r="BG199" s="22" t="e">
        <f t="shared" si="168"/>
        <v>#NUM!</v>
      </c>
      <c r="BH199" s="61" t="e">
        <f t="shared" si="194"/>
        <v>#NUM!</v>
      </c>
      <c r="BI199" s="61">
        <f ca="1">AVERAGE(OFFSET($BH$3,0,0,'Données projet'!$E$11+1,1))-AVERAGE(OFFSET($H$3,0,0,'Données projet'!$E$11+1,1))</f>
        <v>374.79806286316051</v>
      </c>
      <c r="BJ199" s="61">
        <f t="shared" si="206"/>
        <v>350.01856672839466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0.22329025986064899</v>
      </c>
      <c r="BR199" s="23">
        <f>EXP(-LN(2)/2)*BR198+(1-EXP(-LN(2)/2))/(LN(2)/2)*BL199*BO199*VLOOKUP('Données projet'!$B$11,Paramètres!$A$1:$I$89,3,0)*0.475*44/12</f>
        <v>1.1381778831138669E-24</v>
      </c>
      <c r="BS199" s="24">
        <f t="shared" si="169"/>
        <v>0.22329025986064899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5.6843418860808015E-13</v>
      </c>
      <c r="BZ199" s="14">
        <f>BY199*VLOOKUP('Données projet'!$B$12,Paramètres!$A$1:$I$89,3,0)*VLOOKUP('Données projet'!$B$12,Paramètres!$A$1:$I$89,5,0)</f>
        <v>2.6602720026858149E-13</v>
      </c>
      <c r="CA199" s="14">
        <f t="shared" si="170"/>
        <v>3.5662905043956649E-12</v>
      </c>
      <c r="CB199" s="22">
        <f t="shared" si="171"/>
        <v>6.6746200022902298E-12</v>
      </c>
      <c r="CC199" s="61">
        <f t="shared" si="195"/>
        <v>293.33333333333997</v>
      </c>
      <c r="CD199" s="61">
        <f ca="1">AVERAGE(OFFSET($CC$3,0,0,'Données projet'!$E$12+1,1))-AVERAGE(OFFSET($H$3,0,0,'Données projet'!$E$12+1,1))</f>
        <v>285.59863510278109</v>
      </c>
      <c r="CE199" s="61">
        <f t="shared" si="207"/>
        <v>190.4880882944471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5.4683368944097308E-14</v>
      </c>
      <c r="CV199" s="14">
        <f t="shared" si="173"/>
        <v>8.8129432816788268E-13</v>
      </c>
      <c r="CW199" s="22">
        <f t="shared" si="174"/>
        <v>1.6301611558033651E-12</v>
      </c>
      <c r="CX199" s="61">
        <f t="shared" si="196"/>
        <v>293.33333333333496</v>
      </c>
      <c r="CY199" s="61">
        <f ca="1">AVERAGE(OFFSET($CX$3,0,0,'Données projet'!$E$13+1,1))-AVERAGE(OFFSET($H$3,0,0,'Données projet'!$E$13+1,1))</f>
        <v>273.72618036666552</v>
      </c>
      <c r="CZ199" s="61">
        <f t="shared" si="208"/>
        <v>157.67999791700714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1.7053025658242404E-13</v>
      </c>
      <c r="DP199" s="18">
        <f>DO199*VLOOKUP('Données projet'!$B$14,Paramètres!$A$1:$I$89,3,0)*VLOOKUP('Données projet'!$B$14,Paramètres!$A$1:$I$89,5,0)</f>
        <v>1.1439169611549005E-13</v>
      </c>
      <c r="DQ199" s="14">
        <f t="shared" si="176"/>
        <v>1.6918016515029816E-12</v>
      </c>
      <c r="DR199" s="22">
        <f t="shared" si="177"/>
        <v>3.1457867471021712E-12</v>
      </c>
      <c r="DS199" s="61">
        <f t="shared" si="197"/>
        <v>293.33333333333644</v>
      </c>
      <c r="DT199" s="61">
        <f ca="1">AVERAGE(OFFSET($DS$3,0,0,'Données projet'!$E$14+1,1))-AVERAGE(OFFSET($H$3,0,0,'Données projet'!$E$14+1,1))</f>
        <v>312.06797204903796</v>
      </c>
      <c r="DU199" s="61">
        <f t="shared" si="209"/>
        <v>258.20189001775151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1.4210854715202004E-13</v>
      </c>
      <c r="EK199" s="18">
        <f>EJ199*VLOOKUP('Données projet'!$B$15,Paramètres!$A$1:$I$89,3,0)*VLOOKUP('Données projet'!$B$15,Paramètres!$A$1:$I$89,5,0)</f>
        <v>1.1527845344971866E-13</v>
      </c>
      <c r="EL199" s="14">
        <f t="shared" si="179"/>
        <v>1.7033846239409443E-12</v>
      </c>
      <c r="EM199" s="22">
        <f t="shared" si="180"/>
        <v>3.1675048597887374E-12</v>
      </c>
      <c r="EN199" s="61">
        <f t="shared" si="198"/>
        <v>293.3333333333365</v>
      </c>
      <c r="EO199" s="61">
        <f ca="1">AVERAGE(OFFSET($EN$3,0,0,'Données projet'!$E$15+1,1))-AVERAGE(OFFSET($H$3,0,0,'Données projet'!$E$15+1,1))</f>
        <v>222.15256609836689</v>
      </c>
      <c r="EP199" s="61">
        <f t="shared" si="210"/>
        <v>221.10360210521077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1.1368683772161603E-13</v>
      </c>
      <c r="FF199" s="18">
        <f>FE199*VLOOKUP('Données projet'!$B$16,Paramètres!$A$1:$I$89,3,0)*VLOOKUP('Données projet'!$B$16,Paramètres!$A$1:$I$89,5,0)</f>
        <v>8.8675733422860506E-14</v>
      </c>
      <c r="FG199" s="14">
        <f t="shared" si="182"/>
        <v>1.3509285393066301E-12</v>
      </c>
      <c r="FH199" s="22">
        <f t="shared" si="183"/>
        <v>2.5073107750038623E-12</v>
      </c>
      <c r="FI199" s="61">
        <f t="shared" si="199"/>
        <v>293.33333333333582</v>
      </c>
      <c r="FJ199" s="61">
        <f ca="1">AVERAGE(OFFSET($FI$3,0,0,'Données projet'!$E$16+1,1))-AVERAGE(OFFSET($H$3,0,0,'Données projet'!$E$16+1,1))</f>
        <v>292.57482726862594</v>
      </c>
      <c r="FK199" s="61">
        <f t="shared" si="211"/>
        <v>283.48738729114024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-9.6633812063373625E-13</v>
      </c>
      <c r="GA199" s="18">
        <f>FZ199*VLOOKUP('Données projet'!$B$17,Paramètres!$A$1:$I$89,3,0)*VLOOKUP('Données projet'!$B$17,Paramètres!$A$1:$I$89,5,0)</f>
        <v>-9.3464223027694966E-13</v>
      </c>
      <c r="GB199" s="14" t="e">
        <f t="shared" si="185"/>
        <v>#NUM!</v>
      </c>
      <c r="GC199" s="22" t="e">
        <f t="shared" si="186"/>
        <v>#NUM!</v>
      </c>
      <c r="GD199" s="61" t="e">
        <f t="shared" si="200"/>
        <v>#NUM!</v>
      </c>
      <c r="GE199" s="61">
        <f ca="1">AVERAGE(OFFSET($GD$3,0,0,'Données projet'!$E$17+1,1))-AVERAGE(OFFSET($H$3,0,0,'Données projet'!$E$17+1,1))</f>
        <v>455.50822833641354</v>
      </c>
      <c r="GF199" s="61">
        <f t="shared" si="212"/>
        <v>261.14722581688039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0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0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-9.6633812063373625E-13</v>
      </c>
      <c r="GV199" s="18">
        <f>GU199*VLOOKUP('Données projet'!$B$18,Paramètres!$A$1:$I$89,3,0)*VLOOKUP('Données projet'!$B$18,Paramètres!$A$1:$I$89,5,0)</f>
        <v>-1.0401663530501537E-12</v>
      </c>
      <c r="GW199" s="14" t="e">
        <f t="shared" si="188"/>
        <v>#NUM!</v>
      </c>
      <c r="GX199" s="22" t="e">
        <f t="shared" si="189"/>
        <v>#NUM!</v>
      </c>
      <c r="GY199" s="61" t="e">
        <f t="shared" si="201"/>
        <v>#NUM!</v>
      </c>
      <c r="GZ199" s="61">
        <f ca="1">AVERAGE(OFFSET($GY$3,0,0,'Données projet'!$E$18+1,1))-AVERAGE(OFFSET($H$3,0,0,'Données projet'!$E$18+1,1))</f>
        <v>502.07782026233912</v>
      </c>
      <c r="HA199" s="61">
        <f t="shared" si="213"/>
        <v>285.83623046025156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0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0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-8.7434273154940449E-13</v>
      </c>
      <c r="P200" s="14" t="e">
        <f t="shared" si="203"/>
        <v>#NUM!</v>
      </c>
      <c r="Q200" s="22" t="e">
        <f t="shared" si="162"/>
        <v>#NUM!</v>
      </c>
      <c r="R200" s="61" t="e">
        <f t="shared" si="191"/>
        <v>#NUM!</v>
      </c>
      <c r="S200" s="61">
        <f ca="1">AVERAGE(OFFSET($R$3,0,0,'Données projet'!$E$9+1,1))-AVERAGE(OFFSET($H$3,0,0,'Données projet'!$E$9+1,1))</f>
        <v>428.8489304403459</v>
      </c>
      <c r="T200" s="61">
        <f t="shared" si="204"/>
        <v>247.01165577562966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1" t="e">
        <f t="shared" si="193"/>
        <v>#NUM!</v>
      </c>
      <c r="AN200" s="61">
        <f ca="1">AVERAGE(OFFSET($AM$3,0,0,'Données projet'!$E$10+1,1))-AVERAGE(OFFSET($H$3,0,0,'Données projet'!$E$10+1,1))</f>
        <v>475.47920969424894</v>
      </c>
      <c r="AO200" s="61">
        <f t="shared" si="205"/>
        <v>271.73544012419364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-3.4106051316484809E-13</v>
      </c>
      <c r="BE200" s="14">
        <f>BD200*VLOOKUP('Données projet'!$B$11,Paramètres!$A$1:$I$89,3,0)*VLOOKUP('Données projet'!$B$11,Paramètres!$A$1:$I$89,5,0)</f>
        <v>-1.9065282685915009E-13</v>
      </c>
      <c r="BF200" s="14" t="e">
        <f t="shared" si="167"/>
        <v>#NUM!</v>
      </c>
      <c r="BG200" s="22" t="e">
        <f t="shared" si="168"/>
        <v>#NUM!</v>
      </c>
      <c r="BH200" s="61" t="e">
        <f t="shared" si="194"/>
        <v>#NUM!</v>
      </c>
      <c r="BI200" s="61">
        <f ca="1">AVERAGE(OFFSET($BH$3,0,0,'Données projet'!$E$11+1,1))-AVERAGE(OFFSET($H$3,0,0,'Données projet'!$E$11+1,1))</f>
        <v>374.79806286316051</v>
      </c>
      <c r="BJ200" s="61">
        <f t="shared" si="206"/>
        <v>350.01856672839466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0.21718437596243512</v>
      </c>
      <c r="BR200" s="23">
        <f>EXP(-LN(2)/2)*BR199+(1-EXP(-LN(2)/2))/(LN(2)/2)*BL200*BO200*VLOOKUP('Données projet'!$B$11,Paramètres!$A$1:$I$89,3,0)*0.475*44/12</f>
        <v>8.0481329934636505E-25</v>
      </c>
      <c r="BS200" s="24">
        <f t="shared" si="169"/>
        <v>0.21718437596243512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5.6843418860808015E-13</v>
      </c>
      <c r="BZ200" s="14">
        <f>BY200*VLOOKUP('Données projet'!$B$12,Paramètres!$A$1:$I$89,3,0)*VLOOKUP('Données projet'!$B$12,Paramètres!$A$1:$I$89,5,0)</f>
        <v>2.6602720026858149E-13</v>
      </c>
      <c r="CA200" s="14">
        <f t="shared" si="170"/>
        <v>3.5662905043956649E-12</v>
      </c>
      <c r="CB200" s="22">
        <f t="shared" si="171"/>
        <v>6.6746200022902298E-12</v>
      </c>
      <c r="CC200" s="61">
        <f t="shared" si="195"/>
        <v>293.33333333333997</v>
      </c>
      <c r="CD200" s="61">
        <f ca="1">AVERAGE(OFFSET($CC$3,0,0,'Données projet'!$E$12+1,1))-AVERAGE(OFFSET($H$3,0,0,'Données projet'!$E$12+1,1))</f>
        <v>285.59863510278109</v>
      </c>
      <c r="CE200" s="61">
        <f t="shared" si="207"/>
        <v>190.4880882944471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5.4683368944097308E-14</v>
      </c>
      <c r="CV200" s="14">
        <f t="shared" si="173"/>
        <v>8.8129432816788268E-13</v>
      </c>
      <c r="CW200" s="22">
        <f t="shared" si="174"/>
        <v>1.6301611558033651E-12</v>
      </c>
      <c r="CX200" s="61">
        <f t="shared" si="196"/>
        <v>293.33333333333496</v>
      </c>
      <c r="CY200" s="61">
        <f ca="1">AVERAGE(OFFSET($CX$3,0,0,'Données projet'!$E$13+1,1))-AVERAGE(OFFSET($H$3,0,0,'Données projet'!$E$13+1,1))</f>
        <v>273.72618036666552</v>
      </c>
      <c r="CZ200" s="61">
        <f t="shared" si="208"/>
        <v>157.67999791700714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1.7053025658242404E-13</v>
      </c>
      <c r="DP200" s="18">
        <f>DO200*VLOOKUP('Données projet'!$B$14,Paramètres!$A$1:$I$89,3,0)*VLOOKUP('Données projet'!$B$14,Paramètres!$A$1:$I$89,5,0)</f>
        <v>1.1439169611549005E-13</v>
      </c>
      <c r="DQ200" s="14">
        <f t="shared" si="176"/>
        <v>1.6918016515029816E-12</v>
      </c>
      <c r="DR200" s="22">
        <f t="shared" si="177"/>
        <v>3.1457867471021712E-12</v>
      </c>
      <c r="DS200" s="61">
        <f t="shared" si="197"/>
        <v>293.33333333333644</v>
      </c>
      <c r="DT200" s="61">
        <f ca="1">AVERAGE(OFFSET($DS$3,0,0,'Données projet'!$E$14+1,1))-AVERAGE(OFFSET($H$3,0,0,'Données projet'!$E$14+1,1))</f>
        <v>312.06797204903796</v>
      </c>
      <c r="DU200" s="61">
        <f t="shared" si="209"/>
        <v>258.20189001775151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1.4210854715202004E-13</v>
      </c>
      <c r="EK200" s="18">
        <f>EJ200*VLOOKUP('Données projet'!$B$15,Paramètres!$A$1:$I$89,3,0)*VLOOKUP('Données projet'!$B$15,Paramètres!$A$1:$I$89,5,0)</f>
        <v>1.1527845344971866E-13</v>
      </c>
      <c r="EL200" s="14">
        <f t="shared" si="179"/>
        <v>1.7033846239409443E-12</v>
      </c>
      <c r="EM200" s="22">
        <f t="shared" si="180"/>
        <v>3.1675048597887374E-12</v>
      </c>
      <c r="EN200" s="61">
        <f t="shared" si="198"/>
        <v>293.3333333333365</v>
      </c>
      <c r="EO200" s="61">
        <f ca="1">AVERAGE(OFFSET($EN$3,0,0,'Données projet'!$E$15+1,1))-AVERAGE(OFFSET($H$3,0,0,'Données projet'!$E$15+1,1))</f>
        <v>222.15256609836689</v>
      </c>
      <c r="EP200" s="61">
        <f t="shared" si="210"/>
        <v>221.10360210521077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1.1368683772161603E-13</v>
      </c>
      <c r="FF200" s="18">
        <f>FE200*VLOOKUP('Données projet'!$B$16,Paramètres!$A$1:$I$89,3,0)*VLOOKUP('Données projet'!$B$16,Paramètres!$A$1:$I$89,5,0)</f>
        <v>8.8675733422860506E-14</v>
      </c>
      <c r="FG200" s="14">
        <f t="shared" si="182"/>
        <v>1.3509285393066301E-12</v>
      </c>
      <c r="FH200" s="22">
        <f t="shared" si="183"/>
        <v>2.5073107750038623E-12</v>
      </c>
      <c r="FI200" s="61">
        <f t="shared" si="199"/>
        <v>293.33333333333582</v>
      </c>
      <c r="FJ200" s="61">
        <f ca="1">AVERAGE(OFFSET($FI$3,0,0,'Données projet'!$E$16+1,1))-AVERAGE(OFFSET($H$3,0,0,'Données projet'!$E$16+1,1))</f>
        <v>292.57482726862594</v>
      </c>
      <c r="FK200" s="61">
        <f t="shared" si="211"/>
        <v>283.48738729114024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-9.6633812063373625E-13</v>
      </c>
      <c r="GA200" s="18">
        <f>FZ200*VLOOKUP('Données projet'!$B$17,Paramètres!$A$1:$I$89,3,0)*VLOOKUP('Données projet'!$B$17,Paramètres!$A$1:$I$89,5,0)</f>
        <v>-9.3464223027694966E-13</v>
      </c>
      <c r="GB200" s="14" t="e">
        <f t="shared" si="185"/>
        <v>#NUM!</v>
      </c>
      <c r="GC200" s="22" t="e">
        <f t="shared" si="186"/>
        <v>#NUM!</v>
      </c>
      <c r="GD200" s="61" t="e">
        <f t="shared" si="200"/>
        <v>#NUM!</v>
      </c>
      <c r="GE200" s="61">
        <f ca="1">AVERAGE(OFFSET($GD$3,0,0,'Données projet'!$E$17+1,1))-AVERAGE(OFFSET($H$3,0,0,'Données projet'!$E$17+1,1))</f>
        <v>455.50822833641354</v>
      </c>
      <c r="GF200" s="61">
        <f t="shared" si="212"/>
        <v>261.14722581688039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0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0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-9.6633812063373625E-13</v>
      </c>
      <c r="GV200" s="18">
        <f>GU200*VLOOKUP('Données projet'!$B$18,Paramètres!$A$1:$I$89,3,0)*VLOOKUP('Données projet'!$B$18,Paramètres!$A$1:$I$89,5,0)</f>
        <v>-1.0401663530501537E-12</v>
      </c>
      <c r="GW200" s="14" t="e">
        <f t="shared" si="188"/>
        <v>#NUM!</v>
      </c>
      <c r="GX200" s="22" t="e">
        <f t="shared" si="189"/>
        <v>#NUM!</v>
      </c>
      <c r="GY200" s="61" t="e">
        <f t="shared" si="201"/>
        <v>#NUM!</v>
      </c>
      <c r="GZ200" s="61">
        <f ca="1">AVERAGE(OFFSET($GY$3,0,0,'Données projet'!$E$18+1,1))-AVERAGE(OFFSET($H$3,0,0,'Données projet'!$E$18+1,1))</f>
        <v>502.07782026233912</v>
      </c>
      <c r="HA200" s="61">
        <f t="shared" si="213"/>
        <v>285.83623046025156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0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0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-8.7434273154940449E-13</v>
      </c>
      <c r="P201" s="14" t="e">
        <f t="shared" si="203"/>
        <v>#NUM!</v>
      </c>
      <c r="Q201" s="22" t="e">
        <f t="shared" si="162"/>
        <v>#NUM!</v>
      </c>
      <c r="R201" s="61" t="e">
        <f t="shared" si="191"/>
        <v>#NUM!</v>
      </c>
      <c r="S201" s="61">
        <f ca="1">AVERAGE(OFFSET($R$3,0,0,'Données projet'!$E$9+1,1))-AVERAGE(OFFSET($H$3,0,0,'Données projet'!$E$9+1,1))</f>
        <v>428.8489304403459</v>
      </c>
      <c r="T201" s="61">
        <f t="shared" si="204"/>
        <v>247.01165577562966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1" t="e">
        <f t="shared" si="193"/>
        <v>#NUM!</v>
      </c>
      <c r="AN201" s="61">
        <f ca="1">AVERAGE(OFFSET($AM$3,0,0,'Données projet'!$E$10+1,1))-AVERAGE(OFFSET($H$3,0,0,'Données projet'!$E$10+1,1))</f>
        <v>475.47920969424894</v>
      </c>
      <c r="AO201" s="61">
        <f t="shared" si="205"/>
        <v>271.73544012419364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-3.4106051316484809E-13</v>
      </c>
      <c r="BE201" s="14">
        <f>BD201*VLOOKUP('Données projet'!$B$11,Paramètres!$A$1:$I$89,3,0)*VLOOKUP('Données projet'!$B$11,Paramètres!$A$1:$I$89,5,0)</f>
        <v>-1.9065282685915009E-13</v>
      </c>
      <c r="BF201" s="14" t="e">
        <f t="shared" si="167"/>
        <v>#NUM!</v>
      </c>
      <c r="BG201" s="22" t="e">
        <f t="shared" si="168"/>
        <v>#NUM!</v>
      </c>
      <c r="BH201" s="61" t="e">
        <f t="shared" si="194"/>
        <v>#NUM!</v>
      </c>
      <c r="BI201" s="61">
        <f ca="1">AVERAGE(OFFSET($BH$3,0,0,'Données projet'!$E$11+1,1))-AVERAGE(OFFSET($H$3,0,0,'Données projet'!$E$11+1,1))</f>
        <v>374.79806286316051</v>
      </c>
      <c r="BJ201" s="61">
        <f t="shared" si="206"/>
        <v>350.01856672839466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0.21124545778051237</v>
      </c>
      <c r="BR201" s="23">
        <f>EXP(-LN(2)/2)*BR200+(1-EXP(-LN(2)/2))/(LN(2)/2)*BL201*BO201*VLOOKUP('Données projet'!$B$11,Paramètres!$A$1:$I$89,3,0)*0.475*44/12</f>
        <v>5.6908894155693355E-25</v>
      </c>
      <c r="BS201" s="24">
        <f t="shared" si="169"/>
        <v>0.21124545778051237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5.6843418860808015E-13</v>
      </c>
      <c r="BZ201" s="14">
        <f>BY201*VLOOKUP('Données projet'!$B$12,Paramètres!$A$1:$I$89,3,0)*VLOOKUP('Données projet'!$B$12,Paramètres!$A$1:$I$89,5,0)</f>
        <v>2.6602720026858149E-13</v>
      </c>
      <c r="CA201" s="14">
        <f t="shared" si="170"/>
        <v>3.5662905043956649E-12</v>
      </c>
      <c r="CB201" s="22">
        <f t="shared" si="171"/>
        <v>6.6746200022902298E-12</v>
      </c>
      <c r="CC201" s="61">
        <f t="shared" si="195"/>
        <v>293.33333333333997</v>
      </c>
      <c r="CD201" s="61">
        <f ca="1">AVERAGE(OFFSET($CC$3,0,0,'Données projet'!$E$12+1,1))-AVERAGE(OFFSET($H$3,0,0,'Données projet'!$E$12+1,1))</f>
        <v>285.59863510278109</v>
      </c>
      <c r="CE201" s="61">
        <f t="shared" si="207"/>
        <v>190.4880882944471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5.4683368944097308E-14</v>
      </c>
      <c r="CV201" s="14">
        <f t="shared" si="173"/>
        <v>8.8129432816788268E-13</v>
      </c>
      <c r="CW201" s="22">
        <f t="shared" si="174"/>
        <v>1.6301611558033651E-12</v>
      </c>
      <c r="CX201" s="61">
        <f t="shared" si="196"/>
        <v>293.33333333333496</v>
      </c>
      <c r="CY201" s="61">
        <f ca="1">AVERAGE(OFFSET($CX$3,0,0,'Données projet'!$E$13+1,1))-AVERAGE(OFFSET($H$3,0,0,'Données projet'!$E$13+1,1))</f>
        <v>273.72618036666552</v>
      </c>
      <c r="CZ201" s="61">
        <f t="shared" si="208"/>
        <v>157.67999791700714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1.7053025658242404E-13</v>
      </c>
      <c r="DP201" s="18">
        <f>DO201*VLOOKUP('Données projet'!$B$14,Paramètres!$A$1:$I$89,3,0)*VLOOKUP('Données projet'!$B$14,Paramètres!$A$1:$I$89,5,0)</f>
        <v>1.1439169611549005E-13</v>
      </c>
      <c r="DQ201" s="14">
        <f t="shared" si="176"/>
        <v>1.6918016515029816E-12</v>
      </c>
      <c r="DR201" s="22">
        <f t="shared" si="177"/>
        <v>3.1457867471021712E-12</v>
      </c>
      <c r="DS201" s="61">
        <f t="shared" si="197"/>
        <v>293.33333333333644</v>
      </c>
      <c r="DT201" s="61">
        <f ca="1">AVERAGE(OFFSET($DS$3,0,0,'Données projet'!$E$14+1,1))-AVERAGE(OFFSET($H$3,0,0,'Données projet'!$E$14+1,1))</f>
        <v>312.06797204903796</v>
      </c>
      <c r="DU201" s="61">
        <f t="shared" si="209"/>
        <v>258.20189001775151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1.4210854715202004E-13</v>
      </c>
      <c r="EK201" s="18">
        <f>EJ201*VLOOKUP('Données projet'!$B$15,Paramètres!$A$1:$I$89,3,0)*VLOOKUP('Données projet'!$B$15,Paramètres!$A$1:$I$89,5,0)</f>
        <v>1.1527845344971866E-13</v>
      </c>
      <c r="EL201" s="14">
        <f t="shared" si="179"/>
        <v>1.7033846239409443E-12</v>
      </c>
      <c r="EM201" s="22">
        <f t="shared" si="180"/>
        <v>3.1675048597887374E-12</v>
      </c>
      <c r="EN201" s="61">
        <f t="shared" si="198"/>
        <v>293.3333333333365</v>
      </c>
      <c r="EO201" s="61">
        <f ca="1">AVERAGE(OFFSET($EN$3,0,0,'Données projet'!$E$15+1,1))-AVERAGE(OFFSET($H$3,0,0,'Données projet'!$E$15+1,1))</f>
        <v>222.15256609836689</v>
      </c>
      <c r="EP201" s="61">
        <f t="shared" si="210"/>
        <v>221.10360210521077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1.1368683772161603E-13</v>
      </c>
      <c r="FF201" s="18">
        <f>FE201*VLOOKUP('Données projet'!$B$16,Paramètres!$A$1:$I$89,3,0)*VLOOKUP('Données projet'!$B$16,Paramètres!$A$1:$I$89,5,0)</f>
        <v>8.8675733422860506E-14</v>
      </c>
      <c r="FG201" s="14">
        <f t="shared" si="182"/>
        <v>1.3509285393066301E-12</v>
      </c>
      <c r="FH201" s="22">
        <f t="shared" si="183"/>
        <v>2.5073107750038623E-12</v>
      </c>
      <c r="FI201" s="61">
        <f t="shared" si="199"/>
        <v>293.33333333333582</v>
      </c>
      <c r="FJ201" s="61">
        <f ca="1">AVERAGE(OFFSET($FI$3,0,0,'Données projet'!$E$16+1,1))-AVERAGE(OFFSET($H$3,0,0,'Données projet'!$E$16+1,1))</f>
        <v>292.57482726862594</v>
      </c>
      <c r="FK201" s="61">
        <f t="shared" si="211"/>
        <v>283.48738729114024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-9.6633812063373625E-13</v>
      </c>
      <c r="GA201" s="18">
        <f>FZ201*VLOOKUP('Données projet'!$B$17,Paramètres!$A$1:$I$89,3,0)*VLOOKUP('Données projet'!$B$17,Paramètres!$A$1:$I$89,5,0)</f>
        <v>-9.3464223027694966E-13</v>
      </c>
      <c r="GB201" s="14" t="e">
        <f t="shared" si="185"/>
        <v>#NUM!</v>
      </c>
      <c r="GC201" s="22" t="e">
        <f t="shared" si="186"/>
        <v>#NUM!</v>
      </c>
      <c r="GD201" s="61" t="e">
        <f t="shared" si="200"/>
        <v>#NUM!</v>
      </c>
      <c r="GE201" s="61">
        <f ca="1">AVERAGE(OFFSET($GD$3,0,0,'Données projet'!$E$17+1,1))-AVERAGE(OFFSET($H$3,0,0,'Données projet'!$E$17+1,1))</f>
        <v>455.50822833641354</v>
      </c>
      <c r="GF201" s="61">
        <f t="shared" si="212"/>
        <v>261.14722581688039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0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0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-9.6633812063373625E-13</v>
      </c>
      <c r="GV201" s="18">
        <f>GU201*VLOOKUP('Données projet'!$B$18,Paramètres!$A$1:$I$89,3,0)*VLOOKUP('Données projet'!$B$18,Paramètres!$A$1:$I$89,5,0)</f>
        <v>-1.0401663530501537E-12</v>
      </c>
      <c r="GW201" s="14" t="e">
        <f t="shared" si="188"/>
        <v>#NUM!</v>
      </c>
      <c r="GX201" s="22" t="e">
        <f t="shared" si="189"/>
        <v>#NUM!</v>
      </c>
      <c r="GY201" s="61" t="e">
        <f t="shared" si="201"/>
        <v>#NUM!</v>
      </c>
      <c r="GZ201" s="61">
        <f ca="1">AVERAGE(OFFSET($GY$3,0,0,'Données projet'!$E$18+1,1))-AVERAGE(OFFSET($H$3,0,0,'Données projet'!$E$18+1,1))</f>
        <v>502.07782026233912</v>
      </c>
      <c r="HA201" s="61">
        <f t="shared" si="213"/>
        <v>285.83623046025156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0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0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-8.7434273154940449E-13</v>
      </c>
      <c r="P202" s="14" t="e">
        <f t="shared" si="203"/>
        <v>#NUM!</v>
      </c>
      <c r="Q202" s="22" t="e">
        <f t="shared" si="162"/>
        <v>#NUM!</v>
      </c>
      <c r="R202" s="61" t="e">
        <f t="shared" si="191"/>
        <v>#NUM!</v>
      </c>
      <c r="S202" s="61">
        <f ca="1">AVERAGE(OFFSET($R$3,0,0,'Données projet'!$E$9+1,1))-AVERAGE(OFFSET($H$3,0,0,'Données projet'!$E$9+1,1))</f>
        <v>428.8489304403459</v>
      </c>
      <c r="T202" s="61">
        <f t="shared" si="204"/>
        <v>247.01165577562966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1" t="e">
        <f t="shared" si="193"/>
        <v>#NUM!</v>
      </c>
      <c r="AN202" s="61">
        <f ca="1">AVERAGE(OFFSET($AM$3,0,0,'Données projet'!$E$10+1,1))-AVERAGE(OFFSET($H$3,0,0,'Données projet'!$E$10+1,1))</f>
        <v>475.47920969424894</v>
      </c>
      <c r="AO202" s="61">
        <f t="shared" si="205"/>
        <v>271.73544012419364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-3.4106051316484809E-13</v>
      </c>
      <c r="BE202" s="14">
        <f>BD202*VLOOKUP('Données projet'!$B$11,Paramètres!$A$1:$I$89,3,0)*VLOOKUP('Données projet'!$B$11,Paramètres!$A$1:$I$89,5,0)</f>
        <v>-1.9065282685915009E-13</v>
      </c>
      <c r="BF202" s="14" t="e">
        <f t="shared" si="167"/>
        <v>#NUM!</v>
      </c>
      <c r="BG202" s="22" t="e">
        <f t="shared" si="168"/>
        <v>#NUM!</v>
      </c>
      <c r="BH202" s="61" t="e">
        <f t="shared" si="194"/>
        <v>#NUM!</v>
      </c>
      <c r="BI202" s="61">
        <f ca="1">AVERAGE(OFFSET($BH$3,0,0,'Données projet'!$E$11+1,1))-AVERAGE(OFFSET($H$3,0,0,'Données projet'!$E$11+1,1))</f>
        <v>374.79806286316051</v>
      </c>
      <c r="BJ202" s="61">
        <f t="shared" si="206"/>
        <v>350.01856672839466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0.20546893962858845</v>
      </c>
      <c r="BR202" s="23">
        <f>EXP(-LN(2)/2)*BR201+(1-EXP(-LN(2)/2))/(LN(2)/2)*BL202*BO202*VLOOKUP('Données projet'!$B$11,Paramètres!$A$1:$I$89,3,0)*0.475*44/12</f>
        <v>4.0240664967318257E-25</v>
      </c>
      <c r="BS202" s="24">
        <f t="shared" si="169"/>
        <v>0.20546893962858845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5.6843418860808015E-13</v>
      </c>
      <c r="BZ202" s="14">
        <f>BY202*VLOOKUP('Données projet'!$B$12,Paramètres!$A$1:$I$89,3,0)*VLOOKUP('Données projet'!$B$12,Paramètres!$A$1:$I$89,5,0)</f>
        <v>2.6602720026858149E-13</v>
      </c>
      <c r="CA202" s="14">
        <f t="shared" si="170"/>
        <v>3.5662905043956649E-12</v>
      </c>
      <c r="CB202" s="22">
        <f t="shared" si="171"/>
        <v>6.6746200022902298E-12</v>
      </c>
      <c r="CC202" s="61">
        <f t="shared" si="195"/>
        <v>293.33333333333997</v>
      </c>
      <c r="CD202" s="61">
        <f ca="1">AVERAGE(OFFSET($CC$3,0,0,'Données projet'!$E$12+1,1))-AVERAGE(OFFSET($H$3,0,0,'Données projet'!$E$12+1,1))</f>
        <v>285.59863510278109</v>
      </c>
      <c r="CE202" s="61">
        <f t="shared" si="207"/>
        <v>190.4880882944471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5.4683368944097308E-14</v>
      </c>
      <c r="CV202" s="14">
        <f t="shared" si="173"/>
        <v>8.8129432816788268E-13</v>
      </c>
      <c r="CW202" s="22">
        <f t="shared" si="174"/>
        <v>1.6301611558033651E-12</v>
      </c>
      <c r="CX202" s="61">
        <f t="shared" si="196"/>
        <v>293.33333333333496</v>
      </c>
      <c r="CY202" s="61">
        <f ca="1">AVERAGE(OFFSET($CX$3,0,0,'Données projet'!$E$13+1,1))-AVERAGE(OFFSET($H$3,0,0,'Données projet'!$E$13+1,1))</f>
        <v>273.72618036666552</v>
      </c>
      <c r="CZ202" s="61">
        <f t="shared" si="208"/>
        <v>157.67999791700714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1.7053025658242404E-13</v>
      </c>
      <c r="DP202" s="18">
        <f>DO202*VLOOKUP('Données projet'!$B$14,Paramètres!$A$1:$I$89,3,0)*VLOOKUP('Données projet'!$B$14,Paramètres!$A$1:$I$89,5,0)</f>
        <v>1.1439169611549005E-13</v>
      </c>
      <c r="DQ202" s="14">
        <f t="shared" si="176"/>
        <v>1.6918016515029816E-12</v>
      </c>
      <c r="DR202" s="22">
        <f t="shared" si="177"/>
        <v>3.1457867471021712E-12</v>
      </c>
      <c r="DS202" s="61">
        <f t="shared" si="197"/>
        <v>293.33333333333644</v>
      </c>
      <c r="DT202" s="61">
        <f ca="1">AVERAGE(OFFSET($DS$3,0,0,'Données projet'!$E$14+1,1))-AVERAGE(OFFSET($H$3,0,0,'Données projet'!$E$14+1,1))</f>
        <v>312.06797204903796</v>
      </c>
      <c r="DU202" s="61">
        <f t="shared" si="209"/>
        <v>258.20189001775151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1.4210854715202004E-13</v>
      </c>
      <c r="EK202" s="18">
        <f>EJ202*VLOOKUP('Données projet'!$B$15,Paramètres!$A$1:$I$89,3,0)*VLOOKUP('Données projet'!$B$15,Paramètres!$A$1:$I$89,5,0)</f>
        <v>1.1527845344971866E-13</v>
      </c>
      <c r="EL202" s="14">
        <f t="shared" si="179"/>
        <v>1.7033846239409443E-12</v>
      </c>
      <c r="EM202" s="22">
        <f t="shared" si="180"/>
        <v>3.1675048597887374E-12</v>
      </c>
      <c r="EN202" s="61">
        <f t="shared" si="198"/>
        <v>293.3333333333365</v>
      </c>
      <c r="EO202" s="61">
        <f ca="1">AVERAGE(OFFSET($EN$3,0,0,'Données projet'!$E$15+1,1))-AVERAGE(OFFSET($H$3,0,0,'Données projet'!$E$15+1,1))</f>
        <v>222.15256609836689</v>
      </c>
      <c r="EP202" s="61">
        <f t="shared" si="210"/>
        <v>221.10360210521077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1.1368683772161603E-13</v>
      </c>
      <c r="FF202" s="18">
        <f>FE202*VLOOKUP('Données projet'!$B$16,Paramètres!$A$1:$I$89,3,0)*VLOOKUP('Données projet'!$B$16,Paramètres!$A$1:$I$89,5,0)</f>
        <v>8.8675733422860506E-14</v>
      </c>
      <c r="FG202" s="14">
        <f t="shared" si="182"/>
        <v>1.3509285393066301E-12</v>
      </c>
      <c r="FH202" s="22">
        <f t="shared" si="183"/>
        <v>2.5073107750038623E-12</v>
      </c>
      <c r="FI202" s="61">
        <f t="shared" si="199"/>
        <v>293.33333333333582</v>
      </c>
      <c r="FJ202" s="61">
        <f ca="1">AVERAGE(OFFSET($FI$3,0,0,'Données projet'!$E$16+1,1))-AVERAGE(OFFSET($H$3,0,0,'Données projet'!$E$16+1,1))</f>
        <v>292.57482726862594</v>
      </c>
      <c r="FK202" s="61">
        <f t="shared" si="211"/>
        <v>283.48738729114024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-9.6633812063373625E-13</v>
      </c>
      <c r="GA202" s="18">
        <f>FZ202*VLOOKUP('Données projet'!$B$17,Paramètres!$A$1:$I$89,3,0)*VLOOKUP('Données projet'!$B$17,Paramètres!$A$1:$I$89,5,0)</f>
        <v>-9.3464223027694966E-13</v>
      </c>
      <c r="GB202" s="14" t="e">
        <f t="shared" si="185"/>
        <v>#NUM!</v>
      </c>
      <c r="GC202" s="22" t="e">
        <f t="shared" si="186"/>
        <v>#NUM!</v>
      </c>
      <c r="GD202" s="61" t="e">
        <f t="shared" si="200"/>
        <v>#NUM!</v>
      </c>
      <c r="GE202" s="61">
        <f ca="1">AVERAGE(OFFSET($GD$3,0,0,'Données projet'!$E$17+1,1))-AVERAGE(OFFSET($H$3,0,0,'Données projet'!$E$17+1,1))</f>
        <v>455.50822833641354</v>
      </c>
      <c r="GF202" s="61">
        <f t="shared" si="212"/>
        <v>261.14722581688039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0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0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-9.6633812063373625E-13</v>
      </c>
      <c r="GV202" s="18">
        <f>GU202*VLOOKUP('Données projet'!$B$18,Paramètres!$A$1:$I$89,3,0)*VLOOKUP('Données projet'!$B$18,Paramètres!$A$1:$I$89,5,0)</f>
        <v>-1.0401663530501537E-12</v>
      </c>
      <c r="GW202" s="14" t="e">
        <f t="shared" si="188"/>
        <v>#NUM!</v>
      </c>
      <c r="GX202" s="22" t="e">
        <f t="shared" si="189"/>
        <v>#NUM!</v>
      </c>
      <c r="GY202" s="61" t="e">
        <f t="shared" si="201"/>
        <v>#NUM!</v>
      </c>
      <c r="GZ202" s="61">
        <f ca="1">AVERAGE(OFFSET($GY$3,0,0,'Données projet'!$E$18+1,1))-AVERAGE(OFFSET($H$3,0,0,'Données projet'!$E$18+1,1))</f>
        <v>502.07782026233912</v>
      </c>
      <c r="HA202" s="61">
        <f t="shared" si="213"/>
        <v>285.83623046025156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0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0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-8.7434273154940449E-13</v>
      </c>
      <c r="P203" s="14" t="e">
        <f t="shared" si="203"/>
        <v>#NUM!</v>
      </c>
      <c r="Q203" s="22" t="e">
        <f t="shared" si="162"/>
        <v>#NUM!</v>
      </c>
      <c r="R203" s="61" t="e">
        <f t="shared" si="191"/>
        <v>#NUM!</v>
      </c>
      <c r="S203" s="61">
        <f ca="1">AVERAGE(OFFSET($R$3,0,0,'Données projet'!$E$9+1,1))-AVERAGE(OFFSET($H$3,0,0,'Données projet'!$E$9+1,1))</f>
        <v>428.8489304403459</v>
      </c>
      <c r="T203" s="61">
        <f t="shared" si="204"/>
        <v>247.01165577562966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1" t="e">
        <f t="shared" si="193"/>
        <v>#NUM!</v>
      </c>
      <c r="AN203" s="61">
        <f ca="1">AVERAGE(OFFSET($AM$3,0,0,'Données projet'!$E$10+1,1))-AVERAGE(OFFSET($H$3,0,0,'Données projet'!$E$10+1,1))</f>
        <v>475.47920969424894</v>
      </c>
      <c r="AO203" s="61">
        <f t="shared" si="205"/>
        <v>271.73544012419364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-3.4106051316484809E-13</v>
      </c>
      <c r="BE203" s="14">
        <f>BD203*VLOOKUP('Données projet'!$B$11,Paramètres!$A$1:$I$89,3,0)*VLOOKUP('Données projet'!$B$11,Paramètres!$A$1:$I$89,5,0)</f>
        <v>-1.9065282685915009E-13</v>
      </c>
      <c r="BF203" s="14" t="e">
        <f t="shared" si="167"/>
        <v>#NUM!</v>
      </c>
      <c r="BG203" s="22" t="e">
        <f t="shared" si="168"/>
        <v>#NUM!</v>
      </c>
      <c r="BH203" s="61" t="e">
        <f t="shared" si="194"/>
        <v>#NUM!</v>
      </c>
      <c r="BI203" s="61">
        <f ca="1">AVERAGE(OFFSET($BH$3,0,0,'Données projet'!$E$11+1,1))-AVERAGE(OFFSET($H$3,0,0,'Données projet'!$E$11+1,1))</f>
        <v>374.79806286316051</v>
      </c>
      <c r="BJ203" s="61">
        <f t="shared" si="206"/>
        <v>350.01856672839466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0.19985038066930277</v>
      </c>
      <c r="BR203" s="23">
        <f>EXP(-LN(2)/2)*BR202+(1-EXP(-LN(2)/2))/(LN(2)/2)*BL203*BO203*VLOOKUP('Données projet'!$B$11,Paramètres!$A$1:$I$89,3,0)*0.475*44/12</f>
        <v>2.8454447077846682E-25</v>
      </c>
      <c r="BS203" s="24">
        <f t="shared" si="169"/>
        <v>0.19985038066930277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5.6843418860808015E-13</v>
      </c>
      <c r="BZ203" s="14">
        <f>BY203*VLOOKUP('Données projet'!$B$12,Paramètres!$A$1:$I$89,3,0)*VLOOKUP('Données projet'!$B$12,Paramètres!$A$1:$I$89,5,0)</f>
        <v>2.6602720026858149E-13</v>
      </c>
      <c r="CA203" s="14">
        <f t="shared" si="170"/>
        <v>3.5662905043956649E-12</v>
      </c>
      <c r="CB203" s="22">
        <f t="shared" si="171"/>
        <v>6.6746200022902298E-12</v>
      </c>
      <c r="CC203" s="61">
        <f t="shared" si="195"/>
        <v>293.33333333333997</v>
      </c>
      <c r="CD203" s="61">
        <f ca="1">AVERAGE(OFFSET($CC$3,0,0,'Données projet'!$E$12+1,1))-AVERAGE(OFFSET($H$3,0,0,'Données projet'!$E$12+1,1))</f>
        <v>285.59863510278109</v>
      </c>
      <c r="CE203" s="61">
        <f t="shared" si="207"/>
        <v>190.4880882944471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5.4683368944097308E-14</v>
      </c>
      <c r="CV203" s="14">
        <f t="shared" si="173"/>
        <v>8.8129432816788268E-13</v>
      </c>
      <c r="CW203" s="22">
        <f t="shared" si="174"/>
        <v>1.6301611558033651E-12</v>
      </c>
      <c r="CX203" s="61">
        <f t="shared" si="196"/>
        <v>293.33333333333496</v>
      </c>
      <c r="CY203" s="61">
        <f ca="1">AVERAGE(OFFSET($CX$3,0,0,'Données projet'!$E$13+1,1))-AVERAGE(OFFSET($H$3,0,0,'Données projet'!$E$13+1,1))</f>
        <v>273.72618036666552</v>
      </c>
      <c r="CZ203" s="61">
        <f t="shared" si="208"/>
        <v>157.67999791700714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1.7053025658242404E-13</v>
      </c>
      <c r="DP203" s="18">
        <f>DO203*VLOOKUP('Données projet'!$B$14,Paramètres!$A$1:$I$89,3,0)*VLOOKUP('Données projet'!$B$14,Paramètres!$A$1:$I$89,5,0)</f>
        <v>1.1439169611549005E-13</v>
      </c>
      <c r="DQ203" s="14">
        <f t="shared" si="176"/>
        <v>1.6918016515029816E-12</v>
      </c>
      <c r="DR203" s="22">
        <f t="shared" si="177"/>
        <v>3.1457867471021712E-12</v>
      </c>
      <c r="DS203" s="61">
        <f t="shared" si="197"/>
        <v>293.33333333333644</v>
      </c>
      <c r="DT203" s="61">
        <f ca="1">AVERAGE(OFFSET($DS$3,0,0,'Données projet'!$E$14+1,1))-AVERAGE(OFFSET($H$3,0,0,'Données projet'!$E$14+1,1))</f>
        <v>312.06797204903796</v>
      </c>
      <c r="DU203" s="61">
        <f t="shared" si="209"/>
        <v>258.20189001775151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1.4210854715202004E-13</v>
      </c>
      <c r="EK203" s="18">
        <f>EJ203*VLOOKUP('Données projet'!$B$15,Paramètres!$A$1:$I$89,3,0)*VLOOKUP('Données projet'!$B$15,Paramètres!$A$1:$I$89,5,0)</f>
        <v>1.1527845344971866E-13</v>
      </c>
      <c r="EL203" s="14">
        <f t="shared" si="179"/>
        <v>1.7033846239409443E-12</v>
      </c>
      <c r="EM203" s="22">
        <f t="shared" si="180"/>
        <v>3.1675048597887374E-12</v>
      </c>
      <c r="EN203" s="61">
        <f t="shared" si="198"/>
        <v>293.3333333333365</v>
      </c>
      <c r="EO203" s="61">
        <f ca="1">AVERAGE(OFFSET($EN$3,0,0,'Données projet'!$E$15+1,1))-AVERAGE(OFFSET($H$3,0,0,'Données projet'!$E$15+1,1))</f>
        <v>222.15256609836689</v>
      </c>
      <c r="EP203" s="61">
        <f t="shared" si="210"/>
        <v>221.10360210521077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1.1368683772161603E-13</v>
      </c>
      <c r="FF203" s="18">
        <f>FE203*VLOOKUP('Données projet'!$B$16,Paramètres!$A$1:$I$89,3,0)*VLOOKUP('Données projet'!$B$16,Paramètres!$A$1:$I$89,5,0)</f>
        <v>8.8675733422860506E-14</v>
      </c>
      <c r="FG203" s="14">
        <f t="shared" si="182"/>
        <v>1.3509285393066301E-12</v>
      </c>
      <c r="FH203" s="22">
        <f t="shared" si="183"/>
        <v>2.5073107750038623E-12</v>
      </c>
      <c r="FI203" s="61">
        <f t="shared" si="199"/>
        <v>293.33333333333582</v>
      </c>
      <c r="FJ203" s="61">
        <f ca="1">AVERAGE(OFFSET($FI$3,0,0,'Données projet'!$E$16+1,1))-AVERAGE(OFFSET($H$3,0,0,'Données projet'!$E$16+1,1))</f>
        <v>292.57482726862594</v>
      </c>
      <c r="FK203" s="61">
        <f t="shared" si="211"/>
        <v>283.48738729114024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-9.6633812063373625E-13</v>
      </c>
      <c r="GA203" s="18">
        <f>FZ203*VLOOKUP('Données projet'!$B$17,Paramètres!$A$1:$I$89,3,0)*VLOOKUP('Données projet'!$B$17,Paramètres!$A$1:$I$89,5,0)</f>
        <v>-9.3464223027694966E-13</v>
      </c>
      <c r="GB203" s="14" t="e">
        <f t="shared" si="185"/>
        <v>#NUM!</v>
      </c>
      <c r="GC203" s="22" t="e">
        <f t="shared" si="186"/>
        <v>#NUM!</v>
      </c>
      <c r="GD203" s="61" t="e">
        <f t="shared" si="200"/>
        <v>#NUM!</v>
      </c>
      <c r="GE203" s="61">
        <f ca="1">AVERAGE(OFFSET($GD$3,0,0,'Données projet'!$E$17+1,1))-AVERAGE(OFFSET($H$3,0,0,'Données projet'!$E$17+1,1))</f>
        <v>455.50822833641354</v>
      </c>
      <c r="GF203" s="61">
        <f t="shared" si="212"/>
        <v>261.14722581688039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0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0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-9.6633812063373625E-13</v>
      </c>
      <c r="GV203" s="18">
        <f>GU203*VLOOKUP('Données projet'!$B$18,Paramètres!$A$1:$I$89,3,0)*VLOOKUP('Données projet'!$B$18,Paramètres!$A$1:$I$89,5,0)</f>
        <v>-1.0401663530501537E-12</v>
      </c>
      <c r="GW203" s="14" t="e">
        <f t="shared" si="188"/>
        <v>#NUM!</v>
      </c>
      <c r="GX203" s="22" t="e">
        <f t="shared" si="189"/>
        <v>#NUM!</v>
      </c>
      <c r="GY203" s="61" t="e">
        <f t="shared" si="201"/>
        <v>#NUM!</v>
      </c>
      <c r="GZ203" s="61">
        <f ca="1">AVERAGE(OFFSET($GY$3,0,0,'Données projet'!$E$18+1,1))-AVERAGE(OFFSET($H$3,0,0,'Données projet'!$E$18+1,1))</f>
        <v>502.07782026233912</v>
      </c>
      <c r="HA203" s="61">
        <f t="shared" si="213"/>
        <v>285.83623046025156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0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0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1.2054868146447177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1.289976715395158</v>
      </c>
      <c r="BV205" s="86">
        <f>EXP(LN('Données projet'!B114)/'Données projet'!A114)</f>
        <v>1.1810516433311786</v>
      </c>
      <c r="CQ205" s="86">
        <f>EXP(LN('Données projet'!B140)/'Données projet'!A140)</f>
        <v>1.1703271155931456</v>
      </c>
      <c r="DL205" s="86">
        <f>EXP(LN('Données projet'!B166)/'Données projet'!A166)</f>
        <v>1.2979700365523266</v>
      </c>
      <c r="EG205" s="86">
        <f>EXP(LN('Données projet'!B192)/'Données projet'!A192)</f>
        <v>1.3177577661506878</v>
      </c>
      <c r="FB205" s="86">
        <f>EXP(LN('Données projet'!B218)/'Données projet'!A218)</f>
        <v>1.2788040393997409</v>
      </c>
      <c r="FW205" s="86">
        <f>EXP(LN('Données projet'!B244)/'Données projet'!A244)</f>
        <v>1.2054868146447177</v>
      </c>
      <c r="GR205" s="86">
        <f>EXP(LN('Données projet'!B270)/'Données projet'!A270)</f>
        <v>1.2054868146447177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5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6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5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7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7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6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5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6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zoomScale="115" zoomScaleNormal="115" workbookViewId="0">
      <selection activeCell="M14" sqref="M14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4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6" t="s">
        <v>271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8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Chêne sessile</v>
      </c>
      <c r="B6" s="153">
        <f>'Données projet'!D9</f>
        <v>1.9221120000000003</v>
      </c>
      <c r="C6" s="154">
        <f ca="1">IF(OR('Données projet'!B9="",'Données projet'!C9="",'Données projet'!C9=0%),0,Calculateur!S3)</f>
        <v>428.8489304403459</v>
      </c>
      <c r="D6" s="154">
        <f>IF(OR('Données projet'!B9="",'Données projet'!C9="",'Données projet'!C9=0%),0,Calculateur!T3)</f>
        <v>247.01165577562966</v>
      </c>
      <c r="E6" s="154">
        <f ca="1">MIN(C6,D6)</f>
        <v>247.01165577562966</v>
      </c>
      <c r="F6" s="154">
        <f ca="1">E6*B6</f>
        <v>474.78406770620717</v>
      </c>
      <c r="G6" s="154">
        <f ca="1">F6*(100%-'Données projet'!$C$24)*(100%-'Données projet'!$C$25)*(100%-'Données projet'!$C$26)*(100%-'Données projet'!$C$27)</f>
        <v>405.94037788880712</v>
      </c>
      <c r="H6" s="155">
        <f>IF(OR('Données projet'!B9="",'Données projet'!C9="",'Données projet'!C9=0%),0,AVERAGE(Calculateur!$AC$3:$AC$33)*B6)</f>
        <v>0</v>
      </c>
      <c r="I6" s="156">
        <f>H6*(100%-'Données projet'!$C$24)*(100%-'Données projet'!$C$25)*(100%-'Données projet'!$C$26)*(100%-'Données projet'!$C$27)</f>
        <v>0</v>
      </c>
      <c r="J6" s="157">
        <f>IF(OR('Données projet'!B9="",'Données projet'!C9="",'Données projet'!C9=0%),0,SUM(Calculateur!$V$3:$V$33)*VLOOKUP('Données projet'!$B$9,Paramètres!$A$1:$I$89,9,0)*B6)</f>
        <v>13.935312000000001</v>
      </c>
      <c r="K6" s="158">
        <f>J6*(100%-'Données projet'!$C$24)*(100%-'Données projet'!$C$25)*(100%-'Données projet'!$C$26)*(100%-'Données projet'!$C$27)</f>
        <v>11.91469176</v>
      </c>
      <c r="L6" s="159">
        <f ca="1">G6+I6+K6</f>
        <v>417.8550696488071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pubescent</v>
      </c>
      <c r="B7" s="161">
        <f>'Données projet'!D10</f>
        <v>1.9221120000000003</v>
      </c>
      <c r="C7" s="154">
        <f ca="1">IF(OR('Données projet'!B10="",'Données projet'!C10="",'Données projet'!C10=0%),0,Calculateur!AN3)</f>
        <v>475.47920969424894</v>
      </c>
      <c r="D7" s="154">
        <f>IF(OR('Données projet'!B10="",'Données projet'!C10="",'Données projet'!C10=0%),0,Calculateur!AO3)</f>
        <v>271.73544012419364</v>
      </c>
      <c r="E7" s="154">
        <f t="shared" ref="E7:E15" ca="1" si="0">MIN(C7,D7)</f>
        <v>271.73544012419364</v>
      </c>
      <c r="F7" s="154">
        <f t="shared" ref="F7:F15" ca="1" si="1">E7*B7</f>
        <v>522.30595028799416</v>
      </c>
      <c r="G7" s="154">
        <f ca="1">F7*(100%-'Données projet'!$C$24)*(100%-'Données projet'!$C$25)*(100%-'Données projet'!$C$26)*(100%-'Données projet'!$C$27)</f>
        <v>446.571587496235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13.935312000000001</v>
      </c>
      <c r="K7" s="158">
        <f>J7*(100%-'Données projet'!$C$24)*(100%-'Données projet'!$C$25)*(100%-'Données projet'!$C$26)*(100%-'Données projet'!$C$27)</f>
        <v>11.91469176</v>
      </c>
      <c r="L7" s="159">
        <f t="shared" ref="L7:L15" ca="1" si="2">G7+I7+K7</f>
        <v>458.48627925623498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Douglas</v>
      </c>
      <c r="B8" s="161">
        <f>'Données projet'!D11</f>
        <v>6.3703800000000008</v>
      </c>
      <c r="C8" s="154">
        <f ca="1">IF(OR('Données projet'!B11="",'Données projet'!C11="",'Données projet'!C11=0%),0,Calculateur!BI3)</f>
        <v>374.79806286316051</v>
      </c>
      <c r="D8" s="154">
        <f>IF(OR('Données projet'!B11="",'Données projet'!C11="",'Données projet'!C11=0%),0,Calculateur!BJ3)</f>
        <v>350.01856672839466</v>
      </c>
      <c r="E8" s="154">
        <f t="shared" ca="1" si="0"/>
        <v>350.01856672839466</v>
      </c>
      <c r="F8" s="154">
        <f t="shared" ca="1" si="1"/>
        <v>2229.751277115231</v>
      </c>
      <c r="G8" s="154">
        <f ca="1">F8*(100%-'Données projet'!$C$24)*(100%-'Données projet'!$C$25)*(100%-'Données projet'!$C$26)*(100%-'Données projet'!$C$27)</f>
        <v>1906.4373419335225</v>
      </c>
      <c r="H8" s="162">
        <f>IF(OR('Données projet'!B11="",'Données projet'!C11="",'Données projet'!C11=0%),0,AVERAGE(Calculateur!$BS$3:$BS$33)*B8)</f>
        <v>53.819829888420188</v>
      </c>
      <c r="I8" s="156">
        <f>H8*(100%-'Données projet'!$C$24)*(100%-'Données projet'!$C$25)*(100%-'Données projet'!$C$26)*(100%-'Données projet'!$C$27)</f>
        <v>46.015954554599261</v>
      </c>
      <c r="J8" s="157">
        <f>IF(OR('Données projet'!B11="",'Données projet'!C11="",'Données projet'!C11=0%),0,SUM(Calculateur!$BL$3:$BL$33)*VLOOKUP('Données projet'!$B$11,Paramètres!$A$1:$I$89,9,0)*B8)</f>
        <v>347.88645180000003</v>
      </c>
      <c r="K8" s="158">
        <f>J8*(100%-'Données projet'!$C$24)*(100%-'Données projet'!$C$25)*(100%-'Données projet'!$C$26)*(100%-'Données projet'!$C$27)</f>
        <v>297.44291628900004</v>
      </c>
      <c r="L8" s="159">
        <f t="shared" ca="1" si="2"/>
        <v>2249.8962127771219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Cèdre de l'Atlas</v>
      </c>
      <c r="B9" s="161">
        <f>'Données projet'!D12</f>
        <v>0.7207920000000001</v>
      </c>
      <c r="C9" s="154">
        <f ca="1">IF(OR('Données projet'!B12="",'Données projet'!C12="",'Données projet'!C12=0%),0,Calculateur!CD3)</f>
        <v>285.59863510278109</v>
      </c>
      <c r="D9" s="154">
        <f>IF(OR('Données projet'!B12="",'Données projet'!C12="",'Données projet'!C12=0%),0,Calculateur!CE3)</f>
        <v>190.4880882944471</v>
      </c>
      <c r="E9" s="154">
        <f t="shared" ca="1" si="0"/>
        <v>190.4880882944471</v>
      </c>
      <c r="F9" s="154">
        <f t="shared" ca="1" si="1"/>
        <v>137.30229013793112</v>
      </c>
      <c r="G9" s="154">
        <f ca="1">F9*(100%-'Données projet'!$C$24)*(100%-'Données projet'!$C$25)*(100%-'Données projet'!$C$26)*(100%-'Données projet'!$C$27)</f>
        <v>117.39345806793111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ca="1" si="2"/>
        <v>117.39345806793111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Sapin de Nordmann</v>
      </c>
      <c r="B10" s="161">
        <f>'Données projet'!D13</f>
        <v>0.7207920000000001</v>
      </c>
      <c r="C10" s="154">
        <f ca="1">IF(OR('Données projet'!B13="",'Données projet'!C13="",'Données projet'!C13=0%),0,Calculateur!CY3)</f>
        <v>273.72618036666552</v>
      </c>
      <c r="D10" s="154">
        <f>IF(OR('Données projet'!B13="",'Données projet'!C13="",'Données projet'!C13=0%),0,Calculateur!CZ3)</f>
        <v>157.67999791700714</v>
      </c>
      <c r="E10" s="154">
        <f t="shared" ca="1" si="0"/>
        <v>157.67999791700714</v>
      </c>
      <c r="F10" s="154">
        <f t="shared" ca="1" si="1"/>
        <v>113.65448105859542</v>
      </c>
      <c r="G10" s="154">
        <f ca="1">F10*(100%-'Données projet'!$C$24)*(100%-'Données projet'!$C$25)*(100%-'Données projet'!$C$26)*(100%-'Données projet'!$C$27)</f>
        <v>97.174581305099082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0</v>
      </c>
      <c r="K10" s="158">
        <f>J10*(100%-'Données projet'!$C$24)*(100%-'Données projet'!$C$25)*(100%-'Données projet'!$C$26)*(100%-'Données projet'!$C$27)</f>
        <v>0</v>
      </c>
      <c r="L10" s="159">
        <f t="shared" ca="1" si="2"/>
        <v>97.174581305099082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Tilleul</v>
      </c>
      <c r="B11" s="161">
        <f>'Données projet'!D14</f>
        <v>0.18104400000000001</v>
      </c>
      <c r="C11" s="154">
        <f ca="1">IF(OR('Données projet'!B14="",'Données projet'!C14="",'Données projet'!C14=0%),0,Calculateur!DT3)</f>
        <v>312.06797204903796</v>
      </c>
      <c r="D11" s="154">
        <f>IF(OR('Données projet'!B14="",'Données projet'!C14="",'Données projet'!C14=0%),0,Calculateur!DU3)</f>
        <v>258.20189001775151</v>
      </c>
      <c r="E11" s="154">
        <f t="shared" ca="1" si="0"/>
        <v>258.20189001775151</v>
      </c>
      <c r="F11" s="154">
        <f t="shared" ca="1" si="1"/>
        <v>46.745902976373806</v>
      </c>
      <c r="G11" s="154">
        <f ca="1">F11*(100%-'Données projet'!$C$24)*(100%-'Données projet'!$C$25)*(100%-'Données projet'!$C$26)*(100%-'Données projet'!$C$27)</f>
        <v>39.967747044799601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2.5821980769230772</v>
      </c>
      <c r="K11" s="158">
        <f>J11*(100%-'Données projet'!$C$24)*(100%-'Données projet'!$C$25)*(100%-'Données projet'!$C$26)*(100%-'Données projet'!$C$27)</f>
        <v>2.2077793557692309</v>
      </c>
      <c r="L11" s="159">
        <f t="shared" ca="1" si="2"/>
        <v>42.175526400568835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Noyer</v>
      </c>
      <c r="B12" s="161">
        <f>'Données projet'!D15</f>
        <v>3.2334120000000004</v>
      </c>
      <c r="C12" s="154">
        <f ca="1">IF(OR('Données projet'!B15="",'Données projet'!C15="",'Données projet'!C15=0%),0,Calculateur!EO3)</f>
        <v>222.15256609836689</v>
      </c>
      <c r="D12" s="154">
        <f>IF(OR('Données projet'!B15="",'Données projet'!C15="",'Données projet'!C15=0%),0,Calculateur!EP3)</f>
        <v>221.10360210521077</v>
      </c>
      <c r="E12" s="154">
        <f t="shared" ca="1" si="0"/>
        <v>221.10360210521077</v>
      </c>
      <c r="F12" s="154">
        <f t="shared" ca="1" si="1"/>
        <v>714.91904029021384</v>
      </c>
      <c r="G12" s="154">
        <f ca="1">F12*(100%-'Données projet'!$C$24)*(100%-'Données projet'!$C$25)*(100%-'Données projet'!$C$26)*(100%-'Données projet'!$C$27)</f>
        <v>611.25577944813278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9.0535536000000008</v>
      </c>
      <c r="K12" s="158">
        <f>J12*(100%-'Données projet'!$C$24)*(100%-'Données projet'!$C$25)*(100%-'Données projet'!$C$26)*(100%-'Données projet'!$C$27)</f>
        <v>7.7407883280000007</v>
      </c>
      <c r="L12" s="159">
        <f t="shared" ca="1" si="2"/>
        <v>618.99656777613279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Merisier</v>
      </c>
      <c r="B13" s="161">
        <f>'Données projet'!D16</f>
        <v>0.46191600000000005</v>
      </c>
      <c r="C13" s="154">
        <f ca="1">IF(OR('Données projet'!B16="",'Données projet'!C16="",'Données projet'!C16=0%),0,Calculateur!FJ3)</f>
        <v>292.57482726862594</v>
      </c>
      <c r="D13" s="154">
        <f>IF(OR('Données projet'!B16="",'Données projet'!C16="",'Données projet'!C16=0%),0,Calculateur!FK3)</f>
        <v>283.48738729114024</v>
      </c>
      <c r="E13" s="154">
        <f t="shared" ca="1" si="0"/>
        <v>283.48738729114024</v>
      </c>
      <c r="F13" s="154">
        <f t="shared" ca="1" si="1"/>
        <v>130.94735998797435</v>
      </c>
      <c r="G13" s="154">
        <f ca="1">F13*(100%-'Données projet'!$C$24)*(100%-'Données projet'!$C$25)*(100%-'Données projet'!$C$26)*(100%-'Données projet'!$C$27)</f>
        <v>111.95999278971807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6.3513450000000002</v>
      </c>
      <c r="K13" s="158">
        <f>J13*(100%-'Données projet'!$C$24)*(100%-'Données projet'!$C$25)*(100%-'Données projet'!$C$26)*(100%-'Données projet'!$C$27)</f>
        <v>5.4303999750000003</v>
      </c>
      <c r="L13" s="159">
        <f t="shared" ca="1" si="2"/>
        <v>117.39039276471807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>Alisier torminal</v>
      </c>
      <c r="B14" s="161">
        <f>'Données projet'!D17</f>
        <v>0.46191600000000005</v>
      </c>
      <c r="C14" s="154">
        <f ca="1">IF(OR('Données projet'!B17="",'Données projet'!C17="",'Données projet'!C17=0%),0,Calculateur!GE3)</f>
        <v>455.50822833641354</v>
      </c>
      <c r="D14" s="154">
        <f>IF(OR('Données projet'!B17="",'Données projet'!C17="",'Données projet'!C17=0%),0,Calculateur!GF3)</f>
        <v>261.14722581688039</v>
      </c>
      <c r="E14" s="154">
        <f t="shared" ca="1" si="0"/>
        <v>261.14722581688039</v>
      </c>
      <c r="F14" s="154">
        <f t="shared" ca="1" si="1"/>
        <v>120.62808196043014</v>
      </c>
      <c r="G14" s="154">
        <f ca="1">F14*(100%-'Données projet'!$C$24)*(100%-'Données projet'!$C$25)*(100%-'Données projet'!$C$26)*(100%-'Données projet'!$C$27)</f>
        <v>103.13701007616777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3.3488910000000005</v>
      </c>
      <c r="K14" s="158">
        <f>J14*(100%-'Données projet'!$C$24)*(100%-'Données projet'!$C$25)*(100%-'Données projet'!$C$26)*(100%-'Données projet'!$C$27)</f>
        <v>2.8633018050000003</v>
      </c>
      <c r="L14" s="159">
        <f t="shared" ca="1" si="2"/>
        <v>106.00031188116778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>Cormier</v>
      </c>
      <c r="B15" s="164">
        <f>'Données projet'!D18</f>
        <v>0.46191600000000005</v>
      </c>
      <c r="C15" s="165">
        <f ca="1">IF(OR('Données projet'!B18="",'Données projet'!C18="",'Données projet'!C18=0%),0,Calculateur!GZ3)</f>
        <v>502.07782026233912</v>
      </c>
      <c r="D15" s="165">
        <f>IF(OR('Données projet'!B18="",'Données projet'!C18="",'Données projet'!C18=0%),0,Calculateur!HA3)</f>
        <v>285.83623046025156</v>
      </c>
      <c r="E15" s="165">
        <f t="shared" ca="1" si="0"/>
        <v>285.83623046025156</v>
      </c>
      <c r="F15" s="166">
        <f t="shared" ca="1" si="1"/>
        <v>132.03232822927757</v>
      </c>
      <c r="G15" s="166">
        <f ca="1">F15*(100%-'Données projet'!$C$24)*(100%-'Données projet'!$C$25)*(100%-'Données projet'!$C$26)*(100%-'Données projet'!$C$27)</f>
        <v>112.88764063603232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3.3488910000000005</v>
      </c>
      <c r="K15" s="170">
        <f>J15*(100%-'Données projet'!$C$24)*(100%-'Données projet'!$C$25)*(100%-'Données projet'!$C$26)*(100%-'Données projet'!$C$27)</f>
        <v>2.8633018050000003</v>
      </c>
      <c r="L15" s="171">
        <f t="shared" ca="1" si="2"/>
        <v>115.75094244103232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3"/>
      <c r="B16" s="230"/>
      <c r="C16" s="231"/>
      <c r="D16" s="25"/>
      <c r="E16" s="25"/>
      <c r="F16" s="172">
        <f t="shared" ref="F16:L16" ca="1" si="3">SUM(F6:F15)</f>
        <v>4623.0707797502291</v>
      </c>
      <c r="G16" s="173">
        <f t="shared" ca="1" si="3"/>
        <v>3952.7255166864452</v>
      </c>
      <c r="H16" s="174">
        <f t="shared" si="3"/>
        <v>53.819829888420188</v>
      </c>
      <c r="I16" s="174">
        <f t="shared" si="3"/>
        <v>46.015954554599261</v>
      </c>
      <c r="J16" s="175">
        <f t="shared" si="3"/>
        <v>400.44195447692306</v>
      </c>
      <c r="K16" s="175">
        <f t="shared" si="3"/>
        <v>342.37787107776927</v>
      </c>
      <c r="L16" s="176">
        <f t="shared" ca="1" si="3"/>
        <v>4341.1193423188142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3"/>
      <c r="B17" s="230"/>
      <c r="C17" s="231"/>
      <c r="D17" s="228"/>
      <c r="E17" s="228"/>
      <c r="F17" s="318" t="s">
        <v>246</v>
      </c>
      <c r="G17" s="319"/>
      <c r="H17" s="319"/>
      <c r="I17" s="319"/>
      <c r="J17" s="319"/>
      <c r="K17" s="319"/>
      <c r="L17" s="319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3"/>
      <c r="B18" s="230"/>
      <c r="C18" s="231"/>
      <c r="D18" s="228"/>
      <c r="E18" s="228"/>
      <c r="F18" s="320"/>
      <c r="G18" s="320"/>
      <c r="H18" s="320"/>
      <c r="I18" s="320"/>
      <c r="J18" s="320"/>
      <c r="K18" s="320"/>
      <c r="L18" s="320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Chêne sessile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Douglas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Cèdre de l'Atlas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Sapin de Nordmann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Tilleul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Noyer</v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Merisier</v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>Alisier torminal</v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>Cormier</v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A7" zoomScale="130" zoomScaleNormal="130" workbookViewId="0">
      <selection activeCell="P25" sqref="P25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6" t="s">
        <v>272</v>
      </c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8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38" t="s">
        <v>315</v>
      </c>
      <c r="I4" s="338"/>
      <c r="K4" s="335" t="s">
        <v>253</v>
      </c>
      <c r="L4" s="336"/>
      <c r="M4" s="265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6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27" t="s">
        <v>310</v>
      </c>
      <c r="S7" s="328"/>
      <c r="T7" s="328"/>
      <c r="U7" s="328"/>
      <c r="V7" s="329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3" t="str">
        <f>B14</f>
        <v>Chêne sessile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709.40710147359903</v>
      </c>
      <c r="U10" s="188">
        <f>'Données projet'!D9</f>
        <v>1.9221120000000003</v>
      </c>
      <c r="V10" s="187">
        <f>U10*T10</f>
        <v>1363.5599026276225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3" t="str">
        <f>B45</f>
        <v>Chêne pubescent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709.40710147359903</v>
      </c>
      <c r="U11" s="188">
        <f>'Données projet'!D10</f>
        <v>1.9221120000000003</v>
      </c>
      <c r="V11" s="187">
        <f>U11*T11</f>
        <v>1363.5599026276225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3" t="str">
        <f>B76</f>
        <v>Douglas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4964.4912929764032</v>
      </c>
      <c r="U12" s="188">
        <f>'Données projet'!D11</f>
        <v>6.3703800000000008</v>
      </c>
      <c r="V12" s="187">
        <f t="shared" ref="V12:V19" si="0">U12*T12</f>
        <v>31625.696042951022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8"/>
      <c r="J13" s="25"/>
      <c r="K13" s="222"/>
      <c r="L13" s="182" t="s">
        <v>257</v>
      </c>
      <c r="M13" s="25"/>
      <c r="N13" s="25"/>
      <c r="O13" s="25"/>
      <c r="P13" s="25"/>
      <c r="Q13" s="262"/>
      <c r="R13" s="25"/>
      <c r="S13" s="183" t="str">
        <f>B107</f>
        <v>Cèdre de l'Atlas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1222.6936058832177</v>
      </c>
      <c r="U13" s="188">
        <f>'Données projet'!D12</f>
        <v>0.7207920000000001</v>
      </c>
      <c r="V13" s="187">
        <f t="shared" si="0"/>
        <v>881.30776957177636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8" t="s">
        <v>165</v>
      </c>
      <c r="B14" s="184" t="str">
        <f>IF('Données projet'!$B$9="","",'Données projet'!$B$9)</f>
        <v>Chêne sessile</v>
      </c>
      <c r="C14" s="5"/>
      <c r="D14" s="5"/>
      <c r="E14" s="5"/>
      <c r="F14" s="258"/>
      <c r="G14" s="218"/>
      <c r="H14" s="183" t="s">
        <v>178</v>
      </c>
      <c r="I14" s="183" t="s">
        <v>290</v>
      </c>
      <c r="J14" s="212"/>
      <c r="K14" s="181"/>
      <c r="L14" s="214"/>
      <c r="M14" s="25"/>
      <c r="N14" s="25"/>
      <c r="O14" s="5"/>
      <c r="P14" s="5"/>
      <c r="Q14" s="263"/>
      <c r="R14" s="5"/>
      <c r="S14" s="183" t="str">
        <f>B138</f>
        <v>Sapin de Nordmann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893.84731130186537</v>
      </c>
      <c r="U14" s="188">
        <f>'Données projet'!D13</f>
        <v>0.7207920000000001</v>
      </c>
      <c r="V14" s="187">
        <f t="shared" si="0"/>
        <v>644.27799120789427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8"/>
      <c r="G15" s="339" t="s">
        <v>318</v>
      </c>
      <c r="H15" s="201"/>
      <c r="I15" s="202"/>
      <c r="J15" s="213"/>
      <c r="K15" s="222"/>
      <c r="L15" s="214"/>
      <c r="M15" s="25"/>
      <c r="N15" s="25"/>
      <c r="O15" s="25"/>
      <c r="P15" s="25"/>
      <c r="Q15" s="262"/>
      <c r="R15" s="25"/>
      <c r="S15" s="183" t="str">
        <f>B169</f>
        <v>Tilleul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725.19010074067182</v>
      </c>
      <c r="U15" s="188">
        <f>'Données projet'!D14</f>
        <v>0.18104400000000001</v>
      </c>
      <c r="V15" s="187">
        <f t="shared" si="0"/>
        <v>131.29131659849421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4" t="s">
        <v>180</v>
      </c>
      <c r="B16" s="50" t="s">
        <v>256</v>
      </c>
      <c r="C16" s="50" t="s">
        <v>255</v>
      </c>
      <c r="D16" s="254" t="s">
        <v>252</v>
      </c>
      <c r="E16" s="254" t="s">
        <v>320</v>
      </c>
      <c r="F16" s="258"/>
      <c r="G16" s="339"/>
      <c r="H16" s="201"/>
      <c r="I16" s="202"/>
      <c r="J16" s="213"/>
      <c r="K16" s="222"/>
      <c r="L16" s="335" t="s">
        <v>254</v>
      </c>
      <c r="M16" s="336"/>
      <c r="N16" s="2"/>
      <c r="O16" s="25"/>
      <c r="P16" s="25"/>
      <c r="Q16" s="262"/>
      <c r="R16" s="25"/>
      <c r="S16" s="183" t="str">
        <f>B200</f>
        <v>Noyer</v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2588.3700612352077</v>
      </c>
      <c r="U16" s="188">
        <f>'Données projet'!D15</f>
        <v>3.2334120000000004</v>
      </c>
      <c r="V16" s="187">
        <f t="shared" si="0"/>
        <v>8369.266816438656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7">
        <v>0</v>
      </c>
      <c r="B17" s="210" t="s">
        <v>132</v>
      </c>
      <c r="C17" s="209" t="s">
        <v>132</v>
      </c>
      <c r="D17" s="208" t="s">
        <v>132</v>
      </c>
      <c r="E17" s="204"/>
      <c r="F17" s="258"/>
      <c r="G17" s="339"/>
      <c r="J17" s="213"/>
      <c r="K17" s="222"/>
      <c r="L17" s="293" t="s">
        <v>289</v>
      </c>
      <c r="M17" s="295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3" t="str">
        <f>B231</f>
        <v>Merisier</v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3089.9985773232406</v>
      </c>
      <c r="U17" s="188">
        <f>'Données projet'!D16</f>
        <v>0.46191600000000005</v>
      </c>
      <c r="V17" s="187">
        <f t="shared" si="0"/>
        <v>1427.3197828428422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7">
        <v>1</v>
      </c>
      <c r="B18" s="210" t="s">
        <v>132</v>
      </c>
      <c r="C18" s="209" t="s">
        <v>132</v>
      </c>
      <c r="D18" s="208" t="s">
        <v>132</v>
      </c>
      <c r="E18" s="204"/>
      <c r="F18" s="258"/>
      <c r="G18" s="339"/>
      <c r="J18" s="213"/>
      <c r="K18" s="222"/>
      <c r="L18" s="293" t="s">
        <v>255</v>
      </c>
      <c r="M18" s="295"/>
      <c r="N18" s="203"/>
      <c r="O18" s="25"/>
      <c r="P18" s="25"/>
      <c r="Q18" s="262"/>
      <c r="R18" s="25"/>
      <c r="S18" s="183" t="str">
        <f>B262</f>
        <v>Alisier torminal</v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709.40710147359903</v>
      </c>
      <c r="U18" s="188">
        <f>'Données projet'!D17</f>
        <v>0.46191600000000005</v>
      </c>
      <c r="V18" s="187">
        <f t="shared" si="0"/>
        <v>327.68649068427902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7">
        <v>2</v>
      </c>
      <c r="B19" s="210" t="s">
        <v>132</v>
      </c>
      <c r="C19" s="209" t="s">
        <v>132</v>
      </c>
      <c r="D19" s="208" t="s">
        <v>132</v>
      </c>
      <c r="E19" s="204"/>
      <c r="F19" s="258"/>
      <c r="G19" s="339"/>
      <c r="H19" s="229" t="s">
        <v>178</v>
      </c>
      <c r="I19" s="229" t="s">
        <v>287</v>
      </c>
      <c r="J19" s="257"/>
      <c r="K19" s="181"/>
      <c r="L19" s="335" t="s">
        <v>288</v>
      </c>
      <c r="M19" s="336"/>
      <c r="N19" s="189">
        <f>N17*N18</f>
        <v>0</v>
      </c>
      <c r="O19" s="25"/>
      <c r="P19" s="5"/>
      <c r="Q19" s="263"/>
      <c r="R19" s="5"/>
      <c r="S19" s="183" t="str">
        <f>B293</f>
        <v>Cormier</v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709.40710147359903</v>
      </c>
      <c r="U19" s="188">
        <f>'Données projet'!D18</f>
        <v>0.46191600000000005</v>
      </c>
      <c r="V19" s="187">
        <f t="shared" si="0"/>
        <v>327.68649068427902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7">
        <v>3</v>
      </c>
      <c r="B20" s="210" t="s">
        <v>132</v>
      </c>
      <c r="C20" s="209" t="s">
        <v>132</v>
      </c>
      <c r="D20" s="208" t="s">
        <v>132</v>
      </c>
      <c r="E20" s="204"/>
      <c r="F20" s="258"/>
      <c r="G20" s="339"/>
      <c r="H20" s="201">
        <v>0</v>
      </c>
      <c r="I20" s="202">
        <v>9645</v>
      </c>
      <c r="J20" s="5"/>
      <c r="K20" s="181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7">
        <v>4</v>
      </c>
      <c r="B21" s="210" t="s">
        <v>132</v>
      </c>
      <c r="C21" s="209" t="s">
        <v>132</v>
      </c>
      <c r="D21" s="208" t="s">
        <v>132</v>
      </c>
      <c r="E21" s="204"/>
      <c r="F21" s="258"/>
      <c r="H21" s="201"/>
      <c r="I21" s="202"/>
      <c r="K21" s="181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7">
        <v>5</v>
      </c>
      <c r="B22" s="210" t="s">
        <v>132</v>
      </c>
      <c r="C22" s="209" t="s">
        <v>132</v>
      </c>
      <c r="D22" s="208" t="s">
        <v>132</v>
      </c>
      <c r="E22" s="204"/>
      <c r="F22" s="258"/>
      <c r="H22" s="201"/>
      <c r="I22" s="202"/>
      <c r="K22" s="181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20</v>
      </c>
      <c r="B23" s="191">
        <f>'Données projet'!D36</f>
        <v>0</v>
      </c>
      <c r="C23" s="202"/>
      <c r="D23" s="192">
        <f>B23*C23</f>
        <v>0</v>
      </c>
      <c r="E23" s="204"/>
      <c r="F23" s="258"/>
      <c r="H23" s="201"/>
      <c r="I23" s="202"/>
      <c r="K23" s="222"/>
      <c r="L23" s="337" t="s">
        <v>260</v>
      </c>
      <c r="M23" s="337"/>
      <c r="N23" s="337"/>
      <c r="O23" s="25"/>
      <c r="P23" s="25"/>
      <c r="Q23" s="262"/>
      <c r="R23" s="25"/>
      <c r="S23" s="183" t="s">
        <v>264</v>
      </c>
      <c r="T23" s="33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-116731.74749376554</v>
      </c>
      <c r="U23" s="332"/>
      <c r="V23" s="33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25</v>
      </c>
      <c r="B24" s="191">
        <f>'Données projet'!D37</f>
        <v>0</v>
      </c>
      <c r="C24" s="202"/>
      <c r="D24" s="192">
        <f t="shared" ref="D24:D42" si="1">B24*C24</f>
        <v>0</v>
      </c>
      <c r="E24" s="204"/>
      <c r="F24" s="261"/>
      <c r="H24" s="201"/>
      <c r="I24" s="202"/>
      <c r="K24" s="222"/>
      <c r="O24" s="25"/>
      <c r="P24" s="25"/>
      <c r="Q24" s="262"/>
      <c r="R24" s="25"/>
      <c r="S24" s="183" t="s">
        <v>261</v>
      </c>
      <c r="T24" s="33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3"/>
      <c r="V24" s="33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30</v>
      </c>
      <c r="B25" s="191">
        <f>'Données projet'!D38</f>
        <v>29</v>
      </c>
      <c r="C25" s="202">
        <v>10</v>
      </c>
      <c r="D25" s="192">
        <f t="shared" si="1"/>
        <v>290</v>
      </c>
      <c r="E25" s="204"/>
      <c r="F25" s="261"/>
      <c r="G25" s="1"/>
      <c r="H25" s="201"/>
      <c r="I25" s="202"/>
      <c r="K25" s="222"/>
      <c r="L25" s="268" t="s">
        <v>285</v>
      </c>
      <c r="M25" s="268"/>
      <c r="N25" s="268"/>
      <c r="O25" s="268"/>
      <c r="P25" s="203"/>
      <c r="Q25" s="262"/>
      <c r="R25" s="25"/>
      <c r="S25" s="196" t="s">
        <v>266</v>
      </c>
      <c r="T25" s="334">
        <f ca="1">T23-T24</f>
        <v>-116731.74749376554</v>
      </c>
      <c r="U25" s="334"/>
      <c r="V25" s="33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35</v>
      </c>
      <c r="B26" s="191">
        <f>'Données projet'!D39</f>
        <v>0</v>
      </c>
      <c r="C26" s="202"/>
      <c r="D26" s="192">
        <f t="shared" si="1"/>
        <v>0</v>
      </c>
      <c r="E26" s="204"/>
      <c r="F26" s="261"/>
      <c r="G26" s="256"/>
      <c r="H26" s="201"/>
      <c r="I26" s="202"/>
      <c r="K26" s="222"/>
      <c r="L26" s="321" t="s">
        <v>258</v>
      </c>
      <c r="M26" s="322"/>
      <c r="N26" s="322"/>
      <c r="O26" s="322"/>
      <c r="P26" s="323"/>
      <c r="Q26" s="262"/>
      <c r="R26" s="25"/>
      <c r="S26" s="196" t="s">
        <v>265</v>
      </c>
      <c r="T26" s="331" t="str">
        <f ca="1">IF(T25&lt;0,"Votre projet est additionnel","Votre projet n'est pas additionnel")</f>
        <v>Votre projet est additionnel</v>
      </c>
      <c r="U26" s="331"/>
      <c r="V26" s="33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40</v>
      </c>
      <c r="B27" s="191">
        <f>'Données projet'!D40</f>
        <v>42</v>
      </c>
      <c r="C27" s="202">
        <v>10</v>
      </c>
      <c r="D27" s="192">
        <f t="shared" si="1"/>
        <v>420</v>
      </c>
      <c r="E27" s="204"/>
      <c r="F27" s="261"/>
      <c r="G27" s="256"/>
      <c r="H27" s="201"/>
      <c r="I27" s="202"/>
      <c r="K27" s="222"/>
      <c r="L27" s="324"/>
      <c r="M27" s="325"/>
      <c r="N27" s="325"/>
      <c r="O27" s="325"/>
      <c r="P27" s="326"/>
      <c r="Q27" s="262"/>
      <c r="R27" s="25"/>
      <c r="S27" s="330" t="s">
        <v>267</v>
      </c>
      <c r="T27" s="330"/>
      <c r="U27" s="330"/>
      <c r="V27" s="33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45</v>
      </c>
      <c r="B28" s="191">
        <f>'Données projet'!D41</f>
        <v>0</v>
      </c>
      <c r="C28" s="202"/>
      <c r="D28" s="192">
        <f t="shared" si="1"/>
        <v>0</v>
      </c>
      <c r="E28" s="204"/>
      <c r="F28" s="261"/>
      <c r="G28" s="219"/>
      <c r="H28" s="201"/>
      <c r="I28" s="202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50</v>
      </c>
      <c r="B29" s="191">
        <f>'Données projet'!D42</f>
        <v>42</v>
      </c>
      <c r="C29" s="202">
        <v>15</v>
      </c>
      <c r="D29" s="192">
        <f t="shared" si="1"/>
        <v>630</v>
      </c>
      <c r="E29" s="204"/>
      <c r="F29" s="261"/>
      <c r="G29" s="215"/>
      <c r="H29" s="201"/>
      <c r="I29" s="202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55</v>
      </c>
      <c r="B30" s="191">
        <f>'Données projet'!D43</f>
        <v>0</v>
      </c>
      <c r="C30" s="202"/>
      <c r="D30" s="192">
        <f t="shared" si="1"/>
        <v>0</v>
      </c>
      <c r="E30" s="204"/>
      <c r="F30" s="261"/>
      <c r="G30" s="215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60</v>
      </c>
      <c r="B31" s="191">
        <f>'Données projet'!D44</f>
        <v>42</v>
      </c>
      <c r="C31" s="202">
        <v>20</v>
      </c>
      <c r="D31" s="192">
        <f t="shared" si="1"/>
        <v>840</v>
      </c>
      <c r="E31" s="204"/>
      <c r="F31" s="261"/>
      <c r="G31" s="215"/>
      <c r="H31" s="201"/>
      <c r="I31" s="202"/>
      <c r="K31" s="181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65</v>
      </c>
      <c r="B32" s="191">
        <f>'Données projet'!D45</f>
        <v>0</v>
      </c>
      <c r="C32" s="202"/>
      <c r="D32" s="192">
        <f t="shared" si="1"/>
        <v>0</v>
      </c>
      <c r="E32" s="204"/>
      <c r="F32" s="261"/>
      <c r="G32" s="215"/>
      <c r="H32" s="201"/>
      <c r="I32" s="202"/>
      <c r="K32" s="181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70</v>
      </c>
      <c r="B33" s="191">
        <f>'Données projet'!D46</f>
        <v>42</v>
      </c>
      <c r="C33" s="202">
        <v>40</v>
      </c>
      <c r="D33" s="192">
        <f t="shared" si="1"/>
        <v>1680</v>
      </c>
      <c r="E33" s="204"/>
      <c r="F33" s="261"/>
      <c r="G33" s="215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2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75</v>
      </c>
      <c r="B34" s="191">
        <f>'Données projet'!D47</f>
        <v>0</v>
      </c>
      <c r="C34" s="202"/>
      <c r="D34" s="192">
        <f t="shared" si="1"/>
        <v>0</v>
      </c>
      <c r="E34" s="204"/>
      <c r="F34" s="261"/>
      <c r="G34" s="215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2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80</v>
      </c>
      <c r="B35" s="191">
        <f>'Données projet'!D48</f>
        <v>42</v>
      </c>
      <c r="C35" s="202">
        <v>60</v>
      </c>
      <c r="D35" s="192">
        <f t="shared" si="1"/>
        <v>2520</v>
      </c>
      <c r="E35" s="204"/>
      <c r="F35" s="261"/>
      <c r="G35" s="215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2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90</v>
      </c>
      <c r="B36" s="191">
        <f>'Données projet'!D49</f>
        <v>42</v>
      </c>
      <c r="C36" s="202">
        <v>80</v>
      </c>
      <c r="D36" s="192">
        <f t="shared" si="1"/>
        <v>3360</v>
      </c>
      <c r="E36" s="204"/>
      <c r="F36" s="261"/>
      <c r="G36" s="215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2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100</v>
      </c>
      <c r="B37" s="191">
        <f>'Données projet'!D50</f>
        <v>42</v>
      </c>
      <c r="C37" s="202">
        <v>100</v>
      </c>
      <c r="D37" s="192">
        <f t="shared" si="1"/>
        <v>4200</v>
      </c>
      <c r="E37" s="204"/>
      <c r="F37" s="261"/>
      <c r="G37" s="215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2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110</v>
      </c>
      <c r="B38" s="191">
        <f>'Données projet'!D51</f>
        <v>39</v>
      </c>
      <c r="C38" s="202">
        <v>110</v>
      </c>
      <c r="D38" s="192">
        <f t="shared" si="1"/>
        <v>4290</v>
      </c>
      <c r="E38" s="204"/>
      <c r="F38" s="261"/>
      <c r="G38" s="215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2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120</v>
      </c>
      <c r="B39" s="191">
        <f>'Données projet'!D52</f>
        <v>35</v>
      </c>
      <c r="C39" s="202">
        <v>130</v>
      </c>
      <c r="D39" s="192">
        <f t="shared" si="1"/>
        <v>4550</v>
      </c>
      <c r="E39" s="204"/>
      <c r="F39" s="261"/>
      <c r="G39" s="215"/>
      <c r="H39" s="201"/>
      <c r="I39" s="202"/>
      <c r="K39" s="222"/>
      <c r="L39" s="25"/>
      <c r="M39" s="25"/>
      <c r="N39" s="25"/>
      <c r="O39" s="205">
        <f>IF(O38+1&lt;=MIN('Données projet'!$E$9:$E$18),O38+1,"STOP")</f>
        <v>6</v>
      </c>
      <c r="P39" s="195">
        <f t="shared" si="2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130</v>
      </c>
      <c r="B40" s="191">
        <f>'Données projet'!D53</f>
        <v>31</v>
      </c>
      <c r="C40" s="202">
        <v>150</v>
      </c>
      <c r="D40" s="192">
        <f t="shared" si="1"/>
        <v>4650</v>
      </c>
      <c r="E40" s="204"/>
      <c r="F40" s="261"/>
      <c r="G40" s="215"/>
      <c r="H40" s="201"/>
      <c r="I40" s="202"/>
      <c r="K40" s="222"/>
      <c r="L40" s="25"/>
      <c r="M40" s="25"/>
      <c r="N40" s="25"/>
      <c r="O40" s="205">
        <f>IF(O39+1&lt;=MIN('Données projet'!$E$9:$E$18),O39+1,"STOP")</f>
        <v>7</v>
      </c>
      <c r="P40" s="195">
        <f t="shared" si="2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140</v>
      </c>
      <c r="B41" s="191">
        <f>'Données projet'!D54</f>
        <v>27</v>
      </c>
      <c r="C41" s="202">
        <v>200</v>
      </c>
      <c r="D41" s="192">
        <f t="shared" si="1"/>
        <v>5400</v>
      </c>
      <c r="E41" s="204"/>
      <c r="F41" s="261"/>
      <c r="G41" s="215"/>
      <c r="H41" s="201"/>
      <c r="I41" s="202"/>
      <c r="K41" s="222"/>
      <c r="L41" s="25"/>
      <c r="M41" s="25"/>
      <c r="N41" s="25"/>
      <c r="O41" s="205">
        <f>IF(O40+1&lt;=MIN('Données projet'!$E$9:$E$18),O40+1,"STOP")</f>
        <v>8</v>
      </c>
      <c r="P41" s="195">
        <f t="shared" si="2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150</v>
      </c>
      <c r="B42" s="191">
        <f>'Données projet'!D55</f>
        <v>293</v>
      </c>
      <c r="C42" s="202">
        <v>200</v>
      </c>
      <c r="D42" s="192">
        <f t="shared" si="1"/>
        <v>58600</v>
      </c>
      <c r="E42" s="204"/>
      <c r="F42" s="261"/>
      <c r="G42" s="215"/>
      <c r="H42" s="201"/>
      <c r="I42" s="202"/>
      <c r="K42" s="222"/>
      <c r="L42" s="25"/>
      <c r="M42" s="25"/>
      <c r="N42" s="25"/>
      <c r="O42" s="205">
        <f>IF(O41+1&lt;=MIN('Données projet'!$E$9:$E$18),O41+1,"STOP")</f>
        <v>9</v>
      </c>
      <c r="P42" s="195">
        <f t="shared" si="2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3"/>
      <c r="E43" s="253"/>
      <c r="F43" s="266"/>
      <c r="G43" s="215"/>
      <c r="H43" s="201"/>
      <c r="I43" s="202"/>
      <c r="K43" s="222"/>
      <c r="L43" s="25"/>
      <c r="M43" s="25"/>
      <c r="N43" s="25"/>
      <c r="O43" s="205">
        <f>IF(O42+1&lt;=MIN('Données projet'!$E$9:$E$18),O42+1,"STOP")</f>
        <v>10</v>
      </c>
      <c r="P43" s="195">
        <f t="shared" si="2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8"/>
      <c r="G44" s="215"/>
      <c r="H44" s="201"/>
      <c r="I44" s="202"/>
      <c r="K44" s="222"/>
      <c r="L44" s="25"/>
      <c r="M44" s="25"/>
      <c r="N44" s="25"/>
      <c r="O44" s="205">
        <f>IF(O43+1&lt;=MIN('Données projet'!$E$9:$E$18),O43+1,"STOP")</f>
        <v>11</v>
      </c>
      <c r="P44" s="195">
        <f t="shared" si="2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8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8"/>
      <c r="G45" s="215"/>
      <c r="H45" s="201"/>
      <c r="I45" s="202"/>
      <c r="J45" s="25"/>
      <c r="K45" s="222"/>
      <c r="L45" s="25"/>
      <c r="M45" s="25"/>
      <c r="N45" s="25"/>
      <c r="O45" s="205">
        <f>IF(O44+1&lt;=MIN('Données projet'!$E$9:$E$18),O44+1,"STOP")</f>
        <v>12</v>
      </c>
      <c r="P45" s="195">
        <f t="shared" si="2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8"/>
      <c r="G46" s="215"/>
      <c r="H46" s="201"/>
      <c r="I46" s="202"/>
      <c r="J46" s="25"/>
      <c r="K46" s="222"/>
      <c r="L46" s="217"/>
      <c r="M46" s="217"/>
      <c r="N46" s="217"/>
      <c r="O46" s="205">
        <f>IF(O45+1&lt;=MIN('Données projet'!$E$9:$E$18),O45+1,"STOP")</f>
        <v>13</v>
      </c>
      <c r="P46" s="198">
        <f t="shared" si="2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4" t="s">
        <v>180</v>
      </c>
      <c r="B47" s="50" t="s">
        <v>256</v>
      </c>
      <c r="C47" s="50" t="s">
        <v>255</v>
      </c>
      <c r="D47" s="254" t="s">
        <v>252</v>
      </c>
      <c r="E47" s="254" t="s">
        <v>320</v>
      </c>
      <c r="F47" s="259"/>
      <c r="G47" s="215"/>
      <c r="H47" s="201"/>
      <c r="I47" s="202"/>
      <c r="J47" s="25"/>
      <c r="K47" s="222"/>
      <c r="L47" s="5"/>
      <c r="M47" s="5"/>
      <c r="N47" s="5"/>
      <c r="O47" s="205">
        <f>IF(O46+1&lt;=MIN('Données projet'!$E$9:$E$18),O46+1,"STOP")</f>
        <v>14</v>
      </c>
      <c r="P47" s="195">
        <f t="shared" si="2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7">
        <v>0</v>
      </c>
      <c r="B48" s="210" t="s">
        <v>132</v>
      </c>
      <c r="C48" s="209" t="s">
        <v>132</v>
      </c>
      <c r="D48" s="208" t="s">
        <v>132</v>
      </c>
      <c r="E48" s="204"/>
      <c r="F48" s="259"/>
      <c r="G48" s="215"/>
      <c r="H48" s="201"/>
      <c r="I48" s="202"/>
      <c r="J48" s="25"/>
      <c r="K48" s="222"/>
      <c r="L48" s="5"/>
      <c r="M48" s="5"/>
      <c r="N48" s="5"/>
      <c r="O48" s="205">
        <f>IF(O47+1&lt;=MIN('Données projet'!$E$9:$E$18),O47+1,"STOP")</f>
        <v>15</v>
      </c>
      <c r="P48" s="195">
        <f t="shared" si="2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7">
        <v>1</v>
      </c>
      <c r="B49" s="210" t="s">
        <v>132</v>
      </c>
      <c r="C49" s="209" t="s">
        <v>132</v>
      </c>
      <c r="D49" s="208" t="s">
        <v>132</v>
      </c>
      <c r="E49" s="204"/>
      <c r="F49" s="259"/>
      <c r="G49" s="216"/>
      <c r="H49" s="201"/>
      <c r="I49" s="202"/>
      <c r="J49" s="217"/>
      <c r="K49" s="224"/>
      <c r="L49" s="5"/>
      <c r="M49" s="5"/>
      <c r="N49" s="5"/>
      <c r="O49" s="205">
        <f>IF(O48+1&lt;=MIN('Données projet'!$E$9:$E$18),O48+1,"STOP")</f>
        <v>16</v>
      </c>
      <c r="P49" s="195">
        <f t="shared" si="2"/>
        <v>0</v>
      </c>
      <c r="Q49" s="264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7">
        <v>2</v>
      </c>
      <c r="B50" s="210" t="s">
        <v>132</v>
      </c>
      <c r="C50" s="209" t="s">
        <v>132</v>
      </c>
      <c r="D50" s="208" t="s">
        <v>132</v>
      </c>
      <c r="E50" s="204"/>
      <c r="F50" s="259"/>
      <c r="G50" s="218"/>
      <c r="H50" s="201"/>
      <c r="I50" s="202"/>
      <c r="J50" s="25"/>
      <c r="K50" s="181"/>
      <c r="L50" s="5"/>
      <c r="M50" s="5"/>
      <c r="N50" s="5"/>
      <c r="O50" s="205">
        <f>IF(O49+1&lt;=MIN('Données projet'!$E$9:$E$18),O49+1,"STOP")</f>
        <v>17</v>
      </c>
      <c r="P50" s="195">
        <f t="shared" si="2"/>
        <v>0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7">
        <v>3</v>
      </c>
      <c r="B51" s="210" t="s">
        <v>132</v>
      </c>
      <c r="C51" s="209" t="s">
        <v>132</v>
      </c>
      <c r="D51" s="208" t="s">
        <v>132</v>
      </c>
      <c r="E51" s="204"/>
      <c r="F51" s="259"/>
      <c r="G51" s="218"/>
      <c r="H51" s="201"/>
      <c r="I51" s="202"/>
      <c r="J51" s="25"/>
      <c r="K51" s="181"/>
      <c r="L51" s="5"/>
      <c r="M51" s="5"/>
      <c r="N51" s="5"/>
      <c r="O51" s="205">
        <f>IF(O50+1&lt;=MIN('Données projet'!$E$9:$E$18),O50+1,"STOP")</f>
        <v>18</v>
      </c>
      <c r="P51" s="195">
        <f t="shared" si="2"/>
        <v>0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7">
        <v>4</v>
      </c>
      <c r="B52" s="210" t="s">
        <v>132</v>
      </c>
      <c r="C52" s="209" t="s">
        <v>132</v>
      </c>
      <c r="D52" s="208" t="s">
        <v>132</v>
      </c>
      <c r="E52" s="204"/>
      <c r="F52" s="259"/>
      <c r="G52" s="218"/>
      <c r="H52" s="201"/>
      <c r="I52" s="202"/>
      <c r="J52" s="25"/>
      <c r="K52" s="181"/>
      <c r="L52" s="5"/>
      <c r="M52" s="5"/>
      <c r="N52" s="5"/>
      <c r="O52" s="205">
        <f>IF(O51+1&lt;=MIN('Données projet'!$E$9:$E$18),O51+1,"STOP")</f>
        <v>19</v>
      </c>
      <c r="P52" s="195">
        <f t="shared" si="2"/>
        <v>0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7">
        <v>5</v>
      </c>
      <c r="B53" s="210" t="s">
        <v>132</v>
      </c>
      <c r="C53" s="209" t="s">
        <v>132</v>
      </c>
      <c r="D53" s="208" t="s">
        <v>132</v>
      </c>
      <c r="E53" s="204"/>
      <c r="F53" s="259"/>
      <c r="G53" s="219"/>
      <c r="H53" s="201"/>
      <c r="I53" s="202"/>
      <c r="J53" s="25"/>
      <c r="K53" s="181"/>
      <c r="L53" s="5"/>
      <c r="M53" s="5"/>
      <c r="N53" s="5"/>
      <c r="O53" s="205">
        <f>IF(O52+1&lt;=MIN('Données projet'!$E$9:$E$18),O52+1,"STOP")</f>
        <v>20</v>
      </c>
      <c r="P53" s="195">
        <f t="shared" si="2"/>
        <v>0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/>
      <c r="D54" s="189">
        <f>B54*C54</f>
        <v>0</v>
      </c>
      <c r="E54" s="204"/>
      <c r="F54" s="260"/>
      <c r="G54" s="219"/>
      <c r="H54" s="201"/>
      <c r="I54" s="202"/>
      <c r="J54" s="25"/>
      <c r="K54" s="181"/>
      <c r="L54" s="5"/>
      <c r="M54" s="5"/>
      <c r="N54" s="5"/>
      <c r="O54" s="205">
        <f>IF(O53+1&lt;=MIN('Données projet'!$E$9:$E$18),O53+1,"STOP")</f>
        <v>21</v>
      </c>
      <c r="P54" s="195">
        <f t="shared" si="2"/>
        <v>0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2"/>
      <c r="D55" s="189">
        <f t="shared" ref="D55:D73" si="3">B55*C55</f>
        <v>0</v>
      </c>
      <c r="E55" s="204"/>
      <c r="F55" s="260"/>
      <c r="G55" s="219"/>
      <c r="H55" s="201"/>
      <c r="I55" s="202"/>
      <c r="J55" s="25"/>
      <c r="K55" s="181"/>
      <c r="L55" s="5"/>
      <c r="M55" s="5"/>
      <c r="N55" s="5"/>
      <c r="O55" s="205">
        <f>IF(O54+1&lt;=MIN('Données projet'!$E$9:$E$18),O54+1,"STOP")</f>
        <v>22</v>
      </c>
      <c r="P55" s="195">
        <f t="shared" si="2"/>
        <v>0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29</v>
      </c>
      <c r="C56" s="202">
        <v>10</v>
      </c>
      <c r="D56" s="189">
        <f t="shared" si="3"/>
        <v>290</v>
      </c>
      <c r="E56" s="204"/>
      <c r="F56" s="260"/>
      <c r="G56" s="219"/>
      <c r="H56" s="201"/>
      <c r="I56" s="202"/>
      <c r="J56" s="25"/>
      <c r="K56" s="181"/>
      <c r="L56" s="5"/>
      <c r="M56" s="5"/>
      <c r="N56" s="5"/>
      <c r="O56" s="205">
        <f>IF(O55+1&lt;=MIN('Données projet'!$E$9:$E$18),O55+1,"STOP")</f>
        <v>23</v>
      </c>
      <c r="P56" s="195">
        <f t="shared" si="2"/>
        <v>0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2"/>
      <c r="D57" s="189">
        <f t="shared" si="3"/>
        <v>0</v>
      </c>
      <c r="E57" s="204"/>
      <c r="F57" s="260"/>
      <c r="G57" s="219"/>
      <c r="H57" s="201"/>
      <c r="I57" s="202"/>
      <c r="J57" s="25"/>
      <c r="K57" s="181"/>
      <c r="L57" s="5"/>
      <c r="M57" s="5"/>
      <c r="N57" s="5"/>
      <c r="O57" s="205">
        <f>IF(O56+1&lt;=MIN('Données projet'!$E$9:$E$18),O56+1,"STOP")</f>
        <v>24</v>
      </c>
      <c r="P57" s="195">
        <f t="shared" si="2"/>
        <v>0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42</v>
      </c>
      <c r="C58" s="202">
        <v>10</v>
      </c>
      <c r="D58" s="189">
        <f t="shared" si="3"/>
        <v>420</v>
      </c>
      <c r="E58" s="204"/>
      <c r="F58" s="260"/>
      <c r="G58" s="219"/>
      <c r="H58" s="201"/>
      <c r="I58" s="202"/>
      <c r="J58" s="25"/>
      <c r="K58" s="181"/>
      <c r="L58" s="5"/>
      <c r="M58" s="5"/>
      <c r="N58" s="5"/>
      <c r="O58" s="205">
        <f>IF(O57+1&lt;=MIN('Données projet'!$E$9:$E$18),O57+1,"STOP")</f>
        <v>25</v>
      </c>
      <c r="P58" s="195">
        <f t="shared" si="2"/>
        <v>0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2"/>
      <c r="D59" s="189">
        <f t="shared" si="3"/>
        <v>0</v>
      </c>
      <c r="E59" s="204"/>
      <c r="F59" s="260"/>
      <c r="G59" s="219"/>
      <c r="H59" s="201"/>
      <c r="I59" s="202"/>
      <c r="J59" s="25"/>
      <c r="K59" s="181"/>
      <c r="L59" s="5"/>
      <c r="M59" s="5"/>
      <c r="N59" s="5"/>
      <c r="O59" s="205">
        <f>IF(O58+1&lt;=MIN('Données projet'!$E$9:$E$18),O58+1,"STOP")</f>
        <v>26</v>
      </c>
      <c r="P59" s="195">
        <f t="shared" si="2"/>
        <v>0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42</v>
      </c>
      <c r="C60" s="202">
        <v>15</v>
      </c>
      <c r="D60" s="189">
        <f t="shared" si="3"/>
        <v>630</v>
      </c>
      <c r="E60" s="204"/>
      <c r="F60" s="260"/>
      <c r="G60" s="220"/>
      <c r="H60" s="201"/>
      <c r="I60" s="202"/>
      <c r="J60" s="25"/>
      <c r="K60" s="181"/>
      <c r="L60" s="5"/>
      <c r="M60" s="5"/>
      <c r="N60" s="5"/>
      <c r="O60" s="205">
        <f>IF(O59+1&lt;=MIN('Données projet'!$E$9:$E$18),O59+1,"STOP")</f>
        <v>27</v>
      </c>
      <c r="P60" s="195">
        <f t="shared" si="2"/>
        <v>0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2"/>
      <c r="D61" s="189">
        <f t="shared" si="3"/>
        <v>0</v>
      </c>
      <c r="E61" s="204"/>
      <c r="F61" s="260"/>
      <c r="G61" s="220"/>
      <c r="H61" s="201"/>
      <c r="I61" s="202"/>
      <c r="J61" s="25"/>
      <c r="K61" s="181"/>
      <c r="L61" s="5"/>
      <c r="M61" s="5"/>
      <c r="N61" s="5"/>
      <c r="O61" s="205">
        <f>IF(O60+1&lt;=MIN('Données projet'!$E$9:$E$18),O60+1,"STOP")</f>
        <v>28</v>
      </c>
      <c r="P61" s="195">
        <f t="shared" si="2"/>
        <v>0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42</v>
      </c>
      <c r="C62" s="202">
        <v>20</v>
      </c>
      <c r="D62" s="189">
        <f t="shared" si="3"/>
        <v>840</v>
      </c>
      <c r="E62" s="204"/>
      <c r="F62" s="260"/>
      <c r="G62" s="220"/>
      <c r="H62" s="201"/>
      <c r="I62" s="202"/>
      <c r="J62" s="25"/>
      <c r="K62" s="181"/>
      <c r="L62" s="5"/>
      <c r="M62" s="5"/>
      <c r="N62" s="5"/>
      <c r="O62" s="205">
        <f>IF(O61+1&lt;=MIN('Données projet'!$E$9:$E$18),O61+1,"STOP")</f>
        <v>29</v>
      </c>
      <c r="P62" s="195">
        <f t="shared" si="2"/>
        <v>0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2"/>
      <c r="D63" s="189">
        <f t="shared" si="3"/>
        <v>0</v>
      </c>
      <c r="E63" s="204"/>
      <c r="F63" s="260"/>
      <c r="G63" s="220"/>
      <c r="H63" s="201"/>
      <c r="I63" s="202"/>
      <c r="J63" s="25"/>
      <c r="K63" s="181"/>
      <c r="L63" s="5"/>
      <c r="M63" s="5"/>
      <c r="N63" s="5"/>
      <c r="O63" s="205">
        <f>IF(O62+1&lt;=MIN('Données projet'!$E$9:$E$18),O62+1,"STOP")</f>
        <v>30</v>
      </c>
      <c r="P63" s="195">
        <f t="shared" si="2"/>
        <v>0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42</v>
      </c>
      <c r="C64" s="202">
        <v>40</v>
      </c>
      <c r="D64" s="189">
        <f t="shared" si="3"/>
        <v>1680</v>
      </c>
      <c r="E64" s="204"/>
      <c r="F64" s="260"/>
      <c r="G64" s="220"/>
      <c r="H64" s="201"/>
      <c r="I64" s="202"/>
      <c r="J64" s="221"/>
      <c r="K64" s="181"/>
      <c r="L64" s="5"/>
      <c r="M64" s="5"/>
      <c r="N64" s="5"/>
      <c r="O64" s="205">
        <f>IF(O63+1&lt;=MIN('Données projet'!$E$9:$E$18),O63+1,"STOP")</f>
        <v>31</v>
      </c>
      <c r="P64" s="195">
        <f t="shared" si="2"/>
        <v>0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2"/>
      <c r="D65" s="189">
        <f t="shared" si="3"/>
        <v>0</v>
      </c>
      <c r="E65" s="204"/>
      <c r="F65" s="260"/>
      <c r="G65" s="220"/>
      <c r="H65" s="201"/>
      <c r="I65" s="202"/>
      <c r="J65" s="199"/>
      <c r="K65" s="181"/>
      <c r="L65" s="5"/>
      <c r="M65" s="5"/>
      <c r="N65" s="5"/>
      <c r="O65" s="205">
        <f>IF(O64+1&lt;=MIN('Données projet'!$E$9:$E$18),O64+1,"STOP")</f>
        <v>32</v>
      </c>
      <c r="P65" s="195">
        <f t="shared" ref="P65:P96" si="4">$P$25/(1+$M$4)^O65</f>
        <v>0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42</v>
      </c>
      <c r="C66" s="202">
        <v>60</v>
      </c>
      <c r="D66" s="189">
        <f t="shared" si="3"/>
        <v>2520</v>
      </c>
      <c r="E66" s="204"/>
      <c r="F66" s="260"/>
      <c r="G66" s="220"/>
      <c r="H66" s="201"/>
      <c r="I66" s="202"/>
      <c r="J66" s="199"/>
      <c r="K66" s="181"/>
      <c r="L66" s="5"/>
      <c r="M66" s="5"/>
      <c r="N66" s="5"/>
      <c r="O66" s="205">
        <f>IF(O65+1&lt;=MIN('Données projet'!$E$9:$E$18),O65+1,"STOP")</f>
        <v>33</v>
      </c>
      <c r="P66" s="195">
        <f t="shared" si="4"/>
        <v>0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90</v>
      </c>
      <c r="B67" s="191">
        <f>'Données projet'!D75</f>
        <v>42</v>
      </c>
      <c r="C67" s="202">
        <v>80</v>
      </c>
      <c r="D67" s="189">
        <f t="shared" si="3"/>
        <v>3360</v>
      </c>
      <c r="E67" s="204"/>
      <c r="F67" s="260"/>
      <c r="G67" s="220"/>
      <c r="H67" s="201"/>
      <c r="I67" s="202"/>
      <c r="J67" s="199"/>
      <c r="K67" s="181"/>
      <c r="L67" s="5"/>
      <c r="M67" s="5"/>
      <c r="N67" s="5"/>
      <c r="O67" s="205">
        <f>IF(O66+1&lt;=MIN('Données projet'!$E$9:$E$18),O66+1,"STOP")</f>
        <v>34</v>
      </c>
      <c r="P67" s="195">
        <f t="shared" si="4"/>
        <v>0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100</v>
      </c>
      <c r="B68" s="191">
        <f>'Données projet'!D76</f>
        <v>42</v>
      </c>
      <c r="C68" s="202">
        <v>100</v>
      </c>
      <c r="D68" s="189">
        <f t="shared" si="3"/>
        <v>4200</v>
      </c>
      <c r="E68" s="204"/>
      <c r="F68" s="260"/>
      <c r="G68" s="220"/>
      <c r="H68" s="201"/>
      <c r="I68" s="202"/>
      <c r="J68" s="199"/>
      <c r="K68" s="181"/>
      <c r="L68" s="5"/>
      <c r="M68" s="5"/>
      <c r="N68" s="5"/>
      <c r="O68" s="205">
        <f>IF(O67+1&lt;=MIN('Données projet'!$E$9:$E$18),O67+1,"STOP")</f>
        <v>35</v>
      </c>
      <c r="P68" s="195">
        <f t="shared" si="4"/>
        <v>0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110</v>
      </c>
      <c r="B69" s="191">
        <f>'Données projet'!D77</f>
        <v>39</v>
      </c>
      <c r="C69" s="202">
        <v>110</v>
      </c>
      <c r="D69" s="189">
        <f t="shared" si="3"/>
        <v>4290</v>
      </c>
      <c r="E69" s="204"/>
      <c r="F69" s="260"/>
      <c r="G69" s="220"/>
      <c r="H69" s="201"/>
      <c r="I69" s="202"/>
      <c r="J69" s="199"/>
      <c r="K69" s="181"/>
      <c r="L69" s="5"/>
      <c r="M69" s="5"/>
      <c r="N69" s="5"/>
      <c r="O69" s="205">
        <f>IF(O68+1&lt;=MIN('Données projet'!$E$9:$E$18),O68+1,"STOP")</f>
        <v>36</v>
      </c>
      <c r="P69" s="195">
        <f t="shared" si="4"/>
        <v>0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120</v>
      </c>
      <c r="B70" s="191">
        <f>'Données projet'!D78</f>
        <v>35</v>
      </c>
      <c r="C70" s="202">
        <v>130</v>
      </c>
      <c r="D70" s="189">
        <f t="shared" si="3"/>
        <v>4550</v>
      </c>
      <c r="E70" s="204"/>
      <c r="F70" s="260"/>
      <c r="G70" s="220"/>
      <c r="H70" s="201"/>
      <c r="I70" s="202"/>
      <c r="J70" s="199"/>
      <c r="K70" s="181"/>
      <c r="L70" s="5"/>
      <c r="M70" s="5"/>
      <c r="N70" s="5"/>
      <c r="O70" s="205">
        <f>IF(O69+1&lt;=MIN('Données projet'!$E$9:$E$18),O69+1,"STOP")</f>
        <v>37</v>
      </c>
      <c r="P70" s="195">
        <f t="shared" si="4"/>
        <v>0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130</v>
      </c>
      <c r="B71" s="191">
        <f>'Données projet'!D79</f>
        <v>31</v>
      </c>
      <c r="C71" s="202">
        <v>150</v>
      </c>
      <c r="D71" s="189">
        <f t="shared" si="3"/>
        <v>4650</v>
      </c>
      <c r="E71" s="204"/>
      <c r="F71" s="260"/>
      <c r="G71" s="220"/>
      <c r="H71" s="201"/>
      <c r="I71" s="202"/>
      <c r="J71" s="199"/>
      <c r="K71" s="181"/>
      <c r="L71" s="5"/>
      <c r="M71" s="5"/>
      <c r="N71" s="5"/>
      <c r="O71" s="205">
        <f>IF(O70+1&lt;=MIN('Données projet'!$E$9:$E$18),O70+1,"STOP")</f>
        <v>38</v>
      </c>
      <c r="P71" s="195">
        <f t="shared" si="4"/>
        <v>0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140</v>
      </c>
      <c r="B72" s="191">
        <f>'Données projet'!D80</f>
        <v>27</v>
      </c>
      <c r="C72" s="202">
        <v>200</v>
      </c>
      <c r="D72" s="189">
        <f t="shared" si="3"/>
        <v>5400</v>
      </c>
      <c r="E72" s="204"/>
      <c r="F72" s="260"/>
      <c r="G72" s="220"/>
      <c r="H72" s="201"/>
      <c r="I72" s="202"/>
      <c r="J72" s="5"/>
      <c r="K72" s="181"/>
      <c r="L72" s="5"/>
      <c r="M72" s="5"/>
      <c r="N72" s="5"/>
      <c r="O72" s="205">
        <f>IF(O71+1&lt;=MIN('Données projet'!$E$9:$E$18),O71+1,"STOP")</f>
        <v>39</v>
      </c>
      <c r="P72" s="195">
        <f t="shared" si="4"/>
        <v>0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293</v>
      </c>
      <c r="C73" s="202">
        <v>200</v>
      </c>
      <c r="D73" s="189">
        <f t="shared" si="3"/>
        <v>58600</v>
      </c>
      <c r="E73" s="204"/>
      <c r="F73" s="260"/>
      <c r="G73" s="220"/>
      <c r="H73" s="201"/>
      <c r="I73" s="202"/>
      <c r="J73" s="5"/>
      <c r="K73" s="181"/>
      <c r="L73" s="5"/>
      <c r="M73" s="5"/>
      <c r="N73" s="5"/>
      <c r="O73" s="205">
        <f>IF(O72+1&lt;=MIN('Données projet'!$E$9:$E$18),O72+1,"STOP")</f>
        <v>40</v>
      </c>
      <c r="P73" s="195">
        <f t="shared" si="4"/>
        <v>0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8"/>
      <c r="G74" s="220"/>
      <c r="H74" s="201"/>
      <c r="I74" s="202"/>
      <c r="J74" s="5"/>
      <c r="K74" s="181"/>
      <c r="L74" s="5"/>
      <c r="M74" s="5"/>
      <c r="N74" s="5"/>
      <c r="O74" s="205">
        <f>IF(O73+1&lt;=MIN('Données projet'!$E$9:$E$18),O73+1,"STOP")</f>
        <v>41</v>
      </c>
      <c r="P74" s="195">
        <f t="shared" si="4"/>
        <v>0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8"/>
      <c r="G75" s="220"/>
      <c r="H75" s="201"/>
      <c r="I75" s="202"/>
      <c r="J75" s="5"/>
      <c r="K75" s="181"/>
      <c r="L75" s="5"/>
      <c r="M75" s="5"/>
      <c r="N75" s="5"/>
      <c r="O75" s="205">
        <f>IF(O74+1&lt;=MIN('Données projet'!$E$9:$E$18),O74+1,"STOP")</f>
        <v>42</v>
      </c>
      <c r="P75" s="195">
        <f t="shared" si="4"/>
        <v>0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8" t="s">
        <v>167</v>
      </c>
      <c r="B76" s="184" t="str">
        <f>IF('Données projet'!B11="","",'Données projet'!B11)</f>
        <v>Douglas</v>
      </c>
      <c r="C76" s="5"/>
      <c r="D76" s="5"/>
      <c r="E76" s="5"/>
      <c r="F76" s="258"/>
      <c r="G76" s="220"/>
      <c r="H76" s="201"/>
      <c r="I76" s="202"/>
      <c r="J76" s="5"/>
      <c r="K76" s="181"/>
      <c r="L76" s="5"/>
      <c r="M76" s="5"/>
      <c r="N76" s="5"/>
      <c r="O76" s="205">
        <f>IF(O75+1&lt;=MIN('Données projet'!$E$9:$E$18),O75+1,"STOP")</f>
        <v>43</v>
      </c>
      <c r="P76" s="195">
        <f t="shared" si="4"/>
        <v>0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8"/>
      <c r="G77" s="220"/>
      <c r="H77" s="201"/>
      <c r="I77" s="202"/>
      <c r="J77" s="5"/>
      <c r="K77" s="181"/>
      <c r="L77" s="5"/>
      <c r="M77" s="5"/>
      <c r="N77" s="5"/>
      <c r="O77" s="205">
        <f>IF(O76+1&lt;=MIN('Données projet'!$E$9:$E$18),O76+1,"STOP")</f>
        <v>44</v>
      </c>
      <c r="P77" s="195">
        <f t="shared" si="4"/>
        <v>0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4" t="s">
        <v>180</v>
      </c>
      <c r="B78" s="50" t="s">
        <v>256</v>
      </c>
      <c r="C78" s="50" t="s">
        <v>255</v>
      </c>
      <c r="D78" s="254" t="s">
        <v>252</v>
      </c>
      <c r="E78" s="254" t="s">
        <v>320</v>
      </c>
      <c r="F78" s="259"/>
      <c r="G78" s="220"/>
      <c r="H78" s="201"/>
      <c r="I78" s="202"/>
      <c r="J78" s="5"/>
      <c r="K78" s="181"/>
      <c r="L78" s="5"/>
      <c r="M78" s="5"/>
      <c r="N78" s="5"/>
      <c r="O78" s="205">
        <f>IF(O77+1&lt;=MIN('Données projet'!$E$9:$E$18),O77+1,"STOP")</f>
        <v>45</v>
      </c>
      <c r="P78" s="195">
        <f t="shared" si="4"/>
        <v>0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7">
        <v>0</v>
      </c>
      <c r="B79" s="210" t="s">
        <v>132</v>
      </c>
      <c r="C79" s="209" t="s">
        <v>132</v>
      </c>
      <c r="D79" s="208" t="s">
        <v>132</v>
      </c>
      <c r="E79" s="204"/>
      <c r="F79" s="259"/>
      <c r="G79" s="220"/>
      <c r="H79" s="201"/>
      <c r="I79" s="202"/>
      <c r="J79" s="5"/>
      <c r="K79" s="181"/>
      <c r="L79" s="5"/>
      <c r="M79" s="5"/>
      <c r="N79" s="5"/>
      <c r="O79" s="205">
        <f>IF(O78+1&lt;=MIN('Données projet'!$E$9:$E$18),O78+1,"STOP")</f>
        <v>46</v>
      </c>
      <c r="P79" s="195">
        <f t="shared" si="4"/>
        <v>0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7">
        <v>1</v>
      </c>
      <c r="B80" s="210" t="s">
        <v>132</v>
      </c>
      <c r="C80" s="209" t="s">
        <v>132</v>
      </c>
      <c r="D80" s="208" t="s">
        <v>132</v>
      </c>
      <c r="E80" s="204"/>
      <c r="F80" s="259"/>
      <c r="G80" s="218"/>
      <c r="H80" s="201"/>
      <c r="I80" s="202"/>
      <c r="J80" s="5"/>
      <c r="K80" s="181"/>
      <c r="L80" s="5"/>
      <c r="M80" s="5"/>
      <c r="N80" s="5"/>
      <c r="O80" s="205">
        <f>IF(O79+1&lt;=MIN('Données projet'!$E$9:$E$18),O79+1,"STOP")</f>
        <v>47</v>
      </c>
      <c r="P80" s="195">
        <f t="shared" si="4"/>
        <v>0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7">
        <v>2</v>
      </c>
      <c r="B81" s="210" t="s">
        <v>132</v>
      </c>
      <c r="C81" s="209" t="s">
        <v>132</v>
      </c>
      <c r="D81" s="208" t="s">
        <v>132</v>
      </c>
      <c r="E81" s="204"/>
      <c r="F81" s="259"/>
      <c r="G81" s="218"/>
      <c r="H81" s="201"/>
      <c r="I81" s="202"/>
      <c r="J81" s="5"/>
      <c r="K81" s="181"/>
      <c r="L81" s="5"/>
      <c r="M81" s="5"/>
      <c r="N81" s="5"/>
      <c r="O81" s="205">
        <f>IF(O80+1&lt;=MIN('Données projet'!$E$9:$E$18),O80+1,"STOP")</f>
        <v>48</v>
      </c>
      <c r="P81" s="195">
        <f t="shared" si="4"/>
        <v>0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7">
        <v>3</v>
      </c>
      <c r="B82" s="210" t="s">
        <v>132</v>
      </c>
      <c r="C82" s="209" t="s">
        <v>132</v>
      </c>
      <c r="D82" s="208" t="s">
        <v>132</v>
      </c>
      <c r="E82" s="204"/>
      <c r="F82" s="259"/>
      <c r="G82" s="218"/>
      <c r="H82" s="201"/>
      <c r="I82" s="202"/>
      <c r="J82" s="5"/>
      <c r="K82" s="181"/>
      <c r="L82" s="5"/>
      <c r="M82" s="5"/>
      <c r="N82" s="5"/>
      <c r="O82" s="205">
        <f>IF(O81+1&lt;=MIN('Données projet'!$E$9:$E$18),O81+1,"STOP")</f>
        <v>49</v>
      </c>
      <c r="P82" s="195">
        <f t="shared" si="4"/>
        <v>0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7">
        <v>4</v>
      </c>
      <c r="B83" s="210" t="s">
        <v>132</v>
      </c>
      <c r="C83" s="209" t="s">
        <v>132</v>
      </c>
      <c r="D83" s="208" t="s">
        <v>132</v>
      </c>
      <c r="E83" s="204"/>
      <c r="F83" s="259"/>
      <c r="G83" s="218"/>
      <c r="H83" s="201"/>
      <c r="I83" s="202"/>
      <c r="J83" s="5"/>
      <c r="K83" s="181"/>
      <c r="L83" s="5"/>
      <c r="M83" s="5"/>
      <c r="N83" s="5"/>
      <c r="O83" s="205">
        <f>IF(O82+1&lt;=MIN('Données projet'!$E$9:$E$18),O82+1,"STOP")</f>
        <v>50</v>
      </c>
      <c r="P83" s="195">
        <f t="shared" si="4"/>
        <v>0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7">
        <v>5</v>
      </c>
      <c r="B84" s="210" t="s">
        <v>132</v>
      </c>
      <c r="C84" s="209" t="s">
        <v>132</v>
      </c>
      <c r="D84" s="208" t="s">
        <v>132</v>
      </c>
      <c r="E84" s="204"/>
      <c r="F84" s="259"/>
      <c r="G84" s="219"/>
      <c r="H84" s="201"/>
      <c r="I84" s="202"/>
      <c r="J84" s="5"/>
      <c r="K84" s="181"/>
      <c r="L84" s="5"/>
      <c r="M84" s="5"/>
      <c r="N84" s="5"/>
      <c r="O84" s="205">
        <f>IF(O83+1&lt;=MIN('Données projet'!$E$9:$E$18),O83+1,"STOP")</f>
        <v>51</v>
      </c>
      <c r="P84" s="195">
        <f t="shared" si="4"/>
        <v>0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21</v>
      </c>
      <c r="B85" s="191">
        <f>'Données projet'!D88</f>
        <v>63</v>
      </c>
      <c r="C85" s="202">
        <v>15</v>
      </c>
      <c r="D85" s="189">
        <f>B85*C85</f>
        <v>945</v>
      </c>
      <c r="E85" s="204"/>
      <c r="F85" s="260"/>
      <c r="G85" s="219"/>
      <c r="H85" s="201"/>
      <c r="I85" s="202"/>
      <c r="J85" s="5"/>
      <c r="K85" s="181"/>
      <c r="L85" s="5"/>
      <c r="M85" s="5"/>
      <c r="N85" s="5"/>
      <c r="O85" s="205">
        <f>IF(O84+1&lt;=MIN('Données projet'!$E$9:$E$18),O84+1,"STOP")</f>
        <v>52</v>
      </c>
      <c r="P85" s="195">
        <f t="shared" si="4"/>
        <v>0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28</v>
      </c>
      <c r="B86" s="191">
        <f>'Données projet'!D89</f>
        <v>64</v>
      </c>
      <c r="C86" s="202">
        <v>20</v>
      </c>
      <c r="D86" s="189">
        <f t="shared" ref="D86:D104" si="5">B86*C86</f>
        <v>1280</v>
      </c>
      <c r="E86" s="204"/>
      <c r="F86" s="260"/>
      <c r="G86" s="219"/>
      <c r="H86" s="201"/>
      <c r="I86" s="202"/>
      <c r="J86" s="5"/>
      <c r="K86" s="181"/>
      <c r="L86" s="5"/>
      <c r="M86" s="5"/>
      <c r="N86" s="5"/>
      <c r="O86" s="205">
        <f>IF(O85+1&lt;=MIN('Données projet'!$E$9:$E$18),O85+1,"STOP")</f>
        <v>53</v>
      </c>
      <c r="P86" s="195">
        <f t="shared" si="4"/>
        <v>0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35</v>
      </c>
      <c r="B87" s="191">
        <f>'Données projet'!D90</f>
        <v>73</v>
      </c>
      <c r="C87" s="202">
        <v>30</v>
      </c>
      <c r="D87" s="189">
        <f t="shared" si="5"/>
        <v>2190</v>
      </c>
      <c r="E87" s="204"/>
      <c r="F87" s="260"/>
      <c r="G87" s="219"/>
      <c r="H87" s="201"/>
      <c r="I87" s="202"/>
      <c r="J87" s="5"/>
      <c r="K87" s="181"/>
      <c r="L87" s="5"/>
      <c r="M87" s="5"/>
      <c r="N87" s="5"/>
      <c r="O87" s="205">
        <f>IF(O86+1&lt;=MIN('Données projet'!$E$9:$E$18),O86+1,"STOP")</f>
        <v>54</v>
      </c>
      <c r="P87" s="195">
        <f t="shared" si="4"/>
        <v>0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42</v>
      </c>
      <c r="B88" s="191">
        <f>'Données projet'!D91</f>
        <v>77</v>
      </c>
      <c r="C88" s="202">
        <v>35</v>
      </c>
      <c r="D88" s="189">
        <f t="shared" si="5"/>
        <v>2695</v>
      </c>
      <c r="E88" s="204"/>
      <c r="F88" s="260"/>
      <c r="G88" s="219"/>
      <c r="H88" s="201"/>
      <c r="I88" s="202"/>
      <c r="J88" s="5"/>
      <c r="K88" s="181"/>
      <c r="L88" s="5"/>
      <c r="M88" s="5"/>
      <c r="N88" s="5"/>
      <c r="O88" s="205">
        <f>IF(O87+1&lt;=MIN('Données projet'!$E$9:$E$18),O87+1,"STOP")</f>
        <v>55</v>
      </c>
      <c r="P88" s="195">
        <f t="shared" si="4"/>
        <v>0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49</v>
      </c>
      <c r="B89" s="191">
        <f>'Données projet'!D92</f>
        <v>80</v>
      </c>
      <c r="C89" s="202">
        <v>40</v>
      </c>
      <c r="D89" s="189">
        <f t="shared" si="5"/>
        <v>3200</v>
      </c>
      <c r="E89" s="204"/>
      <c r="F89" s="260"/>
      <c r="G89" s="219"/>
      <c r="H89" s="201"/>
      <c r="I89" s="202"/>
      <c r="J89" s="5"/>
      <c r="K89" s="181"/>
      <c r="L89" s="5"/>
      <c r="M89" s="5"/>
      <c r="N89" s="5"/>
      <c r="O89" s="205">
        <f>IF(O88+1&lt;=MIN('Données projet'!$E$9:$E$18),O88+1,"STOP")</f>
        <v>56</v>
      </c>
      <c r="P89" s="195">
        <f t="shared" si="4"/>
        <v>0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56</v>
      </c>
      <c r="B90" s="191">
        <f>'Données projet'!D93</f>
        <v>85</v>
      </c>
      <c r="C90" s="202">
        <v>50</v>
      </c>
      <c r="D90" s="189">
        <f t="shared" si="5"/>
        <v>4250</v>
      </c>
      <c r="E90" s="204"/>
      <c r="F90" s="260"/>
      <c r="G90" s="219"/>
      <c r="H90" s="201"/>
      <c r="I90" s="202"/>
      <c r="J90" s="5"/>
      <c r="K90" s="181"/>
      <c r="L90" s="5"/>
      <c r="M90" s="5"/>
      <c r="N90" s="5"/>
      <c r="O90" s="205">
        <f>IF(O89+1&lt;=MIN('Données projet'!$E$9:$E$18),O89+1,"STOP")</f>
        <v>57</v>
      </c>
      <c r="P90" s="195">
        <f t="shared" si="4"/>
        <v>0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63</v>
      </c>
      <c r="B91" s="191">
        <f>'Données projet'!D94</f>
        <v>84</v>
      </c>
      <c r="C91" s="202">
        <v>60</v>
      </c>
      <c r="D91" s="189">
        <f t="shared" si="5"/>
        <v>5040</v>
      </c>
      <c r="E91" s="204"/>
      <c r="F91" s="260"/>
      <c r="G91" s="220"/>
      <c r="H91" s="201"/>
      <c r="I91" s="202"/>
      <c r="J91" s="5"/>
      <c r="K91" s="181"/>
      <c r="L91" s="5"/>
      <c r="M91" s="5"/>
      <c r="N91" s="5"/>
      <c r="O91" s="205">
        <f>IF(O90+1&lt;=MIN('Données projet'!$E$9:$E$18),O90+1,"STOP")</f>
        <v>58</v>
      </c>
      <c r="P91" s="195">
        <f t="shared" si="4"/>
        <v>0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70</v>
      </c>
      <c r="B92" s="191">
        <f>'Données projet'!D95</f>
        <v>551</v>
      </c>
      <c r="C92" s="202">
        <v>90</v>
      </c>
      <c r="D92" s="189">
        <f t="shared" si="5"/>
        <v>49590</v>
      </c>
      <c r="E92" s="204"/>
      <c r="F92" s="260"/>
      <c r="G92" s="220"/>
      <c r="H92" s="201"/>
      <c r="I92" s="202"/>
      <c r="J92" s="5"/>
      <c r="K92" s="181"/>
      <c r="L92" s="5"/>
      <c r="M92" s="5"/>
      <c r="N92" s="5"/>
      <c r="O92" s="205">
        <f>IF(O91+1&lt;=MIN('Données projet'!$E$9:$E$18),O91+1,"STOP")</f>
        <v>59</v>
      </c>
      <c r="P92" s="195">
        <f t="shared" si="4"/>
        <v>0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0</v>
      </c>
      <c r="B93" s="191">
        <f>'Données projet'!D96</f>
        <v>0</v>
      </c>
      <c r="C93" s="202"/>
      <c r="D93" s="189">
        <f t="shared" si="5"/>
        <v>0</v>
      </c>
      <c r="E93" s="204"/>
      <c r="F93" s="260"/>
      <c r="G93" s="220"/>
      <c r="H93" s="201"/>
      <c r="I93" s="202"/>
      <c r="J93" s="5"/>
      <c r="K93" s="181"/>
      <c r="L93" s="5"/>
      <c r="M93" s="5"/>
      <c r="N93" s="5"/>
      <c r="O93" s="205">
        <f>IF(O92+1&lt;=MIN('Données projet'!$E$9:$E$18),O92+1,"STOP")</f>
        <v>60</v>
      </c>
      <c r="P93" s="195">
        <f t="shared" si="4"/>
        <v>0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0</v>
      </c>
      <c r="B94" s="191">
        <f>'Données projet'!D97</f>
        <v>0</v>
      </c>
      <c r="C94" s="202"/>
      <c r="D94" s="189">
        <f t="shared" si="5"/>
        <v>0</v>
      </c>
      <c r="E94" s="204"/>
      <c r="F94" s="260"/>
      <c r="G94" s="220"/>
      <c r="H94" s="201"/>
      <c r="I94" s="202"/>
      <c r="J94" s="5"/>
      <c r="K94" s="181"/>
      <c r="L94" s="5"/>
      <c r="M94" s="5"/>
      <c r="N94" s="5"/>
      <c r="O94" s="205">
        <f>IF(O93+1&lt;=MIN('Données projet'!$E$9:$E$18),O93+1,"STOP")</f>
        <v>61</v>
      </c>
      <c r="P94" s="195">
        <f t="shared" si="4"/>
        <v>0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0</v>
      </c>
      <c r="B95" s="191">
        <f>'Données projet'!D98</f>
        <v>0</v>
      </c>
      <c r="C95" s="202"/>
      <c r="D95" s="189">
        <f t="shared" si="5"/>
        <v>0</v>
      </c>
      <c r="E95" s="204"/>
      <c r="F95" s="260"/>
      <c r="G95" s="220"/>
      <c r="H95" s="201"/>
      <c r="I95" s="202"/>
      <c r="J95" s="5"/>
      <c r="K95" s="181"/>
      <c r="L95" s="5"/>
      <c r="M95" s="5"/>
      <c r="N95" s="5"/>
      <c r="O95" s="205">
        <f>IF(O94+1&lt;=MIN('Données projet'!$E$9:$E$18),O94+1,"STOP")</f>
        <v>62</v>
      </c>
      <c r="P95" s="195">
        <f t="shared" si="4"/>
        <v>0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0</v>
      </c>
      <c r="B96" s="191">
        <f>'Données projet'!D99</f>
        <v>0</v>
      </c>
      <c r="C96" s="202"/>
      <c r="D96" s="189">
        <f t="shared" si="5"/>
        <v>0</v>
      </c>
      <c r="E96" s="204"/>
      <c r="F96" s="260"/>
      <c r="G96" s="220"/>
      <c r="H96" s="201"/>
      <c r="I96" s="202"/>
      <c r="J96" s="5"/>
      <c r="K96" s="181"/>
      <c r="L96" s="5"/>
      <c r="M96" s="5"/>
      <c r="N96" s="5"/>
      <c r="O96" s="205">
        <f>IF(O95+1&lt;=MIN('Données projet'!$E$9:$E$18),O95+1,"STOP")</f>
        <v>63</v>
      </c>
      <c r="P96" s="195">
        <f t="shared" si="4"/>
        <v>0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2"/>
      <c r="D97" s="189">
        <f t="shared" si="5"/>
        <v>0</v>
      </c>
      <c r="E97" s="204"/>
      <c r="F97" s="260"/>
      <c r="G97" s="220"/>
      <c r="H97" s="201"/>
      <c r="I97" s="202"/>
      <c r="J97" s="5"/>
      <c r="K97" s="181"/>
      <c r="L97" s="5"/>
      <c r="M97" s="5"/>
      <c r="N97" s="5"/>
      <c r="O97" s="205">
        <f>IF(O96+1&lt;=MIN('Données projet'!$E$9:$E$18),O96+1,"STOP")</f>
        <v>64</v>
      </c>
      <c r="P97" s="195">
        <f t="shared" ref="P97:P128" si="6">$P$25/(1+$M$4)^O97</f>
        <v>0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2"/>
      <c r="D98" s="189">
        <f t="shared" si="5"/>
        <v>0</v>
      </c>
      <c r="E98" s="204"/>
      <c r="F98" s="260"/>
      <c r="G98" s="220"/>
      <c r="H98" s="201"/>
      <c r="I98" s="202"/>
      <c r="J98" s="5"/>
      <c r="K98" s="181"/>
      <c r="L98" s="5"/>
      <c r="M98" s="5"/>
      <c r="N98" s="5"/>
      <c r="O98" s="205">
        <f>IF(O97+1&lt;=MIN('Données projet'!$E$9:$E$18),O97+1,"STOP")</f>
        <v>65</v>
      </c>
      <c r="P98" s="195">
        <f t="shared" si="6"/>
        <v>0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2"/>
      <c r="D99" s="189">
        <f t="shared" si="5"/>
        <v>0</v>
      </c>
      <c r="E99" s="204"/>
      <c r="F99" s="260"/>
      <c r="G99" s="220"/>
      <c r="H99" s="201"/>
      <c r="I99" s="202"/>
      <c r="J99" s="5"/>
      <c r="K99" s="181"/>
      <c r="L99" s="5"/>
      <c r="M99" s="5"/>
      <c r="N99" s="5"/>
      <c r="O99" s="205">
        <f>IF(O98+1&lt;=MIN('Données projet'!$E$9:$E$18),O98+1,"STOP")</f>
        <v>66</v>
      </c>
      <c r="P99" s="195">
        <f t="shared" si="6"/>
        <v>0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2"/>
      <c r="D100" s="189">
        <f t="shared" si="5"/>
        <v>0</v>
      </c>
      <c r="E100" s="204"/>
      <c r="F100" s="260"/>
      <c r="G100" s="220"/>
      <c r="H100" s="201"/>
      <c r="I100" s="202"/>
      <c r="J100" s="5"/>
      <c r="K100" s="181"/>
      <c r="L100" s="5"/>
      <c r="M100" s="5"/>
      <c r="N100" s="5"/>
      <c r="O100" s="205">
        <f>IF(O99+1&lt;=MIN('Données projet'!$E$9:$E$18),O99+1,"STOP")</f>
        <v>67</v>
      </c>
      <c r="P100" s="195">
        <f t="shared" si="6"/>
        <v>0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2"/>
      <c r="D101" s="189">
        <f t="shared" si="5"/>
        <v>0</v>
      </c>
      <c r="E101" s="204"/>
      <c r="F101" s="260"/>
      <c r="G101" s="220"/>
      <c r="H101" s="201"/>
      <c r="I101" s="202"/>
      <c r="J101" s="5"/>
      <c r="K101" s="181"/>
      <c r="L101" s="5"/>
      <c r="M101" s="5"/>
      <c r="N101" s="5"/>
      <c r="O101" s="205">
        <f>IF(O100+1&lt;=MIN('Données projet'!$E$9:$E$18),O100+1,"STOP")</f>
        <v>68</v>
      </c>
      <c r="P101" s="195">
        <f t="shared" si="6"/>
        <v>0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2"/>
      <c r="D102" s="189">
        <f t="shared" si="5"/>
        <v>0</v>
      </c>
      <c r="E102" s="204"/>
      <c r="F102" s="260"/>
      <c r="G102" s="220"/>
      <c r="H102" s="201"/>
      <c r="I102" s="202"/>
      <c r="J102" s="5"/>
      <c r="K102" s="181"/>
      <c r="L102" s="5"/>
      <c r="M102" s="5"/>
      <c r="N102" s="5"/>
      <c r="O102" s="205">
        <f>IF(O101+1&lt;=MIN('Données projet'!$E$9:$E$18),O101+1,"STOP")</f>
        <v>69</v>
      </c>
      <c r="P102" s="195">
        <f t="shared" si="6"/>
        <v>0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2"/>
      <c r="D103" s="189">
        <f t="shared" si="5"/>
        <v>0</v>
      </c>
      <c r="E103" s="204"/>
      <c r="F103" s="260"/>
      <c r="G103" s="220"/>
      <c r="H103" s="201"/>
      <c r="I103" s="202"/>
      <c r="J103" s="5"/>
      <c r="K103" s="181"/>
      <c r="L103" s="5"/>
      <c r="M103" s="5"/>
      <c r="N103" s="5"/>
      <c r="O103" s="205" t="str">
        <f>IF(O102+1&lt;=MIN('Données projet'!$E$9:$E$18),O102+1,"STOP")</f>
        <v>STOP</v>
      </c>
      <c r="P103" s="195" t="e">
        <f t="shared" si="6"/>
        <v>#VALUE!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2"/>
      <c r="D104" s="189">
        <f t="shared" si="5"/>
        <v>0</v>
      </c>
      <c r="E104" s="204"/>
      <c r="F104" s="260"/>
      <c r="G104" s="220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6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8"/>
      <c r="G105" s="220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6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8"/>
      <c r="G106" s="220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6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8" t="s">
        <v>168</v>
      </c>
      <c r="B107" s="184" t="str">
        <f>IF('Données projet'!B12="","",'Données projet'!B12)</f>
        <v>Cèdre de l'Atlas</v>
      </c>
      <c r="C107" s="5"/>
      <c r="D107" s="5"/>
      <c r="E107" s="5"/>
      <c r="F107" s="258"/>
      <c r="G107" s="220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6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8"/>
      <c r="G108" s="220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6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4" t="s">
        <v>180</v>
      </c>
      <c r="B109" s="50" t="s">
        <v>256</v>
      </c>
      <c r="C109" s="50" t="s">
        <v>255</v>
      </c>
      <c r="D109" s="254" t="s">
        <v>252</v>
      </c>
      <c r="E109" s="254" t="s">
        <v>320</v>
      </c>
      <c r="F109" s="259"/>
      <c r="G109" s="220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6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7">
        <v>0</v>
      </c>
      <c r="B110" s="210" t="s">
        <v>132</v>
      </c>
      <c r="C110" s="209" t="s">
        <v>132</v>
      </c>
      <c r="D110" s="208" t="s">
        <v>132</v>
      </c>
      <c r="E110" s="204"/>
      <c r="F110" s="259"/>
      <c r="G110" s="220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6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7">
        <v>1</v>
      </c>
      <c r="B111" s="210" t="s">
        <v>132</v>
      </c>
      <c r="C111" s="209" t="s">
        <v>132</v>
      </c>
      <c r="D111" s="208" t="s">
        <v>132</v>
      </c>
      <c r="E111" s="204"/>
      <c r="F111" s="259"/>
      <c r="G111" s="218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6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7">
        <v>2</v>
      </c>
      <c r="B112" s="210" t="s">
        <v>132</v>
      </c>
      <c r="C112" s="209" t="s">
        <v>132</v>
      </c>
      <c r="D112" s="208" t="s">
        <v>132</v>
      </c>
      <c r="E112" s="204"/>
      <c r="F112" s="259"/>
      <c r="G112" s="218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6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7">
        <v>3</v>
      </c>
      <c r="B113" s="210" t="s">
        <v>132</v>
      </c>
      <c r="C113" s="209" t="s">
        <v>132</v>
      </c>
      <c r="D113" s="208" t="s">
        <v>132</v>
      </c>
      <c r="E113" s="204"/>
      <c r="F113" s="259"/>
      <c r="G113" s="218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6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7">
        <v>4</v>
      </c>
      <c r="B114" s="210" t="s">
        <v>132</v>
      </c>
      <c r="C114" s="209" t="s">
        <v>132</v>
      </c>
      <c r="D114" s="208" t="s">
        <v>132</v>
      </c>
      <c r="E114" s="204"/>
      <c r="F114" s="259"/>
      <c r="G114" s="218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6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7">
        <v>5</v>
      </c>
      <c r="B115" s="210" t="s">
        <v>132</v>
      </c>
      <c r="C115" s="209" t="s">
        <v>132</v>
      </c>
      <c r="D115" s="208" t="s">
        <v>132</v>
      </c>
      <c r="E115" s="204"/>
      <c r="F115" s="259"/>
      <c r="G115" s="219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6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30</v>
      </c>
      <c r="B116" s="191">
        <f>'Données projet'!D114</f>
        <v>0</v>
      </c>
      <c r="C116" s="202"/>
      <c r="D116" s="189">
        <f>B116*C116</f>
        <v>0</v>
      </c>
      <c r="E116" s="204"/>
      <c r="F116" s="260"/>
      <c r="G116" s="219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6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51</v>
      </c>
      <c r="B117" s="191">
        <f>'Données projet'!D115</f>
        <v>170.16153846153847</v>
      </c>
      <c r="C117" s="202">
        <v>25</v>
      </c>
      <c r="D117" s="189">
        <f t="shared" ref="D117:D135" si="7">B117*C117</f>
        <v>4254.0384615384619</v>
      </c>
      <c r="E117" s="204"/>
      <c r="F117" s="260"/>
      <c r="G117" s="219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6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61</v>
      </c>
      <c r="B118" s="191">
        <f>'Données projet'!D116</f>
        <v>94.76153846153845</v>
      </c>
      <c r="C118" s="202">
        <v>35</v>
      </c>
      <c r="D118" s="189">
        <f t="shared" si="7"/>
        <v>3316.6538461538457</v>
      </c>
      <c r="E118" s="204"/>
      <c r="F118" s="260"/>
      <c r="G118" s="219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6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73</v>
      </c>
      <c r="B119" s="191">
        <f>'Données projet'!D117</f>
        <v>93.584615384615375</v>
      </c>
      <c r="C119" s="202">
        <v>45</v>
      </c>
      <c r="D119" s="189">
        <f t="shared" si="7"/>
        <v>4211.3076923076915</v>
      </c>
      <c r="E119" s="204"/>
      <c r="F119" s="260"/>
      <c r="G119" s="219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6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85</v>
      </c>
      <c r="B120" s="191">
        <f>'Données projet'!D118</f>
        <v>85.207692307692298</v>
      </c>
      <c r="C120" s="202">
        <v>50</v>
      </c>
      <c r="D120" s="189">
        <f t="shared" si="7"/>
        <v>4260.3846153846152</v>
      </c>
      <c r="E120" s="204"/>
      <c r="F120" s="260"/>
      <c r="G120" s="219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6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97</v>
      </c>
      <c r="B121" s="191">
        <f>'Données projet'!D119</f>
        <v>79.669230769230765</v>
      </c>
      <c r="C121" s="202">
        <v>60</v>
      </c>
      <c r="D121" s="189">
        <f t="shared" si="7"/>
        <v>4780.1538461538457</v>
      </c>
      <c r="E121" s="204"/>
      <c r="F121" s="260"/>
      <c r="G121" s="219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6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109</v>
      </c>
      <c r="B122" s="191">
        <f>'Données projet'!D120</f>
        <v>80.653846153846146</v>
      </c>
      <c r="C122" s="202">
        <v>70</v>
      </c>
      <c r="D122" s="189">
        <f t="shared" si="7"/>
        <v>5645.7692307692305</v>
      </c>
      <c r="E122" s="204"/>
      <c r="F122" s="260"/>
      <c r="G122" s="220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6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121</v>
      </c>
      <c r="B123" s="191">
        <f>'Données projet'!D121</f>
        <v>207.07692307692307</v>
      </c>
      <c r="C123" s="202">
        <v>80</v>
      </c>
      <c r="D123" s="189">
        <f t="shared" si="7"/>
        <v>16566.153846153844</v>
      </c>
      <c r="E123" s="204"/>
      <c r="F123" s="260"/>
      <c r="G123" s="220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6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131</v>
      </c>
      <c r="B124" s="191">
        <f>'Données projet'!D122</f>
        <v>259.61538461538458</v>
      </c>
      <c r="C124" s="202">
        <v>100</v>
      </c>
      <c r="D124" s="189">
        <f t="shared" si="7"/>
        <v>25961.538461538457</v>
      </c>
      <c r="E124" s="204"/>
      <c r="F124" s="260"/>
      <c r="G124" s="220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6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/>
      <c r="D125" s="189">
        <f t="shared" si="7"/>
        <v>0</v>
      </c>
      <c r="E125" s="204"/>
      <c r="F125" s="260"/>
      <c r="G125" s="220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6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/>
      <c r="D126" s="189">
        <f t="shared" si="7"/>
        <v>0</v>
      </c>
      <c r="E126" s="204"/>
      <c r="F126" s="260"/>
      <c r="G126" s="220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6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/>
      <c r="D127" s="189">
        <f t="shared" si="7"/>
        <v>0</v>
      </c>
      <c r="E127" s="204"/>
      <c r="F127" s="260"/>
      <c r="G127" s="220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6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/>
      <c r="D128" s="189">
        <f t="shared" si="7"/>
        <v>0</v>
      </c>
      <c r="E128" s="204"/>
      <c r="F128" s="260"/>
      <c r="G128" s="220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6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/>
      <c r="D129" s="189">
        <f t="shared" si="7"/>
        <v>0</v>
      </c>
      <c r="E129" s="204"/>
      <c r="F129" s="260"/>
      <c r="G129" s="220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/>
      <c r="D130" s="189">
        <f t="shared" si="7"/>
        <v>0</v>
      </c>
      <c r="E130" s="204"/>
      <c r="F130" s="260"/>
      <c r="G130" s="220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>$P$25/(1+$M$4)^O130</f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2"/>
      <c r="D131" s="189">
        <f t="shared" si="7"/>
        <v>0</v>
      </c>
      <c r="E131" s="204"/>
      <c r="F131" s="260"/>
      <c r="G131" s="220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>$P$25/(1+$M$4)^O131</f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2"/>
      <c r="D132" s="189">
        <f t="shared" si="7"/>
        <v>0</v>
      </c>
      <c r="E132" s="204"/>
      <c r="F132" s="260"/>
      <c r="G132" s="220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>$P$25/(1+$M$4)^O132</f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2"/>
      <c r="D133" s="189">
        <f t="shared" si="7"/>
        <v>0</v>
      </c>
      <c r="E133" s="204"/>
      <c r="F133" s="260"/>
      <c r="G133" s="220"/>
      <c r="H133" s="201"/>
      <c r="I133" s="202"/>
      <c r="J133" s="5"/>
      <c r="K133" s="181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2"/>
      <c r="D134" s="189">
        <f t="shared" si="7"/>
        <v>0</v>
      </c>
      <c r="E134" s="204"/>
      <c r="F134" s="260"/>
      <c r="G134" s="220"/>
      <c r="H134" s="201"/>
      <c r="I134" s="202"/>
      <c r="J134" s="5"/>
      <c r="K134" s="181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2"/>
      <c r="D135" s="189">
        <f t="shared" si="7"/>
        <v>0</v>
      </c>
      <c r="E135" s="204"/>
      <c r="F135" s="260"/>
      <c r="G135" s="220"/>
      <c r="H135" s="201"/>
      <c r="I135" s="202"/>
      <c r="J135" s="5"/>
      <c r="K135" s="181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8"/>
      <c r="G136" s="220"/>
      <c r="H136" s="201"/>
      <c r="I136" s="202"/>
      <c r="J136" s="5"/>
      <c r="K136" s="181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8"/>
      <c r="G137" s="220"/>
      <c r="H137" s="201"/>
      <c r="I137" s="202"/>
      <c r="J137" s="5"/>
      <c r="K137" s="181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8" t="s">
        <v>169</v>
      </c>
      <c r="B138" s="184" t="str">
        <f>IF('Données projet'!B13="","",'Données projet'!B13)</f>
        <v>Sapin de Nordmann</v>
      </c>
      <c r="C138" s="5"/>
      <c r="D138" s="5"/>
      <c r="E138" s="5"/>
      <c r="F138" s="258"/>
      <c r="G138" s="220"/>
      <c r="H138" s="201"/>
      <c r="I138" s="202"/>
      <c r="J138" s="5"/>
      <c r="K138" s="181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8"/>
      <c r="G139" s="220"/>
      <c r="H139" s="201"/>
      <c r="I139" s="202"/>
      <c r="J139" s="5"/>
      <c r="K139" s="181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4" t="s">
        <v>180</v>
      </c>
      <c r="B140" s="50" t="s">
        <v>256</v>
      </c>
      <c r="C140" s="50" t="s">
        <v>255</v>
      </c>
      <c r="D140" s="254" t="s">
        <v>252</v>
      </c>
      <c r="E140" s="254" t="s">
        <v>320</v>
      </c>
      <c r="F140" s="259"/>
      <c r="G140" s="220"/>
      <c r="H140" s="201"/>
      <c r="I140" s="202"/>
      <c r="J140" s="5"/>
      <c r="K140" s="181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7">
        <v>0</v>
      </c>
      <c r="B141" s="210" t="s">
        <v>132</v>
      </c>
      <c r="C141" s="209" t="s">
        <v>132</v>
      </c>
      <c r="D141" s="208" t="s">
        <v>132</v>
      </c>
      <c r="E141" s="204"/>
      <c r="F141" s="259"/>
      <c r="G141" s="220"/>
      <c r="H141" s="201"/>
      <c r="I141" s="202"/>
      <c r="J141" s="5"/>
      <c r="K141" s="181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7">
        <v>1</v>
      </c>
      <c r="B142" s="210" t="s">
        <v>132</v>
      </c>
      <c r="C142" s="209" t="s">
        <v>132</v>
      </c>
      <c r="D142" s="208" t="s">
        <v>132</v>
      </c>
      <c r="E142" s="204"/>
      <c r="F142" s="259"/>
      <c r="G142" s="218"/>
      <c r="H142" s="201"/>
      <c r="I142" s="202"/>
      <c r="J142" s="5"/>
      <c r="K142" s="181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7">
        <v>2</v>
      </c>
      <c r="B143" s="210" t="s">
        <v>132</v>
      </c>
      <c r="C143" s="209" t="s">
        <v>132</v>
      </c>
      <c r="D143" s="208" t="s">
        <v>132</v>
      </c>
      <c r="E143" s="204"/>
      <c r="F143" s="259"/>
      <c r="G143" s="218"/>
      <c r="H143" s="201"/>
      <c r="I143" s="202"/>
      <c r="J143" s="5"/>
      <c r="K143" s="181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7">
        <v>3</v>
      </c>
      <c r="B144" s="210" t="s">
        <v>132</v>
      </c>
      <c r="C144" s="209" t="s">
        <v>132</v>
      </c>
      <c r="D144" s="208" t="s">
        <v>132</v>
      </c>
      <c r="E144" s="204"/>
      <c r="F144" s="259"/>
      <c r="G144" s="218"/>
      <c r="H144" s="201"/>
      <c r="I144" s="202"/>
      <c r="J144" s="5"/>
      <c r="K144" s="181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7">
        <v>4</v>
      </c>
      <c r="B145" s="210" t="s">
        <v>132</v>
      </c>
      <c r="C145" s="209" t="s">
        <v>132</v>
      </c>
      <c r="D145" s="208" t="s">
        <v>132</v>
      </c>
      <c r="E145" s="204"/>
      <c r="F145" s="259"/>
      <c r="G145" s="218"/>
      <c r="H145" s="201"/>
      <c r="I145" s="202"/>
      <c r="J145" s="5"/>
      <c r="K145" s="181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7">
        <v>5</v>
      </c>
      <c r="B146" s="210" t="s">
        <v>132</v>
      </c>
      <c r="C146" s="209" t="s">
        <v>132</v>
      </c>
      <c r="D146" s="208" t="s">
        <v>132</v>
      </c>
      <c r="E146" s="204"/>
      <c r="F146" s="259"/>
      <c r="G146" s="219"/>
      <c r="H146" s="201"/>
      <c r="I146" s="202"/>
      <c r="J146" s="5"/>
      <c r="K146" s="181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4">
        <f>'Données projet'!A140</f>
        <v>30</v>
      </c>
      <c r="B147" s="185">
        <f>'Données projet'!D140</f>
        <v>0</v>
      </c>
      <c r="C147" s="202"/>
      <c r="D147" s="192">
        <f>B147*C147</f>
        <v>0</v>
      </c>
      <c r="E147" s="204"/>
      <c r="F147" s="261"/>
      <c r="G147" s="219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4">
        <f>'Données projet'!A141</f>
        <v>40</v>
      </c>
      <c r="B148" s="185">
        <f>'Données projet'!D141</f>
        <v>66</v>
      </c>
      <c r="C148" s="202">
        <v>15</v>
      </c>
      <c r="D148" s="192">
        <f t="shared" ref="D148:D166" si="8">B148*C148</f>
        <v>990</v>
      </c>
      <c r="E148" s="204"/>
      <c r="F148" s="261"/>
      <c r="G148" s="219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4">
        <f>'Données projet'!A142</f>
        <v>50</v>
      </c>
      <c r="B149" s="185">
        <f>'Données projet'!D142</f>
        <v>58</v>
      </c>
      <c r="C149" s="202">
        <v>20</v>
      </c>
      <c r="D149" s="192">
        <f t="shared" si="8"/>
        <v>1160</v>
      </c>
      <c r="E149" s="204"/>
      <c r="F149" s="261"/>
      <c r="G149" s="219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4">
        <f>'Données projet'!A143</f>
        <v>60</v>
      </c>
      <c r="B150" s="185">
        <f>'Données projet'!D143</f>
        <v>58</v>
      </c>
      <c r="C150" s="202">
        <v>25</v>
      </c>
      <c r="D150" s="192">
        <f t="shared" si="8"/>
        <v>1450</v>
      </c>
      <c r="E150" s="204"/>
      <c r="F150" s="261"/>
      <c r="G150" s="219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4">
        <f>'Données projet'!A144</f>
        <v>70</v>
      </c>
      <c r="B151" s="185">
        <f>'Données projet'!D144</f>
        <v>62</v>
      </c>
      <c r="C151" s="202">
        <v>30</v>
      </c>
      <c r="D151" s="192">
        <f t="shared" si="8"/>
        <v>1860</v>
      </c>
      <c r="E151" s="204"/>
      <c r="F151" s="261"/>
      <c r="G151" s="219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4">
        <f>'Données projet'!A145</f>
        <v>80</v>
      </c>
      <c r="B152" s="185">
        <f>'Données projet'!D145</f>
        <v>58</v>
      </c>
      <c r="C152" s="202">
        <v>35</v>
      </c>
      <c r="D152" s="192">
        <f t="shared" si="8"/>
        <v>2030</v>
      </c>
      <c r="E152" s="204"/>
      <c r="F152" s="261"/>
      <c r="G152" s="219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4">
        <f>'Données projet'!A146</f>
        <v>90</v>
      </c>
      <c r="B153" s="185">
        <f>'Données projet'!D146</f>
        <v>50</v>
      </c>
      <c r="C153" s="202">
        <v>40</v>
      </c>
      <c r="D153" s="192">
        <f t="shared" si="8"/>
        <v>2000</v>
      </c>
      <c r="E153" s="204"/>
      <c r="F153" s="261"/>
      <c r="G153" s="215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4">
        <f>'Données projet'!A147</f>
        <v>100</v>
      </c>
      <c r="B154" s="185">
        <f>'Données projet'!D147</f>
        <v>45</v>
      </c>
      <c r="C154" s="202">
        <v>50</v>
      </c>
      <c r="D154" s="192">
        <f t="shared" si="8"/>
        <v>2250</v>
      </c>
      <c r="E154" s="204"/>
      <c r="F154" s="261"/>
      <c r="G154" s="215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4">
        <f>'Données projet'!A148</f>
        <v>110</v>
      </c>
      <c r="B155" s="185">
        <f>'Données projet'!D148</f>
        <v>593</v>
      </c>
      <c r="C155" s="202">
        <v>60</v>
      </c>
      <c r="D155" s="192">
        <f t="shared" si="8"/>
        <v>35580</v>
      </c>
      <c r="E155" s="204"/>
      <c r="F155" s="261"/>
      <c r="G155" s="215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4">
        <f>'Données projet'!A149</f>
        <v>0</v>
      </c>
      <c r="B156" s="185">
        <f>'Données projet'!D149</f>
        <v>0</v>
      </c>
      <c r="C156" s="202"/>
      <c r="D156" s="192">
        <f t="shared" si="8"/>
        <v>0</v>
      </c>
      <c r="E156" s="204"/>
      <c r="F156" s="261"/>
      <c r="G156" s="215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4">
        <f>'Données projet'!A150</f>
        <v>0</v>
      </c>
      <c r="B157" s="185">
        <f>'Données projet'!D150</f>
        <v>0</v>
      </c>
      <c r="C157" s="202"/>
      <c r="D157" s="192">
        <f t="shared" si="8"/>
        <v>0</v>
      </c>
      <c r="E157" s="204"/>
      <c r="F157" s="261"/>
      <c r="G157" s="215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4">
        <f>'Données projet'!A151</f>
        <v>0</v>
      </c>
      <c r="B158" s="185">
        <f>'Données projet'!D151</f>
        <v>0</v>
      </c>
      <c r="C158" s="202"/>
      <c r="D158" s="192">
        <f t="shared" si="8"/>
        <v>0</v>
      </c>
      <c r="E158" s="204"/>
      <c r="F158" s="261"/>
      <c r="G158" s="215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4">
        <f>'Données projet'!A152</f>
        <v>0</v>
      </c>
      <c r="B159" s="185">
        <f>'Données projet'!D152</f>
        <v>0</v>
      </c>
      <c r="C159" s="202"/>
      <c r="D159" s="192">
        <f t="shared" si="8"/>
        <v>0</v>
      </c>
      <c r="E159" s="204"/>
      <c r="F159" s="261"/>
      <c r="G159" s="215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4">
        <f>'Données projet'!A153</f>
        <v>0</v>
      </c>
      <c r="B160" s="185">
        <f>'Données projet'!D153</f>
        <v>0</v>
      </c>
      <c r="C160" s="202"/>
      <c r="D160" s="192">
        <f t="shared" si="8"/>
        <v>0</v>
      </c>
      <c r="E160" s="204"/>
      <c r="F160" s="261"/>
      <c r="G160" s="215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4">
        <f>'Données projet'!A154</f>
        <v>0</v>
      </c>
      <c r="B161" s="185">
        <f>'Données projet'!D154</f>
        <v>0</v>
      </c>
      <c r="C161" s="202"/>
      <c r="D161" s="192">
        <f t="shared" si="8"/>
        <v>0</v>
      </c>
      <c r="E161" s="204"/>
      <c r="F161" s="261"/>
      <c r="G161" s="215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4">
        <f>'Données projet'!A155</f>
        <v>0</v>
      </c>
      <c r="B162" s="185">
        <f>'Données projet'!D155</f>
        <v>0</v>
      </c>
      <c r="C162" s="202"/>
      <c r="D162" s="192">
        <f t="shared" si="8"/>
        <v>0</v>
      </c>
      <c r="E162" s="204"/>
      <c r="F162" s="261"/>
      <c r="G162" s="215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4">
        <f>'Données projet'!A156</f>
        <v>0</v>
      </c>
      <c r="B163" s="185">
        <f>'Données projet'!D156</f>
        <v>0</v>
      </c>
      <c r="C163" s="202"/>
      <c r="D163" s="192">
        <f t="shared" si="8"/>
        <v>0</v>
      </c>
      <c r="E163" s="204"/>
      <c r="F163" s="261"/>
      <c r="G163" s="215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4">
        <f>'Données projet'!A157</f>
        <v>0</v>
      </c>
      <c r="B164" s="185">
        <f>'Données projet'!D157</f>
        <v>0</v>
      </c>
      <c r="C164" s="202"/>
      <c r="D164" s="192">
        <f t="shared" si="8"/>
        <v>0</v>
      </c>
      <c r="E164" s="204"/>
      <c r="F164" s="261"/>
      <c r="G164" s="215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4">
        <f>'Données projet'!A158</f>
        <v>0</v>
      </c>
      <c r="B165" s="185">
        <f>'Données projet'!D158</f>
        <v>0</v>
      </c>
      <c r="C165" s="202"/>
      <c r="D165" s="192">
        <f t="shared" si="8"/>
        <v>0</v>
      </c>
      <c r="E165" s="204"/>
      <c r="F165" s="261"/>
      <c r="G165" s="215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4">
        <f>'Données projet'!A159</f>
        <v>0</v>
      </c>
      <c r="B166" s="185">
        <f>'Données projet'!D159</f>
        <v>0</v>
      </c>
      <c r="C166" s="202"/>
      <c r="D166" s="192">
        <f t="shared" si="8"/>
        <v>0</v>
      </c>
      <c r="E166" s="204"/>
      <c r="F166" s="261"/>
      <c r="G166" s="215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8"/>
      <c r="G167" s="215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8"/>
      <c r="G168" s="215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8" t="s">
        <v>170</v>
      </c>
      <c r="B169" s="184" t="str">
        <f>IF('Données projet'!B14="","",'Données projet'!B14)</f>
        <v>Tilleul</v>
      </c>
      <c r="C169" s="5"/>
      <c r="D169" s="5"/>
      <c r="E169" s="5"/>
      <c r="F169" s="258"/>
      <c r="G169" s="215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8"/>
      <c r="G170" s="215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4" t="s">
        <v>180</v>
      </c>
      <c r="B171" s="50" t="s">
        <v>256</v>
      </c>
      <c r="C171" s="50" t="s">
        <v>255</v>
      </c>
      <c r="D171" s="254" t="s">
        <v>252</v>
      </c>
      <c r="E171" s="254" t="s">
        <v>320</v>
      </c>
      <c r="F171" s="259"/>
      <c r="G171" s="215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7">
        <v>0</v>
      </c>
      <c r="B172" s="210" t="s">
        <v>132</v>
      </c>
      <c r="C172" s="209" t="s">
        <v>132</v>
      </c>
      <c r="D172" s="208" t="s">
        <v>132</v>
      </c>
      <c r="E172" s="204"/>
      <c r="F172" s="259"/>
      <c r="G172" s="215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7">
        <v>1</v>
      </c>
      <c r="B173" s="210" t="s">
        <v>132</v>
      </c>
      <c r="C173" s="209" t="s">
        <v>132</v>
      </c>
      <c r="D173" s="208" t="s">
        <v>132</v>
      </c>
      <c r="E173" s="204"/>
      <c r="F173" s="259"/>
      <c r="G173" s="218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7">
        <v>2</v>
      </c>
      <c r="B174" s="210" t="s">
        <v>132</v>
      </c>
      <c r="C174" s="209" t="s">
        <v>132</v>
      </c>
      <c r="D174" s="208" t="s">
        <v>132</v>
      </c>
      <c r="E174" s="204"/>
      <c r="F174" s="259"/>
      <c r="G174" s="218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7">
        <v>3</v>
      </c>
      <c r="B175" s="210" t="s">
        <v>132</v>
      </c>
      <c r="C175" s="209" t="s">
        <v>132</v>
      </c>
      <c r="D175" s="208" t="s">
        <v>132</v>
      </c>
      <c r="E175" s="204"/>
      <c r="F175" s="259"/>
      <c r="G175" s="218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7">
        <v>4</v>
      </c>
      <c r="B176" s="210" t="s">
        <v>132</v>
      </c>
      <c r="C176" s="209" t="s">
        <v>132</v>
      </c>
      <c r="D176" s="208" t="s">
        <v>132</v>
      </c>
      <c r="E176" s="204"/>
      <c r="F176" s="259"/>
      <c r="G176" s="218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7">
        <v>5</v>
      </c>
      <c r="B177" s="210" t="s">
        <v>132</v>
      </c>
      <c r="C177" s="209" t="s">
        <v>132</v>
      </c>
      <c r="D177" s="208" t="s">
        <v>132</v>
      </c>
      <c r="E177" s="204"/>
      <c r="F177" s="259"/>
      <c r="G177" s="219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15</v>
      </c>
      <c r="B178" s="191">
        <f>'Données projet'!D166</f>
        <v>0</v>
      </c>
      <c r="C178" s="204"/>
      <c r="D178" s="189">
        <f>B178*C178</f>
        <v>0</v>
      </c>
      <c r="E178" s="204"/>
      <c r="F178" s="260"/>
      <c r="G178" s="219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20</v>
      </c>
      <c r="B179" s="191">
        <f>'Données projet'!D167</f>
        <v>24.358974358974358</v>
      </c>
      <c r="C179" s="204">
        <v>10</v>
      </c>
      <c r="D179" s="189">
        <f t="shared" ref="D179:D197" si="9">B179*C179</f>
        <v>243.58974358974359</v>
      </c>
      <c r="E179" s="204"/>
      <c r="F179" s="260"/>
      <c r="G179" s="219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25</v>
      </c>
      <c r="B180" s="191">
        <f>'Données projet'!D168</f>
        <v>0</v>
      </c>
      <c r="C180" s="204"/>
      <c r="D180" s="189">
        <f t="shared" si="9"/>
        <v>0</v>
      </c>
      <c r="E180" s="204"/>
      <c r="F180" s="260"/>
      <c r="G180" s="219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30</v>
      </c>
      <c r="B181" s="191">
        <f>'Données projet'!D169</f>
        <v>32.692307692307693</v>
      </c>
      <c r="C181" s="204">
        <v>10</v>
      </c>
      <c r="D181" s="189">
        <f t="shared" si="9"/>
        <v>326.92307692307691</v>
      </c>
      <c r="E181" s="204"/>
      <c r="F181" s="260"/>
      <c r="G181" s="219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35</v>
      </c>
      <c r="B182" s="191">
        <f>'Données projet'!D170</f>
        <v>0</v>
      </c>
      <c r="C182" s="204"/>
      <c r="D182" s="189">
        <f t="shared" si="9"/>
        <v>0</v>
      </c>
      <c r="E182" s="204"/>
      <c r="F182" s="260"/>
      <c r="G182" s="219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40</v>
      </c>
      <c r="B183" s="191">
        <f>'Données projet'!D171</f>
        <v>34.615384615384613</v>
      </c>
      <c r="C183" s="204">
        <v>15</v>
      </c>
      <c r="D183" s="189">
        <f t="shared" si="9"/>
        <v>519.23076923076917</v>
      </c>
      <c r="E183" s="204"/>
      <c r="F183" s="260"/>
      <c r="G183" s="219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45</v>
      </c>
      <c r="B184" s="191">
        <f>'Données projet'!D172</f>
        <v>0</v>
      </c>
      <c r="C184" s="204"/>
      <c r="D184" s="189">
        <f t="shared" si="9"/>
        <v>0</v>
      </c>
      <c r="E184" s="204"/>
      <c r="F184" s="260"/>
      <c r="G184" s="220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50</v>
      </c>
      <c r="B185" s="191">
        <f>'Données projet'!D173</f>
        <v>32.692307692307693</v>
      </c>
      <c r="C185" s="204">
        <v>20</v>
      </c>
      <c r="D185" s="189">
        <f t="shared" si="9"/>
        <v>653.84615384615381</v>
      </c>
      <c r="E185" s="204"/>
      <c r="F185" s="260"/>
      <c r="G185" s="220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55</v>
      </c>
      <c r="B186" s="191">
        <f>'Données projet'!D174</f>
        <v>0</v>
      </c>
      <c r="C186" s="204"/>
      <c r="D186" s="189">
        <f t="shared" si="9"/>
        <v>0</v>
      </c>
      <c r="E186" s="204"/>
      <c r="F186" s="260"/>
      <c r="G186" s="220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60</v>
      </c>
      <c r="B187" s="191">
        <f>'Données projet'!D175</f>
        <v>30.128205128205128</v>
      </c>
      <c r="C187" s="204">
        <v>30</v>
      </c>
      <c r="D187" s="189">
        <f t="shared" si="9"/>
        <v>903.84615384615381</v>
      </c>
      <c r="E187" s="204"/>
      <c r="F187" s="260"/>
      <c r="G187" s="220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65</v>
      </c>
      <c r="B188" s="191">
        <f>'Données projet'!D176</f>
        <v>0</v>
      </c>
      <c r="C188" s="204"/>
      <c r="D188" s="189">
        <f t="shared" si="9"/>
        <v>0</v>
      </c>
      <c r="E188" s="204"/>
      <c r="F188" s="260"/>
      <c r="G188" s="220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70</v>
      </c>
      <c r="B189" s="191">
        <f>'Données projet'!D177</f>
        <v>27.564102564102562</v>
      </c>
      <c r="C189" s="204">
        <v>40</v>
      </c>
      <c r="D189" s="189">
        <f t="shared" si="9"/>
        <v>1102.5641025641025</v>
      </c>
      <c r="E189" s="204"/>
      <c r="F189" s="260"/>
      <c r="G189" s="220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75</v>
      </c>
      <c r="B190" s="191">
        <f>'Données projet'!D178</f>
        <v>0</v>
      </c>
      <c r="C190" s="204"/>
      <c r="D190" s="189">
        <f t="shared" si="9"/>
        <v>0</v>
      </c>
      <c r="E190" s="204"/>
      <c r="F190" s="260"/>
      <c r="G190" s="220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80</v>
      </c>
      <c r="B191" s="191">
        <f>'Données projet'!D179</f>
        <v>26.282051282051281</v>
      </c>
      <c r="C191" s="204">
        <v>50</v>
      </c>
      <c r="D191" s="189">
        <f t="shared" si="9"/>
        <v>1314.102564102564</v>
      </c>
      <c r="E191" s="204"/>
      <c r="F191" s="260"/>
      <c r="G191" s="220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85</v>
      </c>
      <c r="B192" s="191">
        <f>'Données projet'!D180</f>
        <v>0</v>
      </c>
      <c r="C192" s="204"/>
      <c r="D192" s="189">
        <f t="shared" si="9"/>
        <v>0</v>
      </c>
      <c r="E192" s="204"/>
      <c r="F192" s="260"/>
      <c r="G192" s="220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90</v>
      </c>
      <c r="B193" s="191">
        <f>'Données projet'!D181</f>
        <v>24.358974358974358</v>
      </c>
      <c r="C193" s="204">
        <v>60</v>
      </c>
      <c r="D193" s="189">
        <f t="shared" si="9"/>
        <v>1461.5384615384614</v>
      </c>
      <c r="E193" s="204"/>
      <c r="F193" s="260"/>
      <c r="G193" s="220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95</v>
      </c>
      <c r="B194" s="191">
        <f>'Données projet'!D182</f>
        <v>0</v>
      </c>
      <c r="C194" s="204"/>
      <c r="D194" s="189">
        <f t="shared" si="9"/>
        <v>0</v>
      </c>
      <c r="E194" s="204"/>
      <c r="F194" s="260"/>
      <c r="G194" s="220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100</v>
      </c>
      <c r="B195" s="191">
        <f>'Données projet'!D183</f>
        <v>22.435897435897434</v>
      </c>
      <c r="C195" s="204">
        <v>65</v>
      </c>
      <c r="D195" s="189">
        <f t="shared" si="9"/>
        <v>1458.3333333333333</v>
      </c>
      <c r="E195" s="204"/>
      <c r="F195" s="260"/>
      <c r="G195" s="220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105</v>
      </c>
      <c r="B196" s="191">
        <f>'Données projet'!D184</f>
        <v>0</v>
      </c>
      <c r="C196" s="204"/>
      <c r="D196" s="189">
        <f t="shared" si="9"/>
        <v>0</v>
      </c>
      <c r="E196" s="204"/>
      <c r="F196" s="260"/>
      <c r="G196" s="220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110</v>
      </c>
      <c r="B197" s="191">
        <f>'Données projet'!D185</f>
        <v>317.94871794871796</v>
      </c>
      <c r="C197" s="204">
        <v>70</v>
      </c>
      <c r="D197" s="189">
        <f t="shared" si="9"/>
        <v>22256.410256410258</v>
      </c>
      <c r="E197" s="204"/>
      <c r="F197" s="260"/>
      <c r="G197" s="220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8"/>
      <c r="G198" s="220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8"/>
      <c r="G199" s="220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8" t="s">
        <v>171</v>
      </c>
      <c r="B200" s="184" t="str">
        <f>IF('Données projet'!$B$15="","",'Données projet'!$B$15)</f>
        <v>Noyer</v>
      </c>
      <c r="C200" s="5"/>
      <c r="D200" s="5"/>
      <c r="E200" s="5"/>
      <c r="F200" s="258"/>
      <c r="G200" s="220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8"/>
      <c r="B201" s="5"/>
      <c r="C201" s="5"/>
      <c r="D201" s="5"/>
      <c r="E201" s="5"/>
      <c r="F201" s="258"/>
      <c r="G201" s="220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4" t="s">
        <v>180</v>
      </c>
      <c r="B202" s="50" t="s">
        <v>256</v>
      </c>
      <c r="C202" s="50" t="s">
        <v>255</v>
      </c>
      <c r="D202" s="254" t="s">
        <v>252</v>
      </c>
      <c r="E202" s="254" t="s">
        <v>320</v>
      </c>
      <c r="F202" s="259"/>
      <c r="G202" s="220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7">
        <v>0</v>
      </c>
      <c r="B203" s="210" t="s">
        <v>132</v>
      </c>
      <c r="C203" s="209" t="s">
        <v>132</v>
      </c>
      <c r="D203" s="208" t="s">
        <v>132</v>
      </c>
      <c r="E203" s="204"/>
      <c r="F203" s="259"/>
      <c r="G203" s="220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7">
        <v>1</v>
      </c>
      <c r="B204" s="210" t="s">
        <v>132</v>
      </c>
      <c r="C204" s="209" t="s">
        <v>132</v>
      </c>
      <c r="D204" s="208" t="s">
        <v>132</v>
      </c>
      <c r="E204" s="204"/>
      <c r="F204" s="259"/>
      <c r="G204" s="218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7">
        <v>2</v>
      </c>
      <c r="B205" s="210" t="s">
        <v>132</v>
      </c>
      <c r="C205" s="209" t="s">
        <v>132</v>
      </c>
      <c r="D205" s="208" t="s">
        <v>132</v>
      </c>
      <c r="E205" s="204"/>
      <c r="F205" s="259"/>
      <c r="G205" s="218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7">
        <v>3</v>
      </c>
      <c r="B206" s="210" t="s">
        <v>132</v>
      </c>
      <c r="C206" s="209" t="s">
        <v>132</v>
      </c>
      <c r="D206" s="208" t="s">
        <v>132</v>
      </c>
      <c r="E206" s="204"/>
      <c r="F206" s="259"/>
      <c r="G206" s="218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7">
        <v>4</v>
      </c>
      <c r="B207" s="210" t="s">
        <v>132</v>
      </c>
      <c r="C207" s="209" t="s">
        <v>132</v>
      </c>
      <c r="D207" s="208" t="s">
        <v>132</v>
      </c>
      <c r="E207" s="204"/>
      <c r="F207" s="259"/>
      <c r="G207" s="218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7">
        <v>5</v>
      </c>
      <c r="B208" s="210" t="s">
        <v>132</v>
      </c>
      <c r="C208" s="209" t="s">
        <v>132</v>
      </c>
      <c r="D208" s="208" t="s">
        <v>132</v>
      </c>
      <c r="E208" s="204"/>
      <c r="F208" s="259"/>
      <c r="G208" s="219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7</v>
      </c>
      <c r="B209" s="191">
        <f>'Données projet'!D192</f>
        <v>0</v>
      </c>
      <c r="C209" s="204"/>
      <c r="D209" s="189">
        <f>B209*C209</f>
        <v>0</v>
      </c>
      <c r="E209" s="204"/>
      <c r="F209" s="260"/>
      <c r="G209" s="219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9</v>
      </c>
      <c r="B210" s="191">
        <f>'Données projet'!D193</f>
        <v>0</v>
      </c>
      <c r="C210" s="204"/>
      <c r="D210" s="189">
        <f t="shared" ref="D210:D228" si="10">B210*C210</f>
        <v>0</v>
      </c>
      <c r="E210" s="204"/>
      <c r="F210" s="260"/>
      <c r="G210" s="219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11</v>
      </c>
      <c r="B211" s="191">
        <f>'Données projet'!D194</f>
        <v>0</v>
      </c>
      <c r="C211" s="204"/>
      <c r="D211" s="189">
        <f t="shared" si="10"/>
        <v>0</v>
      </c>
      <c r="E211" s="204"/>
      <c r="F211" s="260"/>
      <c r="G211" s="219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13</v>
      </c>
      <c r="B212" s="191">
        <f>'Données projet'!D195</f>
        <v>11.2</v>
      </c>
      <c r="C212" s="204">
        <v>10</v>
      </c>
      <c r="D212" s="189">
        <f t="shared" si="10"/>
        <v>112</v>
      </c>
      <c r="E212" s="204"/>
      <c r="F212" s="260"/>
      <c r="G212" s="219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33</v>
      </c>
      <c r="B213" s="191">
        <f>'Données projet'!D196</f>
        <v>39.200000000000003</v>
      </c>
      <c r="C213" s="204">
        <v>15</v>
      </c>
      <c r="D213" s="189">
        <f t="shared" si="10"/>
        <v>588</v>
      </c>
      <c r="E213" s="204"/>
      <c r="F213" s="260"/>
      <c r="G213" s="219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48</v>
      </c>
      <c r="B214" s="191">
        <f>'Données projet'!D197</f>
        <v>44.7</v>
      </c>
      <c r="C214" s="204">
        <v>30</v>
      </c>
      <c r="D214" s="189">
        <f t="shared" si="10"/>
        <v>1341</v>
      </c>
      <c r="E214" s="204"/>
      <c r="F214" s="260"/>
      <c r="G214" s="219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70</v>
      </c>
      <c r="B215" s="191">
        <f>'Données projet'!D198</f>
        <v>242.4</v>
      </c>
      <c r="C215" s="204">
        <v>200</v>
      </c>
      <c r="D215" s="189">
        <f t="shared" si="10"/>
        <v>48480</v>
      </c>
      <c r="E215" s="204"/>
      <c r="F215" s="260"/>
      <c r="G215" s="220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0</v>
      </c>
      <c r="B216" s="191">
        <f>'Données projet'!D199</f>
        <v>0</v>
      </c>
      <c r="C216" s="204"/>
      <c r="D216" s="189">
        <f t="shared" si="10"/>
        <v>0</v>
      </c>
      <c r="E216" s="204"/>
      <c r="F216" s="260"/>
      <c r="G216" s="220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0</v>
      </c>
      <c r="B217" s="191">
        <f>'Données projet'!D200</f>
        <v>0</v>
      </c>
      <c r="C217" s="204"/>
      <c r="D217" s="189">
        <f t="shared" si="10"/>
        <v>0</v>
      </c>
      <c r="E217" s="204"/>
      <c r="F217" s="260"/>
      <c r="G217" s="220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0</v>
      </c>
      <c r="B218" s="191">
        <f>'Données projet'!D201</f>
        <v>0</v>
      </c>
      <c r="C218" s="204"/>
      <c r="D218" s="189">
        <f t="shared" si="10"/>
        <v>0</v>
      </c>
      <c r="E218" s="204"/>
      <c r="F218" s="260"/>
      <c r="G218" s="220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0</v>
      </c>
      <c r="B219" s="191">
        <f>'Données projet'!D202</f>
        <v>0</v>
      </c>
      <c r="C219" s="204"/>
      <c r="D219" s="189">
        <f t="shared" si="10"/>
        <v>0</v>
      </c>
      <c r="E219" s="204"/>
      <c r="F219" s="260"/>
      <c r="G219" s="220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0</v>
      </c>
      <c r="B220" s="191">
        <f>'Données projet'!D203</f>
        <v>0</v>
      </c>
      <c r="C220" s="204"/>
      <c r="D220" s="189">
        <f t="shared" si="10"/>
        <v>0</v>
      </c>
      <c r="E220" s="204"/>
      <c r="F220" s="260"/>
      <c r="G220" s="220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0</v>
      </c>
      <c r="B221" s="191">
        <f>'Données projet'!D204</f>
        <v>0</v>
      </c>
      <c r="C221" s="204"/>
      <c r="D221" s="189">
        <f t="shared" si="10"/>
        <v>0</v>
      </c>
      <c r="E221" s="204"/>
      <c r="F221" s="260"/>
      <c r="G221" s="220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0</v>
      </c>
      <c r="B222" s="191">
        <f>'Données projet'!D205</f>
        <v>0</v>
      </c>
      <c r="C222" s="204"/>
      <c r="D222" s="189">
        <f t="shared" si="10"/>
        <v>0</v>
      </c>
      <c r="E222" s="204"/>
      <c r="F222" s="260"/>
      <c r="G222" s="220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0</v>
      </c>
      <c r="B223" s="191">
        <f>'Données projet'!D206</f>
        <v>0</v>
      </c>
      <c r="C223" s="204"/>
      <c r="D223" s="189">
        <f t="shared" si="10"/>
        <v>0</v>
      </c>
      <c r="E223" s="204"/>
      <c r="F223" s="260"/>
      <c r="G223" s="220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0</v>
      </c>
      <c r="B224" s="191">
        <f>'Données projet'!D207</f>
        <v>0</v>
      </c>
      <c r="C224" s="204"/>
      <c r="D224" s="189">
        <f t="shared" si="10"/>
        <v>0</v>
      </c>
      <c r="E224" s="204"/>
      <c r="F224" s="260"/>
      <c r="G224" s="220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/>
      <c r="D225" s="189">
        <f t="shared" si="10"/>
        <v>0</v>
      </c>
      <c r="E225" s="204"/>
      <c r="F225" s="260"/>
      <c r="G225" s="220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/>
      <c r="D226" s="189">
        <f t="shared" si="10"/>
        <v>0</v>
      </c>
      <c r="E226" s="204"/>
      <c r="F226" s="260"/>
      <c r="G226" s="220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/>
      <c r="D227" s="189">
        <f t="shared" si="10"/>
        <v>0</v>
      </c>
      <c r="E227" s="204"/>
      <c r="F227" s="260"/>
      <c r="G227" s="220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/>
      <c r="D228" s="189">
        <f t="shared" si="10"/>
        <v>0</v>
      </c>
      <c r="E228" s="204"/>
      <c r="F228" s="260"/>
      <c r="G228" s="220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8" t="s">
        <v>172</v>
      </c>
      <c r="B231" s="184" t="str">
        <f>IF('Données projet'!$B$16="","",'Données projet'!$B$16)</f>
        <v>Merisier</v>
      </c>
      <c r="C231" s="5"/>
      <c r="D231" s="5"/>
      <c r="E231" s="5"/>
      <c r="F231" s="258"/>
      <c r="G231" s="220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8"/>
      <c r="B232" s="5"/>
      <c r="C232" s="5"/>
      <c r="D232" s="5"/>
      <c r="E232" s="5"/>
      <c r="F232" s="258"/>
      <c r="G232" s="220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4" t="s">
        <v>180</v>
      </c>
      <c r="B233" s="50" t="s">
        <v>256</v>
      </c>
      <c r="C233" s="50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7">
        <v>0</v>
      </c>
      <c r="B234" s="210" t="s">
        <v>132</v>
      </c>
      <c r="C234" s="209" t="s">
        <v>132</v>
      </c>
      <c r="D234" s="208" t="s">
        <v>132</v>
      </c>
      <c r="E234" s="204"/>
      <c r="F234" s="259"/>
      <c r="G234" s="220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7">
        <v>1</v>
      </c>
      <c r="B235" s="210" t="s">
        <v>132</v>
      </c>
      <c r="C235" s="209" t="s">
        <v>132</v>
      </c>
      <c r="D235" s="208" t="s">
        <v>132</v>
      </c>
      <c r="E235" s="204"/>
      <c r="F235" s="259"/>
      <c r="G235" s="218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7">
        <v>2</v>
      </c>
      <c r="B236" s="210" t="s">
        <v>132</v>
      </c>
      <c r="C236" s="209" t="s">
        <v>132</v>
      </c>
      <c r="D236" s="208" t="s">
        <v>132</v>
      </c>
      <c r="E236" s="204"/>
      <c r="F236" s="259"/>
      <c r="G236" s="218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7">
        <v>3</v>
      </c>
      <c r="B237" s="210" t="s">
        <v>132</v>
      </c>
      <c r="C237" s="209" t="s">
        <v>132</v>
      </c>
      <c r="D237" s="208" t="s">
        <v>132</v>
      </c>
      <c r="E237" s="204"/>
      <c r="F237" s="259"/>
      <c r="G237" s="218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7">
        <v>4</v>
      </c>
      <c r="B238" s="210" t="s">
        <v>132</v>
      </c>
      <c r="C238" s="209" t="s">
        <v>132</v>
      </c>
      <c r="D238" s="208" t="s">
        <v>132</v>
      </c>
      <c r="E238" s="204"/>
      <c r="F238" s="259"/>
      <c r="G238" s="218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7">
        <v>5</v>
      </c>
      <c r="B239" s="210" t="s">
        <v>132</v>
      </c>
      <c r="C239" s="209" t="s">
        <v>132</v>
      </c>
      <c r="D239" s="208" t="s">
        <v>132</v>
      </c>
      <c r="E239" s="204"/>
      <c r="F239" s="259"/>
      <c r="G239" s="219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15</v>
      </c>
      <c r="B240" s="191">
        <f>'Données projet'!D218</f>
        <v>0</v>
      </c>
      <c r="C240" s="202"/>
      <c r="D240" s="189">
        <f>B240*C240</f>
        <v>0</v>
      </c>
      <c r="E240" s="204"/>
      <c r="F240" s="260"/>
      <c r="G240" s="219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20</v>
      </c>
      <c r="B241" s="191">
        <f>'Données projet'!D219</f>
        <v>0</v>
      </c>
      <c r="C241" s="202"/>
      <c r="D241" s="189">
        <f t="shared" ref="D241:D259" si="11">B241*C241</f>
        <v>0</v>
      </c>
      <c r="E241" s="204"/>
      <c r="F241" s="260"/>
      <c r="G241" s="219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25</v>
      </c>
      <c r="B242" s="191">
        <f>'Données projet'!D220</f>
        <v>55</v>
      </c>
      <c r="C242" s="202">
        <v>10</v>
      </c>
      <c r="D242" s="189">
        <f t="shared" si="11"/>
        <v>550</v>
      </c>
      <c r="E242" s="204"/>
      <c r="F242" s="260"/>
      <c r="G242" s="219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31</v>
      </c>
      <c r="B243" s="191">
        <f>'Données projet'!D221</f>
        <v>36</v>
      </c>
      <c r="C243" s="202">
        <v>15</v>
      </c>
      <c r="D243" s="189">
        <f t="shared" si="11"/>
        <v>540</v>
      </c>
      <c r="E243" s="204"/>
      <c r="F243" s="260"/>
      <c r="G243" s="219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37</v>
      </c>
      <c r="B244" s="191">
        <f>'Données projet'!D222</f>
        <v>36</v>
      </c>
      <c r="C244" s="202">
        <v>30</v>
      </c>
      <c r="D244" s="189">
        <f t="shared" si="11"/>
        <v>1080</v>
      </c>
      <c r="E244" s="204"/>
      <c r="F244" s="260"/>
      <c r="G244" s="219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44</v>
      </c>
      <c r="B245" s="191">
        <f>'Données projet'!D223</f>
        <v>43</v>
      </c>
      <c r="C245" s="202">
        <v>40</v>
      </c>
      <c r="D245" s="189">
        <f t="shared" si="11"/>
        <v>1720</v>
      </c>
      <c r="E245" s="204"/>
      <c r="F245" s="260"/>
      <c r="G245" s="219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52</v>
      </c>
      <c r="B246" s="191">
        <f>'Données projet'!D224</f>
        <v>48</v>
      </c>
      <c r="C246" s="202">
        <v>50</v>
      </c>
      <c r="D246" s="189">
        <f t="shared" si="11"/>
        <v>2400</v>
      </c>
      <c r="E246" s="204"/>
      <c r="F246" s="260"/>
      <c r="G246" s="220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60</v>
      </c>
      <c r="B247" s="191">
        <f>'Données projet'!D225</f>
        <v>47</v>
      </c>
      <c r="C247" s="202">
        <v>100</v>
      </c>
      <c r="D247" s="189">
        <f t="shared" si="11"/>
        <v>4700</v>
      </c>
      <c r="E247" s="204"/>
      <c r="F247" s="260"/>
      <c r="G247" s="220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69</v>
      </c>
      <c r="B248" s="191">
        <f>'Données projet'!D226</f>
        <v>328</v>
      </c>
      <c r="C248" s="202">
        <v>110</v>
      </c>
      <c r="D248" s="189">
        <f t="shared" si="11"/>
        <v>36080</v>
      </c>
      <c r="E248" s="204"/>
      <c r="F248" s="260"/>
      <c r="G248" s="220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0</v>
      </c>
      <c r="B249" s="191">
        <f>'Données projet'!D227</f>
        <v>0</v>
      </c>
      <c r="C249" s="202"/>
      <c r="D249" s="189">
        <f t="shared" si="11"/>
        <v>0</v>
      </c>
      <c r="E249" s="204"/>
      <c r="F249" s="260"/>
      <c r="G249" s="220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0</v>
      </c>
      <c r="B250" s="191">
        <f>'Données projet'!D228</f>
        <v>0</v>
      </c>
      <c r="C250" s="202"/>
      <c r="D250" s="189">
        <f t="shared" si="11"/>
        <v>0</v>
      </c>
      <c r="E250" s="204"/>
      <c r="F250" s="260"/>
      <c r="G250" s="220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0</v>
      </c>
      <c r="B251" s="191">
        <f>'Données projet'!D229</f>
        <v>0</v>
      </c>
      <c r="C251" s="202"/>
      <c r="D251" s="189">
        <f t="shared" si="11"/>
        <v>0</v>
      </c>
      <c r="E251" s="204"/>
      <c r="F251" s="260"/>
      <c r="G251" s="220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0</v>
      </c>
      <c r="B252" s="191">
        <f>'Données projet'!D230</f>
        <v>0</v>
      </c>
      <c r="C252" s="202"/>
      <c r="D252" s="189">
        <f t="shared" si="11"/>
        <v>0</v>
      </c>
      <c r="E252" s="204"/>
      <c r="F252" s="260"/>
      <c r="G252" s="220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0</v>
      </c>
      <c r="B253" s="191">
        <f>'Données projet'!D231</f>
        <v>0</v>
      </c>
      <c r="C253" s="202"/>
      <c r="D253" s="189">
        <f t="shared" si="11"/>
        <v>0</v>
      </c>
      <c r="E253" s="204"/>
      <c r="F253" s="260"/>
      <c r="G253" s="220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0</v>
      </c>
      <c r="B254" s="191">
        <f>'Données projet'!D232</f>
        <v>0</v>
      </c>
      <c r="C254" s="202"/>
      <c r="D254" s="189">
        <f t="shared" si="11"/>
        <v>0</v>
      </c>
      <c r="E254" s="204"/>
      <c r="F254" s="260"/>
      <c r="G254" s="220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0</v>
      </c>
      <c r="B255" s="191">
        <f>'Données projet'!D233</f>
        <v>0</v>
      </c>
      <c r="C255" s="202"/>
      <c r="D255" s="189">
        <f t="shared" si="11"/>
        <v>0</v>
      </c>
      <c r="E255" s="204"/>
      <c r="F255" s="260"/>
      <c r="G255" s="220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0</v>
      </c>
      <c r="B256" s="191">
        <f>'Données projet'!D234</f>
        <v>0</v>
      </c>
      <c r="C256" s="202"/>
      <c r="D256" s="189">
        <f t="shared" si="11"/>
        <v>0</v>
      </c>
      <c r="E256" s="204"/>
      <c r="F256" s="260"/>
      <c r="G256" s="220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0</v>
      </c>
      <c r="B257" s="191">
        <f>'Données projet'!D235</f>
        <v>0</v>
      </c>
      <c r="C257" s="202"/>
      <c r="D257" s="189">
        <f t="shared" si="11"/>
        <v>0</v>
      </c>
      <c r="E257" s="204"/>
      <c r="F257" s="260"/>
      <c r="G257" s="220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0</v>
      </c>
      <c r="B258" s="191">
        <f>'Données projet'!D236</f>
        <v>0</v>
      </c>
      <c r="C258" s="202"/>
      <c r="D258" s="189">
        <f t="shared" si="11"/>
        <v>0</v>
      </c>
      <c r="E258" s="204"/>
      <c r="F258" s="260"/>
      <c r="G258" s="220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0</v>
      </c>
      <c r="B259" s="191">
        <f>'Données projet'!D237</f>
        <v>0</v>
      </c>
      <c r="C259" s="202"/>
      <c r="D259" s="189">
        <f t="shared" si="11"/>
        <v>0</v>
      </c>
      <c r="E259" s="204"/>
      <c r="F259" s="260"/>
      <c r="G259" s="220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8" t="s">
        <v>173</v>
      </c>
      <c r="B262" s="184" t="str">
        <f>IF('Données projet'!$B$17="","",'Données projet'!$B$17)</f>
        <v>Alisier torminal</v>
      </c>
      <c r="C262" s="5"/>
      <c r="D262" s="5"/>
      <c r="E262" s="5"/>
      <c r="F262" s="258"/>
      <c r="G262" s="220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8"/>
      <c r="B263" s="5"/>
      <c r="C263" s="5"/>
      <c r="D263" s="5"/>
      <c r="E263" s="5"/>
      <c r="F263" s="258"/>
      <c r="G263" s="220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4" t="s">
        <v>180</v>
      </c>
      <c r="B264" s="50" t="s">
        <v>256</v>
      </c>
      <c r="C264" s="50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7">
        <v>0</v>
      </c>
      <c r="B265" s="210" t="s">
        <v>132</v>
      </c>
      <c r="C265" s="209" t="s">
        <v>132</v>
      </c>
      <c r="D265" s="208" t="s">
        <v>132</v>
      </c>
      <c r="E265" s="204"/>
      <c r="F265" s="259"/>
      <c r="G265" s="220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7">
        <v>1</v>
      </c>
      <c r="B266" s="210" t="s">
        <v>132</v>
      </c>
      <c r="C266" s="209" t="s">
        <v>132</v>
      </c>
      <c r="D266" s="208" t="s">
        <v>132</v>
      </c>
      <c r="E266" s="204"/>
      <c r="F266" s="259"/>
      <c r="G266" s="218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7">
        <v>2</v>
      </c>
      <c r="B267" s="210" t="s">
        <v>132</v>
      </c>
      <c r="C267" s="209" t="s">
        <v>132</v>
      </c>
      <c r="D267" s="208" t="s">
        <v>132</v>
      </c>
      <c r="E267" s="204"/>
      <c r="F267" s="259"/>
      <c r="G267" s="218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7">
        <v>3</v>
      </c>
      <c r="B268" s="210" t="s">
        <v>132</v>
      </c>
      <c r="C268" s="209" t="s">
        <v>132</v>
      </c>
      <c r="D268" s="208" t="s">
        <v>132</v>
      </c>
      <c r="E268" s="204"/>
      <c r="F268" s="259"/>
      <c r="G268" s="218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7">
        <v>4</v>
      </c>
      <c r="B269" s="210" t="s">
        <v>132</v>
      </c>
      <c r="C269" s="209" t="s">
        <v>132</v>
      </c>
      <c r="D269" s="208" t="s">
        <v>132</v>
      </c>
      <c r="E269" s="204"/>
      <c r="F269" s="259"/>
      <c r="G269" s="218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7">
        <v>5</v>
      </c>
      <c r="B270" s="210" t="s">
        <v>132</v>
      </c>
      <c r="C270" s="209" t="s">
        <v>132</v>
      </c>
      <c r="D270" s="208" t="s">
        <v>132</v>
      </c>
      <c r="E270" s="204"/>
      <c r="F270" s="259"/>
      <c r="G270" s="219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20</v>
      </c>
      <c r="B271" s="191">
        <f>'Données projet'!D244</f>
        <v>0</v>
      </c>
      <c r="C271" s="202"/>
      <c r="D271" s="189">
        <f>B271*C271</f>
        <v>0</v>
      </c>
      <c r="E271" s="204"/>
      <c r="F271" s="260"/>
      <c r="G271" s="219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25</v>
      </c>
      <c r="B272" s="191">
        <f>'Données projet'!D245</f>
        <v>0</v>
      </c>
      <c r="C272" s="202"/>
      <c r="D272" s="189">
        <f t="shared" ref="D272:D290" si="12">B272*C272</f>
        <v>0</v>
      </c>
      <c r="E272" s="204"/>
      <c r="F272" s="260"/>
      <c r="G272" s="219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30</v>
      </c>
      <c r="B273" s="191">
        <f>'Données projet'!D246</f>
        <v>29</v>
      </c>
      <c r="C273" s="202">
        <v>10</v>
      </c>
      <c r="D273" s="189">
        <f t="shared" si="12"/>
        <v>290</v>
      </c>
      <c r="E273" s="204"/>
      <c r="F273" s="260"/>
      <c r="G273" s="219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35</v>
      </c>
      <c r="B274" s="191">
        <f>'Données projet'!D247</f>
        <v>0</v>
      </c>
      <c r="C274" s="202"/>
      <c r="D274" s="189">
        <f t="shared" si="12"/>
        <v>0</v>
      </c>
      <c r="E274" s="204"/>
      <c r="F274" s="260"/>
      <c r="G274" s="219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40</v>
      </c>
      <c r="B275" s="191">
        <f>'Données projet'!D248</f>
        <v>42</v>
      </c>
      <c r="C275" s="202">
        <v>10</v>
      </c>
      <c r="D275" s="189">
        <f t="shared" si="12"/>
        <v>420</v>
      </c>
      <c r="E275" s="204"/>
      <c r="F275" s="260"/>
      <c r="G275" s="219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45</v>
      </c>
      <c r="B276" s="191">
        <f>'Données projet'!D249</f>
        <v>0</v>
      </c>
      <c r="C276" s="202"/>
      <c r="D276" s="189">
        <f t="shared" si="12"/>
        <v>0</v>
      </c>
      <c r="E276" s="204"/>
      <c r="F276" s="260"/>
      <c r="G276" s="219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50</v>
      </c>
      <c r="B277" s="191">
        <f>'Données projet'!D250</f>
        <v>42</v>
      </c>
      <c r="C277" s="202">
        <v>15</v>
      </c>
      <c r="D277" s="189">
        <f t="shared" si="12"/>
        <v>630</v>
      </c>
      <c r="E277" s="204"/>
      <c r="F277" s="260"/>
      <c r="G277" s="220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55</v>
      </c>
      <c r="B278" s="191">
        <f>'Données projet'!D251</f>
        <v>0</v>
      </c>
      <c r="C278" s="202"/>
      <c r="D278" s="189">
        <f t="shared" si="12"/>
        <v>0</v>
      </c>
      <c r="E278" s="204"/>
      <c r="F278" s="260"/>
      <c r="G278" s="220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60</v>
      </c>
      <c r="B279" s="191">
        <f>'Données projet'!D252</f>
        <v>42</v>
      </c>
      <c r="C279" s="202">
        <v>20</v>
      </c>
      <c r="D279" s="189">
        <f t="shared" si="12"/>
        <v>840</v>
      </c>
      <c r="E279" s="204"/>
      <c r="F279" s="260"/>
      <c r="G279" s="220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65</v>
      </c>
      <c r="B280" s="191">
        <f>'Données projet'!D253</f>
        <v>0</v>
      </c>
      <c r="C280" s="202"/>
      <c r="D280" s="189">
        <f t="shared" si="12"/>
        <v>0</v>
      </c>
      <c r="E280" s="204"/>
      <c r="F280" s="260"/>
      <c r="G280" s="220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70</v>
      </c>
      <c r="B281" s="191">
        <f>'Données projet'!D254</f>
        <v>42</v>
      </c>
      <c r="C281" s="202">
        <v>40</v>
      </c>
      <c r="D281" s="189">
        <f t="shared" si="12"/>
        <v>1680</v>
      </c>
      <c r="E281" s="204"/>
      <c r="F281" s="260"/>
      <c r="G281" s="220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75</v>
      </c>
      <c r="B282" s="191">
        <f>'Données projet'!D255</f>
        <v>0</v>
      </c>
      <c r="C282" s="202"/>
      <c r="D282" s="189">
        <f t="shared" si="12"/>
        <v>0</v>
      </c>
      <c r="E282" s="204"/>
      <c r="F282" s="260"/>
      <c r="G282" s="220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80</v>
      </c>
      <c r="B283" s="191">
        <f>'Données projet'!D256</f>
        <v>42</v>
      </c>
      <c r="C283" s="202">
        <v>60</v>
      </c>
      <c r="D283" s="189">
        <f t="shared" si="12"/>
        <v>2520</v>
      </c>
      <c r="E283" s="204"/>
      <c r="F283" s="260"/>
      <c r="G283" s="220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90</v>
      </c>
      <c r="B284" s="191">
        <f>'Données projet'!D257</f>
        <v>42</v>
      </c>
      <c r="C284" s="202">
        <v>80</v>
      </c>
      <c r="D284" s="189">
        <f t="shared" si="12"/>
        <v>3360</v>
      </c>
      <c r="E284" s="204"/>
      <c r="F284" s="260"/>
      <c r="G284" s="220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100</v>
      </c>
      <c r="B285" s="191">
        <f>'Données projet'!D258</f>
        <v>42</v>
      </c>
      <c r="C285" s="202">
        <v>100</v>
      </c>
      <c r="D285" s="189">
        <f t="shared" si="12"/>
        <v>4200</v>
      </c>
      <c r="E285" s="204"/>
      <c r="F285" s="260"/>
      <c r="G285" s="220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110</v>
      </c>
      <c r="B286" s="191">
        <f>'Données projet'!D259</f>
        <v>39</v>
      </c>
      <c r="C286" s="202">
        <v>110</v>
      </c>
      <c r="D286" s="189">
        <f t="shared" si="12"/>
        <v>4290</v>
      </c>
      <c r="E286" s="204"/>
      <c r="F286" s="260"/>
      <c r="G286" s="220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120</v>
      </c>
      <c r="B287" s="191">
        <f>'Données projet'!D260</f>
        <v>35</v>
      </c>
      <c r="C287" s="202">
        <v>130</v>
      </c>
      <c r="D287" s="189">
        <f t="shared" si="12"/>
        <v>4550</v>
      </c>
      <c r="E287" s="204"/>
      <c r="F287" s="260"/>
      <c r="G287" s="220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130</v>
      </c>
      <c r="B288" s="191">
        <f>'Données projet'!D261</f>
        <v>31</v>
      </c>
      <c r="C288" s="202">
        <v>150</v>
      </c>
      <c r="D288" s="189">
        <f t="shared" si="12"/>
        <v>4650</v>
      </c>
      <c r="E288" s="204"/>
      <c r="F288" s="260"/>
      <c r="G288" s="220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140</v>
      </c>
      <c r="B289" s="191">
        <f>'Données projet'!D262</f>
        <v>27</v>
      </c>
      <c r="C289" s="202">
        <v>200</v>
      </c>
      <c r="D289" s="189">
        <f t="shared" si="12"/>
        <v>5400</v>
      </c>
      <c r="E289" s="204"/>
      <c r="F289" s="260"/>
      <c r="G289" s="220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150</v>
      </c>
      <c r="B290" s="191">
        <f>'Données projet'!D263</f>
        <v>293</v>
      </c>
      <c r="C290" s="202">
        <v>200</v>
      </c>
      <c r="D290" s="189">
        <f t="shared" si="12"/>
        <v>58600</v>
      </c>
      <c r="E290" s="204"/>
      <c r="F290" s="260"/>
      <c r="G290" s="220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8" t="s">
        <v>174</v>
      </c>
      <c r="B293" s="184" t="str">
        <f>IF('Données projet'!$B$18="","",'Données projet'!$B$18)</f>
        <v>Cormier</v>
      </c>
      <c r="C293" s="5"/>
      <c r="D293" s="5"/>
      <c r="E293" s="5"/>
      <c r="F293" s="258"/>
      <c r="G293" s="220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8"/>
      <c r="B294" s="5"/>
      <c r="C294" s="5"/>
      <c r="D294" s="5"/>
      <c r="E294" s="5"/>
      <c r="F294" s="258"/>
      <c r="G294" s="220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4" t="s">
        <v>180</v>
      </c>
      <c r="B295" s="50" t="s">
        <v>256</v>
      </c>
      <c r="C295" s="50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7">
        <v>0</v>
      </c>
      <c r="B296" s="210" t="s">
        <v>132</v>
      </c>
      <c r="C296" s="209" t="s">
        <v>132</v>
      </c>
      <c r="D296" s="208" t="s">
        <v>132</v>
      </c>
      <c r="E296" s="204"/>
      <c r="F296" s="259"/>
      <c r="G296" s="220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7">
        <v>1</v>
      </c>
      <c r="B297" s="210" t="s">
        <v>132</v>
      </c>
      <c r="C297" s="209" t="s">
        <v>132</v>
      </c>
      <c r="D297" s="208" t="s">
        <v>132</v>
      </c>
      <c r="E297" s="204"/>
      <c r="F297" s="259"/>
      <c r="G297" s="218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7">
        <v>2</v>
      </c>
      <c r="B298" s="210" t="s">
        <v>132</v>
      </c>
      <c r="C298" s="209" t="s">
        <v>132</v>
      </c>
      <c r="D298" s="208" t="s">
        <v>132</v>
      </c>
      <c r="E298" s="204"/>
      <c r="F298" s="259"/>
      <c r="G298" s="218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7">
        <v>3</v>
      </c>
      <c r="B299" s="210" t="s">
        <v>132</v>
      </c>
      <c r="C299" s="209" t="s">
        <v>132</v>
      </c>
      <c r="D299" s="208" t="s">
        <v>132</v>
      </c>
      <c r="E299" s="204"/>
      <c r="F299" s="259"/>
      <c r="G299" s="218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7">
        <v>4</v>
      </c>
      <c r="B300" s="210" t="s">
        <v>132</v>
      </c>
      <c r="C300" s="209" t="s">
        <v>132</v>
      </c>
      <c r="D300" s="208" t="s">
        <v>132</v>
      </c>
      <c r="E300" s="204"/>
      <c r="F300" s="259"/>
      <c r="G300" s="218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7">
        <v>5</v>
      </c>
      <c r="B301" s="210" t="s">
        <v>132</v>
      </c>
      <c r="C301" s="209" t="s">
        <v>132</v>
      </c>
      <c r="D301" s="208" t="s">
        <v>132</v>
      </c>
      <c r="E301" s="204"/>
      <c r="F301" s="259"/>
      <c r="G301" s="219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20</v>
      </c>
      <c r="B302" s="191">
        <f>'Données projet'!D270</f>
        <v>0</v>
      </c>
      <c r="C302" s="202"/>
      <c r="D302" s="192">
        <f>B302*C302</f>
        <v>0</v>
      </c>
      <c r="E302" s="204"/>
      <c r="F302" s="261"/>
      <c r="G302" s="219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25</v>
      </c>
      <c r="B303" s="191">
        <f>'Données projet'!D271</f>
        <v>0</v>
      </c>
      <c r="C303" s="202"/>
      <c r="D303" s="192">
        <f t="shared" ref="D303:D321" si="13">B303*C303</f>
        <v>0</v>
      </c>
      <c r="E303" s="204"/>
      <c r="F303" s="261"/>
      <c r="G303" s="219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30</v>
      </c>
      <c r="B304" s="191">
        <f>'Données projet'!D272</f>
        <v>29</v>
      </c>
      <c r="C304" s="202">
        <v>10</v>
      </c>
      <c r="D304" s="192">
        <f t="shared" si="13"/>
        <v>290</v>
      </c>
      <c r="E304" s="204"/>
      <c r="F304" s="261"/>
      <c r="G304" s="219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35</v>
      </c>
      <c r="B305" s="191">
        <f>'Données projet'!D273</f>
        <v>0</v>
      </c>
      <c r="C305" s="202"/>
      <c r="D305" s="192">
        <f t="shared" si="13"/>
        <v>0</v>
      </c>
      <c r="E305" s="204"/>
      <c r="F305" s="261"/>
      <c r="G305" s="219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40</v>
      </c>
      <c r="B306" s="191">
        <f>'Données projet'!D274</f>
        <v>42</v>
      </c>
      <c r="C306" s="202">
        <v>10</v>
      </c>
      <c r="D306" s="192">
        <f t="shared" si="13"/>
        <v>420</v>
      </c>
      <c r="E306" s="204"/>
      <c r="F306" s="261"/>
      <c r="G306" s="219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45</v>
      </c>
      <c r="B307" s="191">
        <f>'Données projet'!D275</f>
        <v>0</v>
      </c>
      <c r="C307" s="202"/>
      <c r="D307" s="192">
        <f t="shared" si="13"/>
        <v>0</v>
      </c>
      <c r="E307" s="204"/>
      <c r="F307" s="261"/>
      <c r="G307" s="219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50</v>
      </c>
      <c r="B308" s="191">
        <f>'Données projet'!D276</f>
        <v>42</v>
      </c>
      <c r="C308" s="202">
        <v>15</v>
      </c>
      <c r="D308" s="192">
        <f t="shared" si="13"/>
        <v>630</v>
      </c>
      <c r="E308" s="204"/>
      <c r="F308" s="261"/>
      <c r="G308" s="215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55</v>
      </c>
      <c r="B309" s="191">
        <f>'Données projet'!D277</f>
        <v>0</v>
      </c>
      <c r="C309" s="202"/>
      <c r="D309" s="192">
        <f t="shared" si="13"/>
        <v>0</v>
      </c>
      <c r="E309" s="204"/>
      <c r="F309" s="261"/>
      <c r="G309" s="215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60</v>
      </c>
      <c r="B310" s="191">
        <f>'Données projet'!D278</f>
        <v>42</v>
      </c>
      <c r="C310" s="202">
        <v>20</v>
      </c>
      <c r="D310" s="192">
        <f t="shared" si="13"/>
        <v>840</v>
      </c>
      <c r="E310" s="204"/>
      <c r="F310" s="261"/>
      <c r="G310" s="215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65</v>
      </c>
      <c r="B311" s="191">
        <f>'Données projet'!D279</f>
        <v>0</v>
      </c>
      <c r="C311" s="202"/>
      <c r="D311" s="192">
        <f t="shared" si="13"/>
        <v>0</v>
      </c>
      <c r="E311" s="204"/>
      <c r="F311" s="261"/>
      <c r="G311" s="215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70</v>
      </c>
      <c r="B312" s="191">
        <f>'Données projet'!D280</f>
        <v>42</v>
      </c>
      <c r="C312" s="202">
        <v>40</v>
      </c>
      <c r="D312" s="192">
        <f t="shared" si="13"/>
        <v>1680</v>
      </c>
      <c r="E312" s="204"/>
      <c r="F312" s="261"/>
      <c r="G312" s="215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75</v>
      </c>
      <c r="B313" s="191">
        <f>'Données projet'!D281</f>
        <v>0</v>
      </c>
      <c r="C313" s="202"/>
      <c r="D313" s="192">
        <f t="shared" si="13"/>
        <v>0</v>
      </c>
      <c r="E313" s="204"/>
      <c r="F313" s="261"/>
      <c r="G313" s="215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80</v>
      </c>
      <c r="B314" s="191">
        <f>'Données projet'!D282</f>
        <v>42</v>
      </c>
      <c r="C314" s="202">
        <v>60</v>
      </c>
      <c r="D314" s="192">
        <f t="shared" si="13"/>
        <v>2520</v>
      </c>
      <c r="E314" s="204"/>
      <c r="F314" s="261"/>
      <c r="G314" s="215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90</v>
      </c>
      <c r="B315" s="191">
        <f>'Données projet'!D283</f>
        <v>42</v>
      </c>
      <c r="C315" s="202">
        <v>80</v>
      </c>
      <c r="D315" s="192">
        <f t="shared" si="13"/>
        <v>3360</v>
      </c>
      <c r="E315" s="204"/>
      <c r="F315" s="261"/>
      <c r="G315" s="215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100</v>
      </c>
      <c r="B316" s="191">
        <f>'Données projet'!D284</f>
        <v>42</v>
      </c>
      <c r="C316" s="202">
        <v>100</v>
      </c>
      <c r="D316" s="192">
        <f t="shared" si="13"/>
        <v>4200</v>
      </c>
      <c r="E316" s="204"/>
      <c r="F316" s="261"/>
      <c r="G316" s="215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110</v>
      </c>
      <c r="B317" s="191">
        <f>'Données projet'!D285</f>
        <v>39</v>
      </c>
      <c r="C317" s="202">
        <v>110</v>
      </c>
      <c r="D317" s="192">
        <f t="shared" si="13"/>
        <v>4290</v>
      </c>
      <c r="E317" s="204"/>
      <c r="F317" s="261"/>
      <c r="G317" s="215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120</v>
      </c>
      <c r="B318" s="191">
        <f>'Données projet'!D286</f>
        <v>35</v>
      </c>
      <c r="C318" s="202">
        <v>130</v>
      </c>
      <c r="D318" s="192">
        <f t="shared" si="13"/>
        <v>4550</v>
      </c>
      <c r="E318" s="204"/>
      <c r="F318" s="261"/>
      <c r="G318" s="215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130</v>
      </c>
      <c r="B319" s="191">
        <f>'Données projet'!D287</f>
        <v>31</v>
      </c>
      <c r="C319" s="202">
        <v>150</v>
      </c>
      <c r="D319" s="192">
        <f t="shared" si="13"/>
        <v>4650</v>
      </c>
      <c r="E319" s="204"/>
      <c r="F319" s="261"/>
      <c r="G319" s="215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140</v>
      </c>
      <c r="B320" s="191">
        <f>'Données projet'!D288</f>
        <v>27</v>
      </c>
      <c r="C320" s="202">
        <v>200</v>
      </c>
      <c r="D320" s="192">
        <f t="shared" si="13"/>
        <v>5400</v>
      </c>
      <c r="E320" s="204"/>
      <c r="F320" s="261"/>
      <c r="G320" s="215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150</v>
      </c>
      <c r="B321" s="191">
        <f>'Données projet'!D289</f>
        <v>293</v>
      </c>
      <c r="C321" s="202">
        <v>200</v>
      </c>
      <c r="D321" s="192">
        <f t="shared" si="13"/>
        <v>58600</v>
      </c>
      <c r="E321" s="204"/>
      <c r="F321" s="261"/>
      <c r="G321" s="215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5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5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5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5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5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5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8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8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8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8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8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8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8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8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8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8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8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8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8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8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8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8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8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8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8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8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8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8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8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8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8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8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Olivier GLEIZES</cp:lastModifiedBy>
  <dcterms:created xsi:type="dcterms:W3CDTF">2021-02-01T08:22:39Z</dcterms:created>
  <dcterms:modified xsi:type="dcterms:W3CDTF">2026-01-30T11:17:11Z</dcterms:modified>
</cp:coreProperties>
</file>