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Boisement Avenir Forêt_Eyrein (19)\Dossier d'instruction\"/>
    </mc:Choice>
  </mc:AlternateContent>
  <xr:revisionPtr revIDLastSave="0" documentId="13_ncr:1_{4563FFDB-B2B1-4D3B-B13F-B99A41A357B3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D157" i="2" s="1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D161" i="2"/>
  <c r="EW162" i="2"/>
  <c r="EB162" i="2"/>
  <c r="EC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Y175" i="2" s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HG194" i="2"/>
  <c r="FQ194" i="2"/>
  <c r="HI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EY198" i="2" s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FS201" i="2"/>
  <c r="HH201" i="2"/>
  <c r="EA201" i="2"/>
  <c r="EB201" i="2"/>
  <c r="ED201" i="2" s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AX200" i="2"/>
  <c r="EY202" i="2" l="1"/>
  <c r="DN43" i="2" a="1"/>
  <c r="DN43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EY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24" i="2" l="1"/>
  <c r="CY137" i="2"/>
  <c r="CY81" i="2"/>
  <c r="CY96" i="2"/>
  <c r="CY101" i="2"/>
  <c r="CY186" i="2"/>
  <c r="CY129" i="2"/>
  <c r="CY73" i="2"/>
  <c r="CY203" i="2"/>
  <c r="CY7" i="2"/>
  <c r="CY8" i="2"/>
  <c r="CY128" i="2"/>
  <c r="CY89" i="2"/>
  <c r="CY167" i="2"/>
  <c r="CY158" i="2"/>
  <c r="CY79" i="2"/>
  <c r="CY114" i="2"/>
  <c r="CY201" i="2"/>
  <c r="CY88" i="2"/>
  <c r="CY143" i="2"/>
  <c r="CY71" i="2"/>
  <c r="CY115" i="2"/>
  <c r="CY190" i="2"/>
  <c r="CY39" i="2"/>
  <c r="CY112" i="2"/>
  <c r="CY162" i="2"/>
  <c r="CY46" i="2"/>
  <c r="CY199" i="2"/>
  <c r="CY104" i="2"/>
  <c r="CY56" i="2"/>
  <c r="CY130" i="2"/>
  <c r="CY166" i="2"/>
  <c r="CY28" i="2"/>
  <c r="CY120" i="2"/>
  <c r="CY19" i="2"/>
  <c r="CY160" i="2"/>
  <c r="CY136" i="2"/>
  <c r="CY87" i="2"/>
  <c r="CY170" i="2"/>
  <c r="CY159" i="2"/>
  <c r="CY10" i="2"/>
  <c r="CY187" i="2"/>
  <c r="CY76" i="2"/>
  <c r="CY180" i="2"/>
  <c r="CY202" i="2"/>
  <c r="CY116" i="2"/>
  <c r="CY48" i="2"/>
  <c r="CY91" i="2"/>
  <c r="CY182" i="2"/>
  <c r="CY109" i="2"/>
  <c r="CY189" i="2"/>
  <c r="CY5" i="2"/>
  <c r="CY18" i="2"/>
  <c r="CY173" i="2"/>
  <c r="CY140" i="2"/>
  <c r="CY194" i="2"/>
  <c r="CY60" i="2"/>
  <c r="CY64" i="2"/>
  <c r="CY34" i="2"/>
  <c r="CY148" i="2"/>
  <c r="CY13" i="2"/>
  <c r="CY68" i="2"/>
  <c r="CY106" i="2"/>
  <c r="CY192" i="2"/>
  <c r="CY16" i="2"/>
  <c r="CY151" i="2"/>
  <c r="CY102" i="2"/>
  <c r="CY12" i="2"/>
  <c r="CY14" i="2"/>
  <c r="CY44" i="2"/>
  <c r="CY84" i="2"/>
  <c r="CY49" i="2"/>
  <c r="CY118" i="2"/>
  <c r="CY22" i="2"/>
  <c r="CY103" i="2"/>
  <c r="CY47" i="2"/>
  <c r="CY145" i="2"/>
  <c r="CY133" i="2"/>
  <c r="CY98" i="2"/>
  <c r="CY99" i="2"/>
  <c r="CY9" i="2"/>
  <c r="CY40" i="2"/>
  <c r="CY144" i="2"/>
  <c r="CY3" i="2"/>
  <c r="C10" i="4" s="1"/>
  <c r="E10" i="4" s="1"/>
  <c r="F10" i="4" s="1"/>
  <c r="G10" i="4" s="1"/>
  <c r="L10" i="4" s="1"/>
  <c r="CY111" i="2"/>
  <c r="CY93" i="2"/>
  <c r="CY36" i="2"/>
  <c r="CY33" i="2"/>
  <c r="CY123" i="2"/>
  <c r="CY42" i="2"/>
  <c r="CY61" i="2"/>
  <c r="CY35" i="2"/>
  <c r="CY150" i="2"/>
  <c r="CY66" i="2"/>
  <c r="CY113" i="2"/>
  <c r="CY163" i="2"/>
  <c r="CY168" i="2"/>
  <c r="CY82" i="2"/>
  <c r="CY37" i="2"/>
  <c r="CY139" i="2"/>
  <c r="CY25" i="2"/>
  <c r="CY179" i="2"/>
  <c r="CY72" i="2"/>
  <c r="CY17" i="2"/>
  <c r="CY94" i="2"/>
  <c r="CY4" i="2"/>
  <c r="CY198" i="2"/>
  <c r="CY127" i="2"/>
  <c r="CY119" i="2"/>
  <c r="CY59" i="2"/>
  <c r="CY51" i="2"/>
  <c r="CY77" i="2"/>
  <c r="CY20" i="2"/>
  <c r="CY149" i="2"/>
  <c r="CY69" i="2"/>
  <c r="CY57" i="2"/>
  <c r="CY122" i="2"/>
  <c r="CY165" i="2"/>
  <c r="CY52" i="2"/>
  <c r="CY74" i="2"/>
  <c r="CY50" i="2"/>
  <c r="CY142" i="2"/>
  <c r="CY54" i="2"/>
  <c r="CY164" i="2"/>
  <c r="CY184" i="2"/>
  <c r="CY195" i="2"/>
  <c r="CY27" i="2"/>
  <c r="CY85" i="2"/>
  <c r="CY147" i="2"/>
  <c r="CY63" i="2"/>
  <c r="CY86" i="2"/>
  <c r="CY29" i="2"/>
  <c r="CY181" i="2"/>
  <c r="CY58" i="2"/>
  <c r="CY55" i="2"/>
  <c r="CY124" i="2"/>
  <c r="CY134" i="2"/>
  <c r="CY100" i="2"/>
  <c r="CY21" i="2"/>
  <c r="CY92" i="2"/>
  <c r="CY183" i="2"/>
  <c r="CY126" i="2"/>
  <c r="CY132" i="2"/>
  <c r="CY53" i="2"/>
  <c r="CY197" i="2"/>
  <c r="CY26" i="2"/>
  <c r="CY157" i="2"/>
  <c r="CY11" i="2"/>
  <c r="CY15" i="2"/>
  <c r="CY30" i="2"/>
  <c r="CY125" i="2"/>
  <c r="CY105" i="2"/>
  <c r="CY43" i="2"/>
  <c r="CY110" i="2"/>
  <c r="CY90" i="2"/>
  <c r="CY78" i="2"/>
  <c r="CY175" i="2"/>
  <c r="CY154" i="2"/>
  <c r="CY65" i="2"/>
  <c r="CY177" i="2"/>
  <c r="CY70" i="2"/>
  <c r="CY6" i="2"/>
  <c r="CY138" i="2"/>
  <c r="CY41" i="2"/>
  <c r="CY121" i="2"/>
  <c r="CY156" i="2"/>
  <c r="CY75" i="2"/>
  <c r="CY161" i="2"/>
  <c r="CY131" i="2"/>
  <c r="CY141" i="2"/>
  <c r="CY23" i="2"/>
  <c r="CY174" i="2"/>
  <c r="CY83" i="2"/>
  <c r="CY97" i="2"/>
  <c r="CY146" i="2"/>
  <c r="CY185" i="2"/>
  <c r="CY200" i="2"/>
  <c r="CY38" i="2"/>
  <c r="CY178" i="2"/>
  <c r="CY108" i="2"/>
  <c r="CY95" i="2"/>
  <c r="CY152" i="2"/>
  <c r="CY169" i="2"/>
  <c r="CY193" i="2"/>
  <c r="CY153" i="2"/>
  <c r="CY32" i="2"/>
  <c r="CY196" i="2"/>
  <c r="CY31" i="2"/>
  <c r="CY80" i="2"/>
  <c r="CY62" i="2"/>
  <c r="CY67" i="2"/>
  <c r="CY171" i="2"/>
  <c r="CY176" i="2"/>
  <c r="CY45" i="2"/>
  <c r="CY155" i="2"/>
  <c r="CY188" i="2"/>
  <c r="CY172" i="2"/>
  <c r="CY117" i="2"/>
  <c r="CY135" i="2"/>
  <c r="CY191" i="2"/>
  <c r="CY107" i="2"/>
  <c r="CD60" i="2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<sst xmlns="http://schemas.openxmlformats.org/spreadsheetml/2006/main" count="1176" uniqueCount="324">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</sst>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3.015643224062297</c:v>
                </c:pt>
                <c:pt idx="2">
                  <c:v>4.0722529948595438</c:v>
                </c:pt>
                <c:pt idx="3">
                  <c:v>5.5006018745362235</c:v>
                </c:pt>
                <c:pt idx="4">
                  <c:v>7.4319811827349751</c:v>
                </c:pt>
                <c:pt idx="5">
                  <c:v>10.044218170589504</c:v>
                </c:pt>
                <c:pt idx="6">
                  <c:v>13.578225113429147</c:v>
                </c:pt>
                <c:pt idx="7">
                  <c:v>18.360451404377937</c:v>
                </c:pt>
                <c:pt idx="8">
                  <c:v>24.83335003064289</c:v>
                </c:pt>
                <c:pt idx="9">
                  <c:v>33.596726896246878</c:v>
                </c:pt>
                <c:pt idx="10">
                  <c:v>45.463870615269634</c:v>
                </c:pt>
                <c:pt idx="11">
                  <c:v>61.537759614262761</c:v>
                </c:pt>
                <c:pt idx="12">
                  <c:v>83.314545972184078</c:v>
                </c:pt>
                <c:pt idx="13">
                  <c:v>112.82410282766058</c:v>
                </c:pt>
                <c:pt idx="14">
                  <c:v>152.8209413414541</c:v>
                </c:pt>
                <c:pt idx="15">
                  <c:v>207.04359025710687</c:v>
                </c:pt>
                <c:pt idx="16">
                  <c:v>173.3902523967221</c:v>
                </c:pt>
                <c:pt idx="17">
                  <c:v>204.02410382923904</c:v>
                </c:pt>
                <c:pt idx="18">
                  <c:v>234.55138491384039</c:v>
                </c:pt>
                <c:pt idx="19">
                  <c:v>264.98792439409294</c:v>
                </c:pt>
                <c:pt idx="20">
                  <c:v>295.34560890488154</c:v>
                </c:pt>
                <c:pt idx="21">
                  <c:v>231.16419524801108</c:v>
                </c:pt>
                <c:pt idx="22">
                  <c:v>260.85942671475175</c:v>
                </c:pt>
                <c:pt idx="23">
                  <c:v>290.47829302179076</c:v>
                </c:pt>
                <c:pt idx="24">
                  <c:v>320.0296714282502</c:v>
                </c:pt>
                <c:pt idx="25">
                  <c:v>349.52066488969609</c:v>
                </c:pt>
                <c:pt idx="26">
                  <c:v>279.98860279382774</c:v>
                </c:pt>
                <c:pt idx="27">
                  <c:v>307.69314288991126</c:v>
                </c:pt>
                <c:pt idx="28">
                  <c:v>335.34226803283252</c:v>
                </c:pt>
                <c:pt idx="29">
                  <c:v>362.94118566705487</c:v>
                </c:pt>
                <c:pt idx="30">
                  <c:v>390.4942467667251</c:v>
                </c:pt>
                <c:pt idx="31">
                  <c:v>320.77699701276782</c:v>
                </c:pt>
                <c:pt idx="32">
                  <c:v>346.16378539221347</c:v>
                </c:pt>
                <c:pt idx="33">
                  <c:v>371.50970211515977</c:v>
                </c:pt>
                <c:pt idx="34">
                  <c:v>396.81792522211208</c:v>
                </c:pt>
                <c:pt idx="35">
                  <c:v>422.09119450330428</c:v>
                </c:pt>
                <c:pt idx="36">
                  <c:v>353.99540526070876</c:v>
                </c:pt>
                <c:pt idx="37">
                  <c:v>377.09553671098365</c:v>
                </c:pt>
                <c:pt idx="38">
                  <c:v>400.16486874659694</c:v>
                </c:pt>
                <c:pt idx="39">
                  <c:v>423.20542522400024</c:v>
                </c:pt>
                <c:pt idx="40">
                  <c:v>446.21899178570402</c:v>
                </c:pt>
                <c:pt idx="41">
                  <c:v>383.05177541071242</c:v>
                </c:pt>
                <c:pt idx="42">
                  <c:v>403.51120632532326</c:v>
                </c:pt>
                <c:pt idx="43">
                  <c:v>423.9482106076091</c:v>
                </c:pt>
                <c:pt idx="44">
                  <c:v>444.36402075569362</c:v>
                </c:pt>
                <c:pt idx="45">
                  <c:v>464.75974684356021</c:v>
                </c:pt>
                <c:pt idx="46">
                  <c:v>406.48522456571527</c:v>
                </c:pt>
                <c:pt idx="47">
                  <c:v>424.31959279145235</c:v>
                </c:pt>
                <c:pt idx="48">
                  <c:v>442.1378364455868</c:v>
                </c:pt>
                <c:pt idx="49">
                  <c:v>459.94069650633202</c:v>
                </c:pt>
                <c:pt idx="50">
                  <c:v>477.72885193803239</c:v>
                </c:pt>
                <c:pt idx="51">
                  <c:v>425.06233617824211</c:v>
                </c:pt>
                <c:pt idx="52">
                  <c:v>441.02465426855338</c:v>
                </c:pt>
                <c:pt idx="53">
                  <c:v>456.97459194094745</c:v>
                </c:pt>
                <c:pt idx="54">
                  <c:v>472.91264200880101</c:v>
                </c:pt>
                <c:pt idx="55">
                  <c:v>488.83926137072331</c:v>
                </c:pt>
                <c:pt idx="56">
                  <c:v>425.8050516370493</c:v>
                </c:pt>
                <c:pt idx="57">
                  <c:v>425.8050516370493</c:v>
                </c:pt>
                <c:pt idx="58">
                  <c:v>425.8050516370493</c:v>
                </c:pt>
                <c:pt idx="59">
                  <c:v>425.8050516370493</c:v>
                </c:pt>
                <c:pt idx="60">
                  <c:v>425.8050516370493</c:v>
                </c:pt>
                <c:pt idx="61">
                  <c:v>425.8050516370493</c:v>
                </c:pt>
                <c:pt idx="62">
                  <c:v>425.8050516370493</c:v>
                </c:pt>
                <c:pt idx="63">
                  <c:v>425.8050516370493</c:v>
                </c:pt>
                <c:pt idx="64">
                  <c:v>425.8050516370493</c:v>
                </c:pt>
                <c:pt idx="65">
                  <c:v>425.8050516370493</c:v>
                </c:pt>
                <c:pt idx="66">
                  <c:v>425.8050516370493</c:v>
                </c:pt>
                <c:pt idx="67">
                  <c:v>425.8050516370493</c:v>
                </c:pt>
                <c:pt idx="68">
                  <c:v>425.8050516370493</c:v>
                </c:pt>
                <c:pt idx="69">
                  <c:v>425.8050516370493</c:v>
                </c:pt>
                <c:pt idx="70">
                  <c:v>425.8050516370493</c:v>
                </c:pt>
                <c:pt idx="71">
                  <c:v>425.8050516370493</c:v>
                </c:pt>
                <c:pt idx="72">
                  <c:v>425.8050516370493</c:v>
                </c:pt>
                <c:pt idx="73">
                  <c:v>425.8050516370493</c:v>
                </c:pt>
                <c:pt idx="74">
                  <c:v>425.8050516370493</c:v>
                </c:pt>
                <c:pt idx="75">
                  <c:v>425.8050516370493</c:v>
                </c:pt>
                <c:pt idx="76">
                  <c:v>425.8050516370493</c:v>
                </c:pt>
                <c:pt idx="77">
                  <c:v>425.8050516370493</c:v>
                </c:pt>
                <c:pt idx="78">
                  <c:v>425.8050516370493</c:v>
                </c:pt>
                <c:pt idx="79">
                  <c:v>425.8050516370493</c:v>
                </c:pt>
                <c:pt idx="80">
                  <c:v>425.8050516370493</c:v>
                </c:pt>
                <c:pt idx="81">
                  <c:v>425.8050516370493</c:v>
                </c:pt>
                <c:pt idx="82">
                  <c:v>425.8050516370493</c:v>
                </c:pt>
                <c:pt idx="83">
                  <c:v>425.8050516370493</c:v>
                </c:pt>
                <c:pt idx="84">
                  <c:v>425.8050516370493</c:v>
                </c:pt>
                <c:pt idx="85">
                  <c:v>425.8050516370493</c:v>
                </c:pt>
                <c:pt idx="86">
                  <c:v>425.8050516370493</c:v>
                </c:pt>
                <c:pt idx="87">
                  <c:v>425.8050516370493</c:v>
                </c:pt>
                <c:pt idx="88">
                  <c:v>425.8050516370493</c:v>
                </c:pt>
                <c:pt idx="89">
                  <c:v>425.8050516370493</c:v>
                </c:pt>
                <c:pt idx="90">
                  <c:v>425.8050516370493</c:v>
                </c:pt>
                <c:pt idx="91">
                  <c:v>425.8050516370493</c:v>
                </c:pt>
                <c:pt idx="92">
                  <c:v>425.8050516370493</c:v>
                </c:pt>
                <c:pt idx="93">
                  <c:v>425.8050516370493</c:v>
                </c:pt>
                <c:pt idx="94">
                  <c:v>425.8050516370493</c:v>
                </c:pt>
                <c:pt idx="95">
                  <c:v>425.8050516370493</c:v>
                </c:pt>
                <c:pt idx="96">
                  <c:v>425.8050516370493</c:v>
                </c:pt>
                <c:pt idx="97">
                  <c:v>425.8050516370493</c:v>
                </c:pt>
                <c:pt idx="98">
                  <c:v>425.8050516370493</c:v>
                </c:pt>
                <c:pt idx="99">
                  <c:v>425.8050516370493</c:v>
                </c:pt>
                <c:pt idx="100">
                  <c:v>425.8050516370493</c:v>
                </c:pt>
                <c:pt idx="101">
                  <c:v>425.8050516370493</c:v>
                </c:pt>
                <c:pt idx="102">
                  <c:v>425.8050516370493</c:v>
                </c:pt>
                <c:pt idx="103">
                  <c:v>425.8050516370493</c:v>
                </c:pt>
                <c:pt idx="104">
                  <c:v>425.8050516370493</c:v>
                </c:pt>
                <c:pt idx="105">
                  <c:v>425.8050516370493</c:v>
                </c:pt>
                <c:pt idx="106">
                  <c:v>425.8050516370493</c:v>
                </c:pt>
                <c:pt idx="107">
                  <c:v>425.8050516370493</c:v>
                </c:pt>
                <c:pt idx="108">
                  <c:v>425.8050516370493</c:v>
                </c:pt>
                <c:pt idx="109">
                  <c:v>425.8050516370493</c:v>
                </c:pt>
                <c:pt idx="110">
                  <c:v>425.8050516370493</c:v>
                </c:pt>
                <c:pt idx="111">
                  <c:v>425.8050516370493</c:v>
                </c:pt>
                <c:pt idx="112">
                  <c:v>425.8050516370493</c:v>
                </c:pt>
                <c:pt idx="113">
                  <c:v>425.8050516370493</c:v>
                </c:pt>
                <c:pt idx="114">
                  <c:v>425.8050516370493</c:v>
                </c:pt>
                <c:pt idx="115">
                  <c:v>425.8050516370493</c:v>
                </c:pt>
                <c:pt idx="116">
                  <c:v>425.8050516370493</c:v>
                </c:pt>
                <c:pt idx="117">
                  <c:v>425.8050516370493</c:v>
                </c:pt>
                <c:pt idx="118">
                  <c:v>425.8050516370493</c:v>
                </c:pt>
                <c:pt idx="119">
                  <c:v>425.8050516370493</c:v>
                </c:pt>
                <c:pt idx="120">
                  <c:v>425.8050516370493</c:v>
                </c:pt>
                <c:pt idx="121">
                  <c:v>425.8050516370493</c:v>
                </c:pt>
                <c:pt idx="122">
                  <c:v>425.8050516370493</c:v>
                </c:pt>
                <c:pt idx="123">
                  <c:v>425.8050516370493</c:v>
                </c:pt>
                <c:pt idx="124">
                  <c:v>425.8050516370493</c:v>
                </c:pt>
                <c:pt idx="125">
                  <c:v>425.8050516370493</c:v>
                </c:pt>
                <c:pt idx="126">
                  <c:v>425.8050516370493</c:v>
                </c:pt>
                <c:pt idx="127">
                  <c:v>425.8050516370493</c:v>
                </c:pt>
                <c:pt idx="128">
                  <c:v>425.8050516370493</c:v>
                </c:pt>
                <c:pt idx="129">
                  <c:v>425.8050516370493</c:v>
                </c:pt>
                <c:pt idx="130">
                  <c:v>425.8050516370493</c:v>
                </c:pt>
                <c:pt idx="131">
                  <c:v>425.8050516370493</c:v>
                </c:pt>
                <c:pt idx="132">
                  <c:v>425.8050516370493</c:v>
                </c:pt>
                <c:pt idx="133">
                  <c:v>425.8050516370493</c:v>
                </c:pt>
                <c:pt idx="134">
                  <c:v>425.8050516370493</c:v>
                </c:pt>
                <c:pt idx="135">
                  <c:v>425.8050516370493</c:v>
                </c:pt>
                <c:pt idx="136">
                  <c:v>425.8050516370493</c:v>
                </c:pt>
                <c:pt idx="137">
                  <c:v>425.8050516370493</c:v>
                </c:pt>
                <c:pt idx="138">
                  <c:v>425.8050516370493</c:v>
                </c:pt>
                <c:pt idx="139">
                  <c:v>425.8050516370493</c:v>
                </c:pt>
                <c:pt idx="140">
                  <c:v>425.8050516370493</c:v>
                </c:pt>
                <c:pt idx="141">
                  <c:v>425.8050516370493</c:v>
                </c:pt>
                <c:pt idx="142">
                  <c:v>425.8050516370493</c:v>
                </c:pt>
                <c:pt idx="143">
                  <c:v>425.8050516370493</c:v>
                </c:pt>
                <c:pt idx="144">
                  <c:v>425.8050516370493</c:v>
                </c:pt>
                <c:pt idx="145">
                  <c:v>425.8050516370493</c:v>
                </c:pt>
                <c:pt idx="146">
                  <c:v>425.8050516370493</c:v>
                </c:pt>
                <c:pt idx="147">
                  <c:v>425.8050516370493</c:v>
                </c:pt>
                <c:pt idx="148">
                  <c:v>425.8050516370493</c:v>
                </c:pt>
                <c:pt idx="149">
                  <c:v>425.8050516370493</c:v>
                </c:pt>
                <c:pt idx="150">
                  <c:v>425.8050516370493</c:v>
                </c:pt>
                <c:pt idx="151">
                  <c:v>425.8050516370493</c:v>
                </c:pt>
                <c:pt idx="152">
                  <c:v>425.8050516370493</c:v>
                </c:pt>
                <c:pt idx="153">
                  <c:v>425.8050516370493</c:v>
                </c:pt>
                <c:pt idx="154">
                  <c:v>425.8050516370493</c:v>
                </c:pt>
                <c:pt idx="155">
                  <c:v>425.8050516370493</c:v>
                </c:pt>
                <c:pt idx="156">
                  <c:v>425.8050516370493</c:v>
                </c:pt>
                <c:pt idx="157">
                  <c:v>425.8050516370493</c:v>
                </c:pt>
                <c:pt idx="158">
                  <c:v>425.8050516370493</c:v>
                </c:pt>
                <c:pt idx="159">
                  <c:v>425.8050516370493</c:v>
                </c:pt>
                <c:pt idx="160">
                  <c:v>425.8050516370493</c:v>
                </c:pt>
                <c:pt idx="161">
                  <c:v>425.8050516370493</c:v>
                </c:pt>
                <c:pt idx="162">
                  <c:v>425.8050516370493</c:v>
                </c:pt>
                <c:pt idx="163">
                  <c:v>425.8050516370493</c:v>
                </c:pt>
                <c:pt idx="164">
                  <c:v>425.8050516370493</c:v>
                </c:pt>
                <c:pt idx="165">
                  <c:v>425.8050516370493</c:v>
                </c:pt>
                <c:pt idx="166">
                  <c:v>425.8050516370493</c:v>
                </c:pt>
                <c:pt idx="167">
                  <c:v>425.8050516370493</c:v>
                </c:pt>
                <c:pt idx="168">
                  <c:v>425.8050516370493</c:v>
                </c:pt>
                <c:pt idx="169">
                  <c:v>425.8050516370493</c:v>
                </c:pt>
                <c:pt idx="170">
                  <c:v>425.8050516370493</c:v>
                </c:pt>
                <c:pt idx="171">
                  <c:v>425.8050516370493</c:v>
                </c:pt>
                <c:pt idx="172">
                  <c:v>425.8050516370493</c:v>
                </c:pt>
                <c:pt idx="173">
                  <c:v>425.8050516370493</c:v>
                </c:pt>
                <c:pt idx="174">
                  <c:v>425.8050516370493</c:v>
                </c:pt>
                <c:pt idx="175">
                  <c:v>425.8050516370493</c:v>
                </c:pt>
                <c:pt idx="176">
                  <c:v>425.8050516370493</c:v>
                </c:pt>
                <c:pt idx="177">
                  <c:v>425.8050516370493</c:v>
                </c:pt>
                <c:pt idx="178">
                  <c:v>425.8050516370493</c:v>
                </c:pt>
                <c:pt idx="179">
                  <c:v>425.8050516370493</c:v>
                </c:pt>
                <c:pt idx="180">
                  <c:v>425.8050516370493</c:v>
                </c:pt>
                <c:pt idx="181">
                  <c:v>425.8050516370493</c:v>
                </c:pt>
                <c:pt idx="182">
                  <c:v>425.8050516370493</c:v>
                </c:pt>
                <c:pt idx="183">
                  <c:v>425.8050516370493</c:v>
                </c:pt>
                <c:pt idx="184">
                  <c:v>425.8050516370493</c:v>
                </c:pt>
                <c:pt idx="185">
                  <c:v>425.8050516370493</c:v>
                </c:pt>
                <c:pt idx="186">
                  <c:v>425.8050516370493</c:v>
                </c:pt>
                <c:pt idx="187">
                  <c:v>425.8050516370493</c:v>
                </c:pt>
                <c:pt idx="188">
                  <c:v>425.8050516370493</c:v>
                </c:pt>
                <c:pt idx="189">
                  <c:v>425.8050516370493</c:v>
                </c:pt>
                <c:pt idx="190">
                  <c:v>425.8050516370493</c:v>
                </c:pt>
                <c:pt idx="191">
                  <c:v>425.8050516370493</c:v>
                </c:pt>
                <c:pt idx="192">
                  <c:v>425.8050516370493</c:v>
                </c:pt>
                <c:pt idx="193">
                  <c:v>425.8050516370493</c:v>
                </c:pt>
                <c:pt idx="194">
                  <c:v>425.8050516370493</c:v>
                </c:pt>
                <c:pt idx="195">
                  <c:v>425.8050516370493</c:v>
                </c:pt>
                <c:pt idx="196">
                  <c:v>425.8050516370493</c:v>
                </c:pt>
                <c:pt idx="197">
                  <c:v>425.8050516370493</c:v>
                </c:pt>
                <c:pt idx="198">
                  <c:v>425.8050516370493</c:v>
                </c:pt>
                <c:pt idx="199">
                  <c:v>425.8050516370493</c:v>
                </c:pt>
                <c:pt idx="200">
                  <c:v>425.8050516370493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631.25263281623893</c:v>
                </c:pt>
                <c:pt idx="82">
                  <c:v>631.25263281623893</c:v>
                </c:pt>
                <c:pt idx="83">
                  <c:v>631.25263281623893</c:v>
                </c:pt>
                <c:pt idx="84">
                  <c:v>631.25263281623893</c:v>
                </c:pt>
                <c:pt idx="85">
                  <c:v>631.25263281623893</c:v>
                </c:pt>
                <c:pt idx="86">
                  <c:v>631.25263281623893</c:v>
                </c:pt>
                <c:pt idx="87">
                  <c:v>631.25263281623893</c:v>
                </c:pt>
                <c:pt idx="88">
                  <c:v>631.25263281623893</c:v>
                </c:pt>
                <c:pt idx="89">
                  <c:v>631.25263281623893</c:v>
                </c:pt>
                <c:pt idx="90">
                  <c:v>631.25263281623893</c:v>
                </c:pt>
                <c:pt idx="91">
                  <c:v>631.25263281623893</c:v>
                </c:pt>
                <c:pt idx="92">
                  <c:v>631.25263281623893</c:v>
                </c:pt>
                <c:pt idx="93">
                  <c:v>631.25263281623893</c:v>
                </c:pt>
                <c:pt idx="94">
                  <c:v>631.25263281623893</c:v>
                </c:pt>
                <c:pt idx="95">
                  <c:v>631.25263281623893</c:v>
                </c:pt>
                <c:pt idx="96">
                  <c:v>631.25263281623893</c:v>
                </c:pt>
                <c:pt idx="97">
                  <c:v>631.25263281623893</c:v>
                </c:pt>
                <c:pt idx="98">
                  <c:v>631.25263281623893</c:v>
                </c:pt>
                <c:pt idx="99">
                  <c:v>631.25263281623893</c:v>
                </c:pt>
                <c:pt idx="100">
                  <c:v>631.25263281623893</c:v>
                </c:pt>
                <c:pt idx="101">
                  <c:v>631.25263281623893</c:v>
                </c:pt>
                <c:pt idx="102">
                  <c:v>631.25263281623893</c:v>
                </c:pt>
                <c:pt idx="103">
                  <c:v>631.25263281623893</c:v>
                </c:pt>
                <c:pt idx="104">
                  <c:v>631.25263281623893</c:v>
                </c:pt>
                <c:pt idx="105">
                  <c:v>631.25263281623893</c:v>
                </c:pt>
                <c:pt idx="106">
                  <c:v>631.25263281623893</c:v>
                </c:pt>
                <c:pt idx="107">
                  <c:v>631.25263281623893</c:v>
                </c:pt>
                <c:pt idx="108">
                  <c:v>631.25263281623893</c:v>
                </c:pt>
                <c:pt idx="109">
                  <c:v>631.25263281623893</c:v>
                </c:pt>
                <c:pt idx="110">
                  <c:v>631.25263281623893</c:v>
                </c:pt>
                <c:pt idx="111">
                  <c:v>631.25263281623893</c:v>
                </c:pt>
                <c:pt idx="112">
                  <c:v>631.25263281623893</c:v>
                </c:pt>
                <c:pt idx="113">
                  <c:v>631.25263281623893</c:v>
                </c:pt>
                <c:pt idx="114">
                  <c:v>631.25263281623893</c:v>
                </c:pt>
                <c:pt idx="115">
                  <c:v>631.25263281623893</c:v>
                </c:pt>
                <c:pt idx="116">
                  <c:v>631.25263281623893</c:v>
                </c:pt>
                <c:pt idx="117">
                  <c:v>631.25263281623893</c:v>
                </c:pt>
                <c:pt idx="118">
                  <c:v>631.25263281623893</c:v>
                </c:pt>
                <c:pt idx="119">
                  <c:v>631.25263281623893</c:v>
                </c:pt>
                <c:pt idx="120">
                  <c:v>631.25263281623893</c:v>
                </c:pt>
                <c:pt idx="121">
                  <c:v>631.25263281623893</c:v>
                </c:pt>
                <c:pt idx="122">
                  <c:v>631.25263281623893</c:v>
                </c:pt>
                <c:pt idx="123">
                  <c:v>631.25263281623893</c:v>
                </c:pt>
                <c:pt idx="124">
                  <c:v>631.25263281623893</c:v>
                </c:pt>
                <c:pt idx="125">
                  <c:v>631.25263281623893</c:v>
                </c:pt>
                <c:pt idx="126">
                  <c:v>631.25263281623893</c:v>
                </c:pt>
                <c:pt idx="127">
                  <c:v>631.25263281623893</c:v>
                </c:pt>
                <c:pt idx="128">
                  <c:v>631.25263281623893</c:v>
                </c:pt>
                <c:pt idx="129">
                  <c:v>631.25263281623893</c:v>
                </c:pt>
                <c:pt idx="130">
                  <c:v>631.25263281623893</c:v>
                </c:pt>
                <c:pt idx="131">
                  <c:v>631.25263281623893</c:v>
                </c:pt>
                <c:pt idx="132">
                  <c:v>631.25263281623893</c:v>
                </c:pt>
                <c:pt idx="133">
                  <c:v>631.25263281623893</c:v>
                </c:pt>
                <c:pt idx="134">
                  <c:v>631.25263281623893</c:v>
                </c:pt>
                <c:pt idx="135">
                  <c:v>631.25263281623893</c:v>
                </c:pt>
                <c:pt idx="136">
                  <c:v>631.25263281623893</c:v>
                </c:pt>
                <c:pt idx="137">
                  <c:v>631.25263281623893</c:v>
                </c:pt>
                <c:pt idx="138">
                  <c:v>631.25263281623893</c:v>
                </c:pt>
                <c:pt idx="139">
                  <c:v>631.25263281623893</c:v>
                </c:pt>
                <c:pt idx="140">
                  <c:v>631.25263281623893</c:v>
                </c:pt>
                <c:pt idx="141">
                  <c:v>631.25263281623893</c:v>
                </c:pt>
                <c:pt idx="142">
                  <c:v>631.25263281623893</c:v>
                </c:pt>
                <c:pt idx="143">
                  <c:v>631.25263281623893</c:v>
                </c:pt>
                <c:pt idx="144">
                  <c:v>631.25263281623893</c:v>
                </c:pt>
                <c:pt idx="145">
                  <c:v>631.25263281623893</c:v>
                </c:pt>
                <c:pt idx="146">
                  <c:v>631.25263281623893</c:v>
                </c:pt>
                <c:pt idx="147">
                  <c:v>631.25263281623893</c:v>
                </c:pt>
                <c:pt idx="148">
                  <c:v>631.25263281623893</c:v>
                </c:pt>
                <c:pt idx="149">
                  <c:v>631.25263281623893</c:v>
                </c:pt>
                <c:pt idx="150">
                  <c:v>631.25263281623893</c:v>
                </c:pt>
                <c:pt idx="151">
                  <c:v>631.25263281623893</c:v>
                </c:pt>
                <c:pt idx="152">
                  <c:v>631.25263281623893</c:v>
                </c:pt>
                <c:pt idx="153">
                  <c:v>631.25263281623893</c:v>
                </c:pt>
                <c:pt idx="154">
                  <c:v>631.25263281623893</c:v>
                </c:pt>
                <c:pt idx="155">
                  <c:v>631.25263281623893</c:v>
                </c:pt>
                <c:pt idx="156">
                  <c:v>631.25263281623893</c:v>
                </c:pt>
                <c:pt idx="157">
                  <c:v>631.25263281623893</c:v>
                </c:pt>
                <c:pt idx="158">
                  <c:v>631.25263281623893</c:v>
                </c:pt>
                <c:pt idx="159">
                  <c:v>631.25263281623893</c:v>
                </c:pt>
                <c:pt idx="160">
                  <c:v>631.25263281623893</c:v>
                </c:pt>
                <c:pt idx="161">
                  <c:v>631.25263281623893</c:v>
                </c:pt>
                <c:pt idx="162">
                  <c:v>631.25263281623893</c:v>
                </c:pt>
                <c:pt idx="163">
                  <c:v>631.25263281623893</c:v>
                </c:pt>
                <c:pt idx="164">
                  <c:v>631.25263281623893</c:v>
                </c:pt>
                <c:pt idx="165">
                  <c:v>631.25263281623893</c:v>
                </c:pt>
                <c:pt idx="166">
                  <c:v>631.25263281623893</c:v>
                </c:pt>
                <c:pt idx="167">
                  <c:v>631.25263281623893</c:v>
                </c:pt>
                <c:pt idx="168">
                  <c:v>631.25263281623893</c:v>
                </c:pt>
                <c:pt idx="169">
                  <c:v>631.25263281623893</c:v>
                </c:pt>
                <c:pt idx="170">
                  <c:v>631.25263281623893</c:v>
                </c:pt>
                <c:pt idx="171">
                  <c:v>631.25263281623893</c:v>
                </c:pt>
                <c:pt idx="172">
                  <c:v>631.25263281623893</c:v>
                </c:pt>
                <c:pt idx="173">
                  <c:v>631.25263281623893</c:v>
                </c:pt>
                <c:pt idx="174">
                  <c:v>631.25263281623893</c:v>
                </c:pt>
                <c:pt idx="175">
                  <c:v>631.25263281623893</c:v>
                </c:pt>
                <c:pt idx="176">
                  <c:v>631.25263281623893</c:v>
                </c:pt>
                <c:pt idx="177">
                  <c:v>631.25263281623893</c:v>
                </c:pt>
                <c:pt idx="178">
                  <c:v>631.25263281623893</c:v>
                </c:pt>
                <c:pt idx="179">
                  <c:v>631.25263281623893</c:v>
                </c:pt>
                <c:pt idx="180">
                  <c:v>631.25263281623893</c:v>
                </c:pt>
                <c:pt idx="181">
                  <c:v>631.25263281623893</c:v>
                </c:pt>
                <c:pt idx="182">
                  <c:v>631.25263281623893</c:v>
                </c:pt>
                <c:pt idx="183">
                  <c:v>631.25263281623893</c:v>
                </c:pt>
                <c:pt idx="184">
                  <c:v>631.25263281623893</c:v>
                </c:pt>
                <c:pt idx="185">
                  <c:v>631.25263281623893</c:v>
                </c:pt>
                <c:pt idx="186">
                  <c:v>631.25263281623893</c:v>
                </c:pt>
                <c:pt idx="187">
                  <c:v>631.25263281623893</c:v>
                </c:pt>
                <c:pt idx="188">
                  <c:v>631.25263281623893</c:v>
                </c:pt>
                <c:pt idx="189">
                  <c:v>631.25263281623893</c:v>
                </c:pt>
                <c:pt idx="190">
                  <c:v>631.25263281623893</c:v>
                </c:pt>
                <c:pt idx="191">
                  <c:v>631.25263281623893</c:v>
                </c:pt>
                <c:pt idx="192">
                  <c:v>631.25263281623893</c:v>
                </c:pt>
                <c:pt idx="193">
                  <c:v>631.25263281623893</c:v>
                </c:pt>
                <c:pt idx="194">
                  <c:v>631.25263281623893</c:v>
                </c:pt>
                <c:pt idx="195">
                  <c:v>631.25263281623893</c:v>
                </c:pt>
                <c:pt idx="196">
                  <c:v>631.25263281623893</c:v>
                </c:pt>
                <c:pt idx="197">
                  <c:v>631.25263281623893</c:v>
                </c:pt>
                <c:pt idx="198">
                  <c:v>631.25263281623893</c:v>
                </c:pt>
                <c:pt idx="199">
                  <c:v>631.25263281623893</c:v>
                </c:pt>
                <c:pt idx="200">
                  <c:v>631.25263281623893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234.7496082755471</c:v>
                </c:pt>
                <c:pt idx="17">
                  <c:v>268.64606128457052</c:v>
                </c:pt>
                <c:pt idx="18">
                  <c:v>302.44614715027416</c:v>
                </c:pt>
                <c:pt idx="19">
                  <c:v>336.16214403365615</c:v>
                </c:pt>
                <c:pt idx="20">
                  <c:v>369.80366387000646</c:v>
                </c:pt>
                <c:pt idx="21">
                  <c:v>356.4508794308851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469.87771773906962</c:v>
                </c:pt>
                <c:pt idx="25">
                  <c:v>507.54847471808063</c:v>
                </c:pt>
                <c:pt idx="26">
                  <c:v>475.56786051841215</c:v>
                </c:pt>
                <c:pt idx="27">
                  <c:v>514.64938862406325</c:v>
                </c:pt>
                <c:pt idx="28">
                  <c:v>553.66829141515586</c:v>
                </c:pt>
                <c:pt idx="29">
                  <c:v>592.62959437384313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885.11601908790863</c:v>
                </c:pt>
                <c:pt idx="67">
                  <c:v>885.11601908790863</c:v>
                </c:pt>
                <c:pt idx="68">
                  <c:v>885.11601908790863</c:v>
                </c:pt>
                <c:pt idx="69">
                  <c:v>885.11601908790863</c:v>
                </c:pt>
                <c:pt idx="70">
                  <c:v>885.11601908790863</c:v>
                </c:pt>
                <c:pt idx="71">
                  <c:v>885.11601908790863</c:v>
                </c:pt>
                <c:pt idx="72">
                  <c:v>885.11601908790863</c:v>
                </c:pt>
                <c:pt idx="73">
                  <c:v>885.11601908790863</c:v>
                </c:pt>
                <c:pt idx="74">
                  <c:v>885.11601908790863</c:v>
                </c:pt>
                <c:pt idx="75">
                  <c:v>885.11601908790863</c:v>
                </c:pt>
                <c:pt idx="76">
                  <c:v>885.11601908790863</c:v>
                </c:pt>
                <c:pt idx="77">
                  <c:v>885.11601908790863</c:v>
                </c:pt>
                <c:pt idx="78">
                  <c:v>885.11601908790863</c:v>
                </c:pt>
                <c:pt idx="79">
                  <c:v>885.11601908790863</c:v>
                </c:pt>
                <c:pt idx="80">
                  <c:v>885.11601908790863</c:v>
                </c:pt>
                <c:pt idx="81">
                  <c:v>885.11601908790863</c:v>
                </c:pt>
                <c:pt idx="82">
                  <c:v>885.11601908790863</c:v>
                </c:pt>
                <c:pt idx="83">
                  <c:v>885.11601908790863</c:v>
                </c:pt>
                <c:pt idx="84">
                  <c:v>885.11601908790863</c:v>
                </c:pt>
                <c:pt idx="85">
                  <c:v>885.11601908790863</c:v>
                </c:pt>
                <c:pt idx="86">
                  <c:v>885.11601908790863</c:v>
                </c:pt>
                <c:pt idx="87">
                  <c:v>885.11601908790863</c:v>
                </c:pt>
                <c:pt idx="88">
                  <c:v>885.11601908790863</c:v>
                </c:pt>
                <c:pt idx="89">
                  <c:v>885.11601908790863</c:v>
                </c:pt>
                <c:pt idx="90">
                  <c:v>885.11601908790863</c:v>
                </c:pt>
                <c:pt idx="91">
                  <c:v>885.11601908790863</c:v>
                </c:pt>
                <c:pt idx="92">
                  <c:v>885.11601908790863</c:v>
                </c:pt>
                <c:pt idx="93">
                  <c:v>885.11601908790863</c:v>
                </c:pt>
                <c:pt idx="94">
                  <c:v>885.11601908790863</c:v>
                </c:pt>
                <c:pt idx="95">
                  <c:v>885.11601908790863</c:v>
                </c:pt>
                <c:pt idx="96">
                  <c:v>885.11601908790863</c:v>
                </c:pt>
                <c:pt idx="97">
                  <c:v>885.11601908790863</c:v>
                </c:pt>
                <c:pt idx="98">
                  <c:v>885.11601908790863</c:v>
                </c:pt>
                <c:pt idx="99">
                  <c:v>885.11601908790863</c:v>
                </c:pt>
                <c:pt idx="100">
                  <c:v>885.11601908790863</c:v>
                </c:pt>
                <c:pt idx="101">
                  <c:v>885.11601908790863</c:v>
                </c:pt>
                <c:pt idx="102">
                  <c:v>885.11601908790863</c:v>
                </c:pt>
                <c:pt idx="103">
                  <c:v>885.11601908790863</c:v>
                </c:pt>
                <c:pt idx="104">
                  <c:v>885.11601908790863</c:v>
                </c:pt>
                <c:pt idx="105">
                  <c:v>885.11601908790863</c:v>
                </c:pt>
                <c:pt idx="106">
                  <c:v>885.11601908790863</c:v>
                </c:pt>
                <c:pt idx="107">
                  <c:v>885.11601908790863</c:v>
                </c:pt>
                <c:pt idx="108">
                  <c:v>885.11601908790863</c:v>
                </c:pt>
                <c:pt idx="109">
                  <c:v>885.11601908790863</c:v>
                </c:pt>
                <c:pt idx="110">
                  <c:v>885.11601908790863</c:v>
                </c:pt>
                <c:pt idx="111">
                  <c:v>885.11601908790863</c:v>
                </c:pt>
                <c:pt idx="112">
                  <c:v>885.11601908790863</c:v>
                </c:pt>
                <c:pt idx="113">
                  <c:v>885.11601908790863</c:v>
                </c:pt>
                <c:pt idx="114">
                  <c:v>885.11601908790863</c:v>
                </c:pt>
                <c:pt idx="115">
                  <c:v>885.11601908790863</c:v>
                </c:pt>
                <c:pt idx="116">
                  <c:v>885.11601908790863</c:v>
                </c:pt>
                <c:pt idx="117">
                  <c:v>885.11601908790863</c:v>
                </c:pt>
                <c:pt idx="118">
                  <c:v>885.11601908790863</c:v>
                </c:pt>
                <c:pt idx="119">
                  <c:v>885.11601908790863</c:v>
                </c:pt>
                <c:pt idx="120">
                  <c:v>885.11601908790863</c:v>
                </c:pt>
                <c:pt idx="121">
                  <c:v>885.11601908790863</c:v>
                </c:pt>
                <c:pt idx="122">
                  <c:v>885.11601908790863</c:v>
                </c:pt>
                <c:pt idx="123">
                  <c:v>885.11601908790863</c:v>
                </c:pt>
                <c:pt idx="124">
                  <c:v>885.11601908790863</c:v>
                </c:pt>
                <c:pt idx="125">
                  <c:v>885.11601908790863</c:v>
                </c:pt>
                <c:pt idx="126">
                  <c:v>885.11601908790863</c:v>
                </c:pt>
                <c:pt idx="127">
                  <c:v>885.11601908790863</c:v>
                </c:pt>
                <c:pt idx="128">
                  <c:v>885.11601908790863</c:v>
                </c:pt>
                <c:pt idx="129">
                  <c:v>885.11601908790863</c:v>
                </c:pt>
                <c:pt idx="130">
                  <c:v>885.11601908790863</c:v>
                </c:pt>
                <c:pt idx="131">
                  <c:v>885.11601908790863</c:v>
                </c:pt>
                <c:pt idx="132">
                  <c:v>885.11601908790863</c:v>
                </c:pt>
                <c:pt idx="133">
                  <c:v>885.11601908790863</c:v>
                </c:pt>
                <c:pt idx="134">
                  <c:v>885.11601908790863</c:v>
                </c:pt>
                <c:pt idx="135">
                  <c:v>885.11601908790863</c:v>
                </c:pt>
                <c:pt idx="136">
                  <c:v>885.11601908790863</c:v>
                </c:pt>
                <c:pt idx="137">
                  <c:v>885.11601908790863</c:v>
                </c:pt>
                <c:pt idx="138">
                  <c:v>885.11601908790863</c:v>
                </c:pt>
                <c:pt idx="139">
                  <c:v>885.11601908790863</c:v>
                </c:pt>
                <c:pt idx="140">
                  <c:v>885.11601908790863</c:v>
                </c:pt>
                <c:pt idx="141">
                  <c:v>885.11601908790863</c:v>
                </c:pt>
                <c:pt idx="142">
                  <c:v>885.11601908790863</c:v>
                </c:pt>
                <c:pt idx="143">
                  <c:v>885.11601908790863</c:v>
                </c:pt>
                <c:pt idx="144">
                  <c:v>885.11601908790863</c:v>
                </c:pt>
                <c:pt idx="145">
                  <c:v>885.11601908790863</c:v>
                </c:pt>
                <c:pt idx="146">
                  <c:v>885.11601908790863</c:v>
                </c:pt>
                <c:pt idx="147">
                  <c:v>885.11601908790863</c:v>
                </c:pt>
                <c:pt idx="148">
                  <c:v>885.11601908790863</c:v>
                </c:pt>
                <c:pt idx="149">
                  <c:v>885.11601908790863</c:v>
                </c:pt>
                <c:pt idx="150">
                  <c:v>885.11601908790863</c:v>
                </c:pt>
                <c:pt idx="151">
                  <c:v>885.11601908790863</c:v>
                </c:pt>
                <c:pt idx="152">
                  <c:v>885.11601908790863</c:v>
                </c:pt>
                <c:pt idx="153">
                  <c:v>885.11601908790863</c:v>
                </c:pt>
                <c:pt idx="154">
                  <c:v>885.11601908790863</c:v>
                </c:pt>
                <c:pt idx="155">
                  <c:v>885.11601908790863</c:v>
                </c:pt>
                <c:pt idx="156">
                  <c:v>885.11601908790863</c:v>
                </c:pt>
                <c:pt idx="157">
                  <c:v>885.11601908790863</c:v>
                </c:pt>
                <c:pt idx="158">
                  <c:v>885.11601908790863</c:v>
                </c:pt>
                <c:pt idx="159">
                  <c:v>885.11601908790863</c:v>
                </c:pt>
                <c:pt idx="160">
                  <c:v>885.11601908790863</c:v>
                </c:pt>
                <c:pt idx="161">
                  <c:v>885.11601908790863</c:v>
                </c:pt>
                <c:pt idx="162">
                  <c:v>885.11601908790863</c:v>
                </c:pt>
                <c:pt idx="163">
                  <c:v>885.11601908790863</c:v>
                </c:pt>
                <c:pt idx="164">
                  <c:v>885.11601908790863</c:v>
                </c:pt>
                <c:pt idx="165">
                  <c:v>885.11601908790863</c:v>
                </c:pt>
                <c:pt idx="166">
                  <c:v>885.11601908790863</c:v>
                </c:pt>
                <c:pt idx="167">
                  <c:v>885.11601908790863</c:v>
                </c:pt>
                <c:pt idx="168">
                  <c:v>885.11601908790863</c:v>
                </c:pt>
                <c:pt idx="169">
                  <c:v>885.11601908790863</c:v>
                </c:pt>
                <c:pt idx="170">
                  <c:v>885.11601908790863</c:v>
                </c:pt>
                <c:pt idx="171">
                  <c:v>885.11601908790863</c:v>
                </c:pt>
                <c:pt idx="172">
                  <c:v>885.11601908790863</c:v>
                </c:pt>
                <c:pt idx="173">
                  <c:v>885.11601908790863</c:v>
                </c:pt>
                <c:pt idx="174">
                  <c:v>885.11601908790863</c:v>
                </c:pt>
                <c:pt idx="175">
                  <c:v>885.11601908790863</c:v>
                </c:pt>
                <c:pt idx="176">
                  <c:v>885.11601908790863</c:v>
                </c:pt>
                <c:pt idx="177">
                  <c:v>885.11601908790863</c:v>
                </c:pt>
                <c:pt idx="178">
                  <c:v>885.11601908790863</c:v>
                </c:pt>
                <c:pt idx="179">
                  <c:v>885.11601908790863</c:v>
                </c:pt>
                <c:pt idx="180">
                  <c:v>885.11601908790863</c:v>
                </c:pt>
                <c:pt idx="181">
                  <c:v>885.11601908790863</c:v>
                </c:pt>
                <c:pt idx="182">
                  <c:v>885.11601908790863</c:v>
                </c:pt>
                <c:pt idx="183">
                  <c:v>885.11601908790863</c:v>
                </c:pt>
                <c:pt idx="184">
                  <c:v>885.11601908790863</c:v>
                </c:pt>
                <c:pt idx="185">
                  <c:v>885.11601908790863</c:v>
                </c:pt>
                <c:pt idx="186">
                  <c:v>885.11601908790863</c:v>
                </c:pt>
                <c:pt idx="187">
                  <c:v>885.11601908790863</c:v>
                </c:pt>
                <c:pt idx="188">
                  <c:v>885.11601908790863</c:v>
                </c:pt>
                <c:pt idx="189">
                  <c:v>885.11601908790863</c:v>
                </c:pt>
                <c:pt idx="190">
                  <c:v>885.11601908790863</c:v>
                </c:pt>
                <c:pt idx="191">
                  <c:v>885.11601908790863</c:v>
                </c:pt>
                <c:pt idx="192">
                  <c:v>885.11601908790863</c:v>
                </c:pt>
                <c:pt idx="193">
                  <c:v>885.11601908790863</c:v>
                </c:pt>
                <c:pt idx="194">
                  <c:v>885.11601908790863</c:v>
                </c:pt>
                <c:pt idx="195">
                  <c:v>885.11601908790863</c:v>
                </c:pt>
                <c:pt idx="196">
                  <c:v>885.11601908790863</c:v>
                </c:pt>
                <c:pt idx="197">
                  <c:v>885.11601908790863</c:v>
                </c:pt>
                <c:pt idx="198">
                  <c:v>885.11601908790863</c:v>
                </c:pt>
                <c:pt idx="199">
                  <c:v>885.11601908790863</c:v>
                </c:pt>
                <c:pt idx="200">
                  <c:v>885.11601908790863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2.2484083617422774</c:v>
                </c:pt>
                <c:pt idx="2">
                  <c:v>2.9858086378882205</c:v>
                </c:pt>
                <c:pt idx="3">
                  <c:v>3.966049385322425</c:v>
                </c:pt>
                <c:pt idx="4">
                  <c:v>5.2694125595905703</c:v>
                </c:pt>
                <c:pt idx="5">
                  <c:v>7.0028166718675555</c:v>
                </c:pt>
                <c:pt idx="6">
                  <c:v>9.308683920204837</c:v>
                </c:pt>
                <c:pt idx="7">
                  <c:v>12.376768160861985</c:v>
                </c:pt>
                <c:pt idx="8">
                  <c:v>16.45993513943974</c:v>
                </c:pt>
                <c:pt idx="9">
                  <c:v>21.895219213522427</c:v>
                </c:pt>
                <c:pt idx="10">
                  <c:v>29.131925588483782</c:v>
                </c:pt>
                <c:pt idx="11">
                  <c:v>40.38408275654303</c:v>
                </c:pt>
                <c:pt idx="12">
                  <c:v>61.778431447211325</c:v>
                </c:pt>
                <c:pt idx="13">
                  <c:v>82.977111558343836</c:v>
                </c:pt>
                <c:pt idx="14">
                  <c:v>104.03799845051206</c:v>
                </c:pt>
                <c:pt idx="15">
                  <c:v>124.99313535308771</c:v>
                </c:pt>
                <c:pt idx="16">
                  <c:v>87.603616131814988</c:v>
                </c:pt>
                <c:pt idx="17">
                  <c:v>110.65058636488233</c:v>
                </c:pt>
                <c:pt idx="18">
                  <c:v>133.57915795884722</c:v>
                </c:pt>
                <c:pt idx="19">
                  <c:v>156.41260103328369</c:v>
                </c:pt>
                <c:pt idx="20">
                  <c:v>179.16678741707778</c:v>
                </c:pt>
                <c:pt idx="21">
                  <c:v>143.2939477623888</c:v>
                </c:pt>
                <c:pt idx="22">
                  <c:v>167.22993767644604</c:v>
                </c:pt>
                <c:pt idx="23">
                  <c:v>191.08500506258926</c:v>
                </c:pt>
                <c:pt idx="24">
                  <c:v>214.87068229433348</c:v>
                </c:pt>
                <c:pt idx="25">
                  <c:v>238.59573324490532</c:v>
                </c:pt>
                <c:pt idx="26">
                  <c:v>202.41958191649721</c:v>
                </c:pt>
                <c:pt idx="27">
                  <c:v>225.61050422909818</c:v>
                </c:pt>
                <c:pt idx="28">
                  <c:v>248.7468092558544</c:v>
                </c:pt>
                <c:pt idx="29">
                  <c:v>271.83429043682327</c:v>
                </c:pt>
                <c:pt idx="30">
                  <c:v>294.87767605242163</c:v>
                </c:pt>
                <c:pt idx="31">
                  <c:v>257.19884285520715</c:v>
                </c:pt>
                <c:pt idx="32">
                  <c:v>278.58307172178723</c:v>
                </c:pt>
                <c:pt idx="33">
                  <c:v>299.93048004385565</c:v>
                </c:pt>
                <c:pt idx="34">
                  <c:v>321.24405593004218</c:v>
                </c:pt>
                <c:pt idx="35">
                  <c:v>342.52635862596304</c:v>
                </c:pt>
                <c:pt idx="36">
                  <c:v>302.17555997473158</c:v>
                </c:pt>
                <c:pt idx="37">
                  <c:v>320.6835834239742</c:v>
                </c:pt>
                <c:pt idx="38">
                  <c:v>339.16798011936345</c:v>
                </c:pt>
                <c:pt idx="39">
                  <c:v>357.63021843517191</c:v>
                </c:pt>
                <c:pt idx="40">
                  <c:v>376.07160279648701</c:v>
                </c:pt>
                <c:pt idx="41">
                  <c:v>336.08882358493884</c:v>
                </c:pt>
                <c:pt idx="42">
                  <c:v>352.0378599039052</c:v>
                </c:pt>
                <c:pt idx="43">
                  <c:v>367.97106108239922</c:v>
                </c:pt>
                <c:pt idx="44">
                  <c:v>383.88920919164838</c:v>
                </c:pt>
                <c:pt idx="45">
                  <c:v>399.79301616201747</c:v>
                </c:pt>
                <c:pt idx="46">
                  <c:v>377.18861860717419</c:v>
                </c:pt>
                <c:pt idx="47">
                  <c:v>390.86628899650509</c:v>
                </c:pt>
                <c:pt idx="48">
                  <c:v>404.5335783841735</c:v>
                </c:pt>
                <c:pt idx="49">
                  <c:v>418.19088688764913</c:v>
                </c:pt>
                <c:pt idx="50">
                  <c:v>431.83858635941419</c:v>
                </c:pt>
                <c:pt idx="51">
                  <c:v>414.28979501974959</c:v>
                </c:pt>
                <c:pt idx="52">
                  <c:v>425.99072614453195</c:v>
                </c:pt>
                <c:pt idx="53">
                  <c:v>437.68474556682253</c:v>
                </c:pt>
                <c:pt idx="54">
                  <c:v>449.37206399490151</c:v>
                </c:pt>
                <c:pt idx="55">
                  <c:v>461.05288028198453</c:v>
                </c:pt>
                <c:pt idx="56">
                  <c:v>446.31173599617085</c:v>
                </c:pt>
                <c:pt idx="57">
                  <c:v>456.60380000846493</c:v>
                </c:pt>
                <c:pt idx="58">
                  <c:v>466.89090926022874</c:v>
                </c:pt>
                <c:pt idx="59">
                  <c:v>477.17318832913844</c:v>
                </c:pt>
                <c:pt idx="60">
                  <c:v>487.45075598527472</c:v>
                </c:pt>
                <c:pt idx="61">
                  <c:v>472.17159422788382</c:v>
                </c:pt>
                <c:pt idx="62">
                  <c:v>480.5069641508781</c:v>
                </c:pt>
                <c:pt idx="63">
                  <c:v>488.83926137072262</c:v>
                </c:pt>
                <c:pt idx="64">
                  <c:v>497.16854566479316</c:v>
                </c:pt>
                <c:pt idx="65">
                  <c:v>505.4948746435191</c:v>
                </c:pt>
                <c:pt idx="66">
                  <c:v>490.50535738960554</c:v>
                </c:pt>
                <c:pt idx="67">
                  <c:v>497.72372558122476</c:v>
                </c:pt>
                <c:pt idx="68">
                  <c:v>504.93987686355644</c:v>
                </c:pt>
                <c:pt idx="69">
                  <c:v>512.15384740014088</c:v>
                </c:pt>
                <c:pt idx="70">
                  <c:v>519.36567225225326</c:v>
                </c:pt>
                <c:pt idx="71">
                  <c:v>505.21737736543542</c:v>
                </c:pt>
                <c:pt idx="72">
                  <c:v>511.87642689205774</c:v>
                </c:pt>
                <c:pt idx="73">
                  <c:v>518.53364702206557</c:v>
                </c:pt>
                <c:pt idx="74">
                  <c:v>525.18906456525599</c:v>
                </c:pt>
                <c:pt idx="75">
                  <c:v>531.84270559622837</c:v>
                </c:pt>
                <c:pt idx="76">
                  <c:v>517.97894789153088</c:v>
                </c:pt>
                <c:pt idx="77">
                  <c:v>523.52537773373467</c:v>
                </c:pt>
                <c:pt idx="78">
                  <c:v>529.07056941939629</c:v>
                </c:pt>
                <c:pt idx="79">
                  <c:v>534.61453776319513</c:v>
                </c:pt>
                <c:pt idx="80">
                  <c:v>540.15729724733058</c:v>
                </c:pt>
                <c:pt idx="81">
                  <c:v>522.13888693652348</c:v>
                </c:pt>
                <c:pt idx="82">
                  <c:v>522.13888693652348</c:v>
                </c:pt>
                <c:pt idx="83">
                  <c:v>522.13888693652348</c:v>
                </c:pt>
                <c:pt idx="84">
                  <c:v>522.13888693652348</c:v>
                </c:pt>
                <c:pt idx="85">
                  <c:v>522.13888693652348</c:v>
                </c:pt>
                <c:pt idx="86">
                  <c:v>522.13888693652348</c:v>
                </c:pt>
                <c:pt idx="87">
                  <c:v>522.13888693652348</c:v>
                </c:pt>
                <c:pt idx="88">
                  <c:v>522.13888693652348</c:v>
                </c:pt>
                <c:pt idx="89">
                  <c:v>522.13888693652348</c:v>
                </c:pt>
                <c:pt idx="90">
                  <c:v>522.13888693652348</c:v>
                </c:pt>
                <c:pt idx="91">
                  <c:v>522.13888693652348</c:v>
                </c:pt>
                <c:pt idx="92">
                  <c:v>522.13888693652348</c:v>
                </c:pt>
                <c:pt idx="93">
                  <c:v>522.13888693652348</c:v>
                </c:pt>
                <c:pt idx="94">
                  <c:v>522.13888693652348</c:v>
                </c:pt>
                <c:pt idx="95">
                  <c:v>522.13888693652348</c:v>
                </c:pt>
                <c:pt idx="96">
                  <c:v>522.13888693652348</c:v>
                </c:pt>
                <c:pt idx="97">
                  <c:v>522.13888693652348</c:v>
                </c:pt>
                <c:pt idx="98">
                  <c:v>522.13888693652348</c:v>
                </c:pt>
                <c:pt idx="99">
                  <c:v>522.13888693652348</c:v>
                </c:pt>
                <c:pt idx="100">
                  <c:v>522.13888693652348</c:v>
                </c:pt>
                <c:pt idx="101">
                  <c:v>522.13888693652348</c:v>
                </c:pt>
                <c:pt idx="102">
                  <c:v>522.13888693652348</c:v>
                </c:pt>
                <c:pt idx="103">
                  <c:v>522.13888693652348</c:v>
                </c:pt>
                <c:pt idx="104">
                  <c:v>522.13888693652348</c:v>
                </c:pt>
                <c:pt idx="105">
                  <c:v>522.13888693652348</c:v>
                </c:pt>
                <c:pt idx="106">
                  <c:v>522.13888693652348</c:v>
                </c:pt>
                <c:pt idx="107">
                  <c:v>522.13888693652348</c:v>
                </c:pt>
                <c:pt idx="108">
                  <c:v>522.13888693652348</c:v>
                </c:pt>
                <c:pt idx="109">
                  <c:v>522.13888693652348</c:v>
                </c:pt>
                <c:pt idx="110">
                  <c:v>522.13888693652348</c:v>
                </c:pt>
                <c:pt idx="111">
                  <c:v>522.13888693652348</c:v>
                </c:pt>
                <c:pt idx="112">
                  <c:v>522.13888693652348</c:v>
                </c:pt>
                <c:pt idx="113">
                  <c:v>522.13888693652348</c:v>
                </c:pt>
                <c:pt idx="114">
                  <c:v>522.13888693652348</c:v>
                </c:pt>
                <c:pt idx="115">
                  <c:v>522.13888693652348</c:v>
                </c:pt>
                <c:pt idx="116">
                  <c:v>522.13888693652348</c:v>
                </c:pt>
                <c:pt idx="117">
                  <c:v>522.13888693652348</c:v>
                </c:pt>
                <c:pt idx="118">
                  <c:v>522.13888693652348</c:v>
                </c:pt>
                <c:pt idx="119">
                  <c:v>522.13888693652348</c:v>
                </c:pt>
                <c:pt idx="120">
                  <c:v>522.13888693652348</c:v>
                </c:pt>
                <c:pt idx="121">
                  <c:v>522.13888693652348</c:v>
                </c:pt>
                <c:pt idx="122">
                  <c:v>522.13888693652348</c:v>
                </c:pt>
                <c:pt idx="123">
                  <c:v>522.13888693652348</c:v>
                </c:pt>
                <c:pt idx="124">
                  <c:v>522.13888693652348</c:v>
                </c:pt>
                <c:pt idx="125">
                  <c:v>522.13888693652348</c:v>
                </c:pt>
                <c:pt idx="126">
                  <c:v>522.13888693652348</c:v>
                </c:pt>
                <c:pt idx="127">
                  <c:v>522.13888693652348</c:v>
                </c:pt>
                <c:pt idx="128">
                  <c:v>522.13888693652348</c:v>
                </c:pt>
                <c:pt idx="129">
                  <c:v>522.13888693652348</c:v>
                </c:pt>
                <c:pt idx="130">
                  <c:v>522.13888693652348</c:v>
                </c:pt>
                <c:pt idx="131">
                  <c:v>522.13888693652348</c:v>
                </c:pt>
                <c:pt idx="132">
                  <c:v>522.13888693652348</c:v>
                </c:pt>
                <c:pt idx="133">
                  <c:v>522.13888693652348</c:v>
                </c:pt>
                <c:pt idx="134">
                  <c:v>522.13888693652348</c:v>
                </c:pt>
                <c:pt idx="135">
                  <c:v>522.13888693652348</c:v>
                </c:pt>
                <c:pt idx="136">
                  <c:v>522.13888693652348</c:v>
                </c:pt>
                <c:pt idx="137">
                  <c:v>522.13888693652348</c:v>
                </c:pt>
                <c:pt idx="138">
                  <c:v>522.13888693652348</c:v>
                </c:pt>
                <c:pt idx="139">
                  <c:v>522.13888693652348</c:v>
                </c:pt>
                <c:pt idx="140">
                  <c:v>522.13888693652348</c:v>
                </c:pt>
                <c:pt idx="141">
                  <c:v>522.13888693652348</c:v>
                </c:pt>
                <c:pt idx="142">
                  <c:v>522.13888693652348</c:v>
                </c:pt>
                <c:pt idx="143">
                  <c:v>522.13888693652348</c:v>
                </c:pt>
                <c:pt idx="144">
                  <c:v>522.13888693652348</c:v>
                </c:pt>
                <c:pt idx="145">
                  <c:v>522.13888693652348</c:v>
                </c:pt>
                <c:pt idx="146">
                  <c:v>522.13888693652348</c:v>
                </c:pt>
                <c:pt idx="147">
                  <c:v>522.13888693652348</c:v>
                </c:pt>
                <c:pt idx="148">
                  <c:v>522.13888693652348</c:v>
                </c:pt>
                <c:pt idx="149">
                  <c:v>522.13888693652348</c:v>
                </c:pt>
                <c:pt idx="150">
                  <c:v>522.13888693652348</c:v>
                </c:pt>
                <c:pt idx="151">
                  <c:v>522.13888693652348</c:v>
                </c:pt>
                <c:pt idx="152">
                  <c:v>522.13888693652348</c:v>
                </c:pt>
                <c:pt idx="153">
                  <c:v>522.13888693652348</c:v>
                </c:pt>
                <c:pt idx="154">
                  <c:v>522.13888693652348</c:v>
                </c:pt>
                <c:pt idx="155">
                  <c:v>522.13888693652348</c:v>
                </c:pt>
                <c:pt idx="156">
                  <c:v>522.13888693652348</c:v>
                </c:pt>
                <c:pt idx="157">
                  <c:v>522.13888693652348</c:v>
                </c:pt>
                <c:pt idx="158">
                  <c:v>522.13888693652348</c:v>
                </c:pt>
                <c:pt idx="159">
                  <c:v>522.13888693652348</c:v>
                </c:pt>
                <c:pt idx="160">
                  <c:v>522.13888693652348</c:v>
                </c:pt>
                <c:pt idx="161">
                  <c:v>522.13888693652348</c:v>
                </c:pt>
                <c:pt idx="162">
                  <c:v>522.13888693652348</c:v>
                </c:pt>
                <c:pt idx="163">
                  <c:v>522.13888693652348</c:v>
                </c:pt>
                <c:pt idx="164">
                  <c:v>522.13888693652348</c:v>
                </c:pt>
                <c:pt idx="165">
                  <c:v>522.13888693652348</c:v>
                </c:pt>
                <c:pt idx="166">
                  <c:v>522.13888693652348</c:v>
                </c:pt>
                <c:pt idx="167">
                  <c:v>522.13888693652348</c:v>
                </c:pt>
                <c:pt idx="168">
                  <c:v>522.13888693652348</c:v>
                </c:pt>
                <c:pt idx="169">
                  <c:v>522.13888693652348</c:v>
                </c:pt>
                <c:pt idx="170">
                  <c:v>522.13888693652348</c:v>
                </c:pt>
                <c:pt idx="171">
                  <c:v>522.13888693652348</c:v>
                </c:pt>
                <c:pt idx="172">
                  <c:v>522.13888693652348</c:v>
                </c:pt>
                <c:pt idx="173">
                  <c:v>522.13888693652348</c:v>
                </c:pt>
                <c:pt idx="174">
                  <c:v>522.13888693652348</c:v>
                </c:pt>
                <c:pt idx="175">
                  <c:v>522.13888693652348</c:v>
                </c:pt>
                <c:pt idx="176">
                  <c:v>522.13888693652348</c:v>
                </c:pt>
                <c:pt idx="177">
                  <c:v>522.13888693652348</c:v>
                </c:pt>
                <c:pt idx="178">
                  <c:v>522.13888693652348</c:v>
                </c:pt>
                <c:pt idx="179">
                  <c:v>522.13888693652348</c:v>
                </c:pt>
                <c:pt idx="180">
                  <c:v>522.13888693652348</c:v>
                </c:pt>
                <c:pt idx="181">
                  <c:v>522.13888693652348</c:v>
                </c:pt>
                <c:pt idx="182">
                  <c:v>522.13888693652348</c:v>
                </c:pt>
                <c:pt idx="183">
                  <c:v>522.13888693652348</c:v>
                </c:pt>
                <c:pt idx="184">
                  <c:v>522.13888693652348</c:v>
                </c:pt>
                <c:pt idx="185">
                  <c:v>522.13888693652348</c:v>
                </c:pt>
                <c:pt idx="186">
                  <c:v>522.13888693652348</c:v>
                </c:pt>
                <c:pt idx="187">
                  <c:v>522.13888693652348</c:v>
                </c:pt>
                <c:pt idx="188">
                  <c:v>522.13888693652348</c:v>
                </c:pt>
                <c:pt idx="189">
                  <c:v>522.13888693652348</c:v>
                </c:pt>
                <c:pt idx="190">
                  <c:v>522.13888693652348</c:v>
                </c:pt>
                <c:pt idx="191">
                  <c:v>522.13888693652348</c:v>
                </c:pt>
                <c:pt idx="192">
                  <c:v>522.13888693652348</c:v>
                </c:pt>
                <c:pt idx="193">
                  <c:v>522.13888693652348</c:v>
                </c:pt>
                <c:pt idx="194">
                  <c:v>522.13888693652348</c:v>
                </c:pt>
                <c:pt idx="195">
                  <c:v>522.13888693652348</c:v>
                </c:pt>
                <c:pt idx="196">
                  <c:v>522.13888693652348</c:v>
                </c:pt>
                <c:pt idx="197">
                  <c:v>522.13888693652348</c:v>
                </c:pt>
                <c:pt idx="198">
                  <c:v>522.13888693652348</c:v>
                </c:pt>
                <c:pt idx="199">
                  <c:v>522.13888693652348</c:v>
                </c:pt>
                <c:pt idx="200">
                  <c:v>522.13888693652348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599.60338857466706</c:v>
                </c:pt>
                <c:pt idx="117">
                  <c:v>599.60338857466706</c:v>
                </c:pt>
                <c:pt idx="118">
                  <c:v>599.60338857466706</c:v>
                </c:pt>
                <c:pt idx="119">
                  <c:v>599.60338857466706</c:v>
                </c:pt>
                <c:pt idx="120">
                  <c:v>599.60338857466706</c:v>
                </c:pt>
                <c:pt idx="121">
                  <c:v>599.60338857466706</c:v>
                </c:pt>
                <c:pt idx="122">
                  <c:v>599.60338857466706</c:v>
                </c:pt>
                <c:pt idx="123">
                  <c:v>599.60338857466706</c:v>
                </c:pt>
                <c:pt idx="124">
                  <c:v>599.60338857466706</c:v>
                </c:pt>
                <c:pt idx="125">
                  <c:v>599.60338857466706</c:v>
                </c:pt>
                <c:pt idx="126">
                  <c:v>599.60338857466706</c:v>
                </c:pt>
                <c:pt idx="127">
                  <c:v>599.60338857466706</c:v>
                </c:pt>
                <c:pt idx="128">
                  <c:v>599.60338857466706</c:v>
                </c:pt>
                <c:pt idx="129">
                  <c:v>599.60338857466706</c:v>
                </c:pt>
                <c:pt idx="130">
                  <c:v>599.60338857466706</c:v>
                </c:pt>
                <c:pt idx="131">
                  <c:v>599.60338857466706</c:v>
                </c:pt>
                <c:pt idx="132">
                  <c:v>599.60338857466706</c:v>
                </c:pt>
                <c:pt idx="133">
                  <c:v>599.60338857466706</c:v>
                </c:pt>
                <c:pt idx="134">
                  <c:v>599.60338857466706</c:v>
                </c:pt>
                <c:pt idx="135">
                  <c:v>599.60338857466706</c:v>
                </c:pt>
                <c:pt idx="136">
                  <c:v>599.60338857466706</c:v>
                </c:pt>
                <c:pt idx="137">
                  <c:v>599.60338857466706</c:v>
                </c:pt>
                <c:pt idx="138">
                  <c:v>599.60338857466706</c:v>
                </c:pt>
                <c:pt idx="139">
                  <c:v>599.60338857466706</c:v>
                </c:pt>
                <c:pt idx="140">
                  <c:v>599.60338857466706</c:v>
                </c:pt>
                <c:pt idx="141">
                  <c:v>599.60338857466706</c:v>
                </c:pt>
                <c:pt idx="142">
                  <c:v>599.60338857466706</c:v>
                </c:pt>
                <c:pt idx="143">
                  <c:v>599.60338857466706</c:v>
                </c:pt>
                <c:pt idx="144">
                  <c:v>599.60338857466706</c:v>
                </c:pt>
                <c:pt idx="145">
                  <c:v>599.60338857466706</c:v>
                </c:pt>
                <c:pt idx="146">
                  <c:v>599.60338857466706</c:v>
                </c:pt>
                <c:pt idx="147">
                  <c:v>599.60338857466706</c:v>
                </c:pt>
                <c:pt idx="148">
                  <c:v>599.60338857466706</c:v>
                </c:pt>
                <c:pt idx="149">
                  <c:v>599.60338857466706</c:v>
                </c:pt>
                <c:pt idx="150">
                  <c:v>599.60338857466706</c:v>
                </c:pt>
                <c:pt idx="151">
                  <c:v>599.60338857466706</c:v>
                </c:pt>
                <c:pt idx="152">
                  <c:v>599.60338857466706</c:v>
                </c:pt>
                <c:pt idx="153">
                  <c:v>599.60338857466706</c:v>
                </c:pt>
                <c:pt idx="154">
                  <c:v>599.60338857466706</c:v>
                </c:pt>
                <c:pt idx="155">
                  <c:v>599.60338857466706</c:v>
                </c:pt>
                <c:pt idx="156">
                  <c:v>599.60338857466706</c:v>
                </c:pt>
                <c:pt idx="157">
                  <c:v>599.60338857466706</c:v>
                </c:pt>
                <c:pt idx="158">
                  <c:v>599.60338857466706</c:v>
                </c:pt>
                <c:pt idx="159">
                  <c:v>599.60338857466706</c:v>
                </c:pt>
                <c:pt idx="160">
                  <c:v>599.60338857466706</c:v>
                </c:pt>
                <c:pt idx="161">
                  <c:v>599.60338857466706</c:v>
                </c:pt>
                <c:pt idx="162">
                  <c:v>599.60338857466706</c:v>
                </c:pt>
                <c:pt idx="163">
                  <c:v>599.60338857466706</c:v>
                </c:pt>
                <c:pt idx="164">
                  <c:v>599.60338857466706</c:v>
                </c:pt>
                <c:pt idx="165">
                  <c:v>599.60338857466706</c:v>
                </c:pt>
                <c:pt idx="166">
                  <c:v>599.60338857466706</c:v>
                </c:pt>
                <c:pt idx="167">
                  <c:v>599.60338857466706</c:v>
                </c:pt>
                <c:pt idx="168">
                  <c:v>599.60338857466706</c:v>
                </c:pt>
                <c:pt idx="169">
                  <c:v>599.60338857466706</c:v>
                </c:pt>
                <c:pt idx="170">
                  <c:v>599.60338857466706</c:v>
                </c:pt>
                <c:pt idx="171">
                  <c:v>599.60338857466706</c:v>
                </c:pt>
                <c:pt idx="172">
                  <c:v>599.60338857466706</c:v>
                </c:pt>
                <c:pt idx="173">
                  <c:v>599.60338857466706</c:v>
                </c:pt>
                <c:pt idx="174">
                  <c:v>599.60338857466706</c:v>
                </c:pt>
                <c:pt idx="175">
                  <c:v>599.60338857466706</c:v>
                </c:pt>
                <c:pt idx="176">
                  <c:v>599.60338857466706</c:v>
                </c:pt>
                <c:pt idx="177">
                  <c:v>599.60338857466706</c:v>
                </c:pt>
                <c:pt idx="178">
                  <c:v>599.60338857466706</c:v>
                </c:pt>
                <c:pt idx="179">
                  <c:v>599.60338857466706</c:v>
                </c:pt>
                <c:pt idx="180">
                  <c:v>599.60338857466706</c:v>
                </c:pt>
                <c:pt idx="181">
                  <c:v>599.60338857466706</c:v>
                </c:pt>
                <c:pt idx="182">
                  <c:v>599.60338857466706</c:v>
                </c:pt>
                <c:pt idx="183">
                  <c:v>599.60338857466706</c:v>
                </c:pt>
                <c:pt idx="184">
                  <c:v>599.60338857466706</c:v>
                </c:pt>
                <c:pt idx="185">
                  <c:v>599.60338857466706</c:v>
                </c:pt>
                <c:pt idx="186">
                  <c:v>599.60338857466706</c:v>
                </c:pt>
                <c:pt idx="187">
                  <c:v>599.60338857466706</c:v>
                </c:pt>
                <c:pt idx="188">
                  <c:v>599.60338857466706</c:v>
                </c:pt>
                <c:pt idx="189">
                  <c:v>599.60338857466706</c:v>
                </c:pt>
                <c:pt idx="190">
                  <c:v>599.60338857466706</c:v>
                </c:pt>
                <c:pt idx="191">
                  <c:v>599.60338857466706</c:v>
                </c:pt>
                <c:pt idx="192">
                  <c:v>599.60338857466706</c:v>
                </c:pt>
                <c:pt idx="193">
                  <c:v>599.60338857466706</c:v>
                </c:pt>
                <c:pt idx="194">
                  <c:v>599.60338857466706</c:v>
                </c:pt>
                <c:pt idx="195">
                  <c:v>599.60338857466706</c:v>
                </c:pt>
                <c:pt idx="196">
                  <c:v>599.60338857466706</c:v>
                </c:pt>
                <c:pt idx="197">
                  <c:v>599.60338857466706</c:v>
                </c:pt>
                <c:pt idx="198">
                  <c:v>599.60338857466706</c:v>
                </c:pt>
                <c:pt idx="199">
                  <c:v>599.60338857466706</c:v>
                </c:pt>
                <c:pt idx="200">
                  <c:v>599.60338857466706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139.86706331239944</c:v>
                </c:pt>
                <c:pt idx="22">
                  <c:v>153.07440627470763</c:v>
                </c:pt>
                <c:pt idx="23">
                  <c:v>166.25463305956598</c:v>
                </c:pt>
                <c:pt idx="24">
                  <c:v>179.41019776275084</c:v>
                </c:pt>
                <c:pt idx="25">
                  <c:v>192.54316466070134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194.0010672384883</c:v>
                </c:pt>
                <c:pt idx="32">
                  <c:v>213.65866040016559</c:v>
                </c:pt>
                <c:pt idx="33">
                  <c:v>233.27460027305116</c:v>
                </c:pt>
                <c:pt idx="34">
                  <c:v>252.85288210026226</c:v>
                </c:pt>
                <c:pt idx="35">
                  <c:v>272.39683147829243</c:v>
                </c:pt>
                <c:pt idx="36">
                  <c:v>241.9804968286094</c:v>
                </c:pt>
                <c:pt idx="37">
                  <c:v>262.26703366253628</c:v>
                </c:pt>
                <c:pt idx="38">
                  <c:v>282.51816051208363</c:v>
                </c:pt>
                <c:pt idx="39">
                  <c:v>302.73677181781744</c:v>
                </c:pt>
                <c:pt idx="40">
                  <c:v>322.92534379451826</c:v>
                </c:pt>
                <c:pt idx="41">
                  <c:v>292.99240696074895</c:v>
                </c:pt>
                <c:pt idx="42">
                  <c:v>313.55567069110168</c:v>
                </c:pt>
                <c:pt idx="43">
                  <c:v>334.08903883375007</c:v>
                </c:pt>
                <c:pt idx="44">
                  <c:v>354.59460634776502</c:v>
                </c:pt>
                <c:pt idx="45">
                  <c:v>375.07420618051674</c:v>
                </c:pt>
                <c:pt idx="46">
                  <c:v>344.52504925832596</c:v>
                </c:pt>
                <c:pt idx="47">
                  <c:v>364.29860280650678</c:v>
                </c:pt>
                <c:pt idx="48">
                  <c:v>384.04871588248369</c:v>
                </c:pt>
                <c:pt idx="49">
                  <c:v>403.77676289014676</c:v>
                </c:pt>
                <c:pt idx="50">
                  <c:v>423.48397302905886</c:v>
                </c:pt>
                <c:pt idx="51">
                  <c:v>391.58377731754803</c:v>
                </c:pt>
                <c:pt idx="52">
                  <c:v>409.870253510586</c:v>
                </c:pt>
                <c:pt idx="53">
                  <c:v>428.1391190250547</c:v>
                </c:pt>
                <c:pt idx="54">
                  <c:v>446.39123070522641</c:v>
                </c:pt>
                <c:pt idx="55">
                  <c:v>464.62736964269283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464.2699471814667</c:v>
                </c:pt>
                <c:pt idx="62">
                  <c:v>479.99105490653511</c:v>
                </c:pt>
                <c:pt idx="63">
                  <c:v>495.70122118881324</c:v>
                </c:pt>
                <c:pt idx="64">
                  <c:v>511.40084148822439</c:v>
                </c:pt>
                <c:pt idx="65">
                  <c:v>527.09028501417208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513.89756085284455</c:v>
                </c:pt>
                <c:pt idx="72">
                  <c:v>527.44674775244675</c:v>
                </c:pt>
                <c:pt idx="73">
                  <c:v>540.9886077852442</c:v>
                </c:pt>
                <c:pt idx="74">
                  <c:v>554.52335013925483</c:v>
                </c:pt>
                <c:pt idx="75">
                  <c:v>568.05117296149115</c:v>
                </c:pt>
                <c:pt idx="76">
                  <c:v>531.01109674664542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569.4747595509881</c:v>
                </c:pt>
                <c:pt idx="80">
                  <c:v>582.28371752891621</c:v>
                </c:pt>
                <c:pt idx="81">
                  <c:v>544.55106389111097</c:v>
                </c:pt>
                <c:pt idx="82">
                  <c:v>556.65977724898164</c:v>
                </c:pt>
                <c:pt idx="83">
                  <c:v>568.76297556535803</c:v>
                </c:pt>
                <c:pt idx="84">
                  <c:v>580.86079271099538</c:v>
                </c:pt>
                <c:pt idx="85">
                  <c:v>592.95335652703079</c:v>
                </c:pt>
                <c:pt idx="86">
                  <c:v>554.52335013925483</c:v>
                </c:pt>
                <c:pt idx="87">
                  <c:v>565.91565317360812</c:v>
                </c:pt>
                <c:pt idx="88">
                  <c:v>577.3031621395595</c:v>
                </c:pt>
                <c:pt idx="89">
                  <c:v>588.68598491201885</c:v>
                </c:pt>
                <c:pt idx="90">
                  <c:v>600.06422485487678</c:v>
                </c:pt>
                <c:pt idx="91">
                  <c:v>561.28811451546574</c:v>
                </c:pt>
                <c:pt idx="92">
                  <c:v>572.32170984162212</c:v>
                </c:pt>
                <c:pt idx="93">
                  <c:v>583.35086355242277</c:v>
                </c:pt>
                <c:pt idx="94">
                  <c:v>594.37567144551701</c:v>
                </c:pt>
                <c:pt idx="95">
                  <c:v>605.39622547563874</c:v>
                </c:pt>
                <c:pt idx="96">
                  <c:v>565.55971684392978</c:v>
                </c:pt>
                <c:pt idx="97">
                  <c:v>575.52417545438084</c:v>
                </c:pt>
                <c:pt idx="98">
                  <c:v>585.4850335942682</c:v>
                </c:pt>
                <c:pt idx="99">
                  <c:v>595.44236114883586</c:v>
                </c:pt>
                <c:pt idx="100">
                  <c:v>605.39622547563897</c:v>
                </c:pt>
                <c:pt idx="101">
                  <c:v>566.98343408818027</c:v>
                </c:pt>
                <c:pt idx="102">
                  <c:v>576.59158121605947</c:v>
                </c:pt>
                <c:pt idx="103">
                  <c:v>586.19638755057997</c:v>
                </c:pt>
                <c:pt idx="104">
                  <c:v>595.79791554499843</c:v>
                </c:pt>
                <c:pt idx="105">
                  <c:v>605.39622547563874</c:v>
                </c:pt>
                <c:pt idx="106">
                  <c:v>568.05117296149081</c:v>
                </c:pt>
                <c:pt idx="107">
                  <c:v>576.94737396741823</c:v>
                </c:pt>
                <c:pt idx="108">
                  <c:v>585.84071282237755</c:v>
                </c:pt>
                <c:pt idx="109">
                  <c:v>594.73123910211143</c:v>
                </c:pt>
                <c:pt idx="110">
                  <c:v>603.61900077928851</c:v>
                </c:pt>
                <c:pt idx="111">
                  <c:v>567.6952646693934</c:v>
                </c:pt>
                <c:pt idx="112">
                  <c:v>576.23578388225576</c:v>
                </c:pt>
                <c:pt idx="113">
                  <c:v>584.77366162583451</c:v>
                </c:pt>
                <c:pt idx="114">
                  <c:v>593.30894190652873</c:v>
                </c:pt>
                <c:pt idx="115">
                  <c:v>601.84166736128896</c:v>
                </c:pt>
                <c:pt idx="116">
                  <c:v>559.15205854563135</c:v>
                </c:pt>
                <c:pt idx="117">
                  <c:v>559.15205854563135</c:v>
                </c:pt>
                <c:pt idx="118">
                  <c:v>559.15205854563135</c:v>
                </c:pt>
                <c:pt idx="119">
                  <c:v>559.15205854563135</c:v>
                </c:pt>
                <c:pt idx="120">
                  <c:v>559.15205854563135</c:v>
                </c:pt>
                <c:pt idx="121">
                  <c:v>559.15205854563135</c:v>
                </c:pt>
                <c:pt idx="122">
                  <c:v>559.15205854563135</c:v>
                </c:pt>
                <c:pt idx="123">
                  <c:v>559.15205854563135</c:v>
                </c:pt>
                <c:pt idx="124">
                  <c:v>559.15205854563135</c:v>
                </c:pt>
                <c:pt idx="125">
                  <c:v>559.15205854563135</c:v>
                </c:pt>
                <c:pt idx="126">
                  <c:v>559.15205854563135</c:v>
                </c:pt>
                <c:pt idx="127">
                  <c:v>559.15205854563135</c:v>
                </c:pt>
                <c:pt idx="128">
                  <c:v>559.15205854563135</c:v>
                </c:pt>
                <c:pt idx="129">
                  <c:v>559.15205854563135</c:v>
                </c:pt>
                <c:pt idx="130">
                  <c:v>559.15205854563135</c:v>
                </c:pt>
                <c:pt idx="131">
                  <c:v>559.15205854563135</c:v>
                </c:pt>
                <c:pt idx="132">
                  <c:v>559.15205854563135</c:v>
                </c:pt>
                <c:pt idx="133">
                  <c:v>559.15205854563135</c:v>
                </c:pt>
                <c:pt idx="134">
                  <c:v>559.15205854563135</c:v>
                </c:pt>
                <c:pt idx="135">
                  <c:v>559.15205854563135</c:v>
                </c:pt>
                <c:pt idx="136">
                  <c:v>559.15205854563135</c:v>
                </c:pt>
                <c:pt idx="137">
                  <c:v>559.15205854563135</c:v>
                </c:pt>
                <c:pt idx="138">
                  <c:v>559.15205854563135</c:v>
                </c:pt>
                <c:pt idx="139">
                  <c:v>559.15205854563135</c:v>
                </c:pt>
                <c:pt idx="140">
                  <c:v>559.15205854563135</c:v>
                </c:pt>
                <c:pt idx="141">
                  <c:v>559.15205854563135</c:v>
                </c:pt>
                <c:pt idx="142">
                  <c:v>559.15205854563135</c:v>
                </c:pt>
                <c:pt idx="143">
                  <c:v>559.15205854563135</c:v>
                </c:pt>
                <c:pt idx="144">
                  <c:v>559.15205854563135</c:v>
                </c:pt>
                <c:pt idx="145">
                  <c:v>559.15205854563135</c:v>
                </c:pt>
                <c:pt idx="146">
                  <c:v>559.15205854563135</c:v>
                </c:pt>
                <c:pt idx="147">
                  <c:v>559.15205854563135</c:v>
                </c:pt>
                <c:pt idx="148">
                  <c:v>559.15205854563135</c:v>
                </c:pt>
                <c:pt idx="149">
                  <c:v>559.15205854563135</c:v>
                </c:pt>
                <c:pt idx="150">
                  <c:v>559.15205854563135</c:v>
                </c:pt>
                <c:pt idx="151">
                  <c:v>559.15205854563135</c:v>
                </c:pt>
                <c:pt idx="152">
                  <c:v>559.15205854563135</c:v>
                </c:pt>
                <c:pt idx="153">
                  <c:v>559.15205854563135</c:v>
                </c:pt>
                <c:pt idx="154">
                  <c:v>559.15205854563135</c:v>
                </c:pt>
                <c:pt idx="155">
                  <c:v>559.15205854563135</c:v>
                </c:pt>
                <c:pt idx="156">
                  <c:v>559.15205854563135</c:v>
                </c:pt>
                <c:pt idx="157">
                  <c:v>559.15205854563135</c:v>
                </c:pt>
                <c:pt idx="158">
                  <c:v>559.15205854563135</c:v>
                </c:pt>
                <c:pt idx="159">
                  <c:v>559.15205854563135</c:v>
                </c:pt>
                <c:pt idx="160">
                  <c:v>559.15205854563135</c:v>
                </c:pt>
                <c:pt idx="161">
                  <c:v>559.15205854563135</c:v>
                </c:pt>
                <c:pt idx="162">
                  <c:v>559.15205854563135</c:v>
                </c:pt>
                <c:pt idx="163">
                  <c:v>559.15205854563135</c:v>
                </c:pt>
                <c:pt idx="164">
                  <c:v>559.15205854563135</c:v>
                </c:pt>
                <c:pt idx="165">
                  <c:v>559.15205854563135</c:v>
                </c:pt>
                <c:pt idx="166">
                  <c:v>559.15205854563135</c:v>
                </c:pt>
                <c:pt idx="167">
                  <c:v>559.15205854563135</c:v>
                </c:pt>
                <c:pt idx="168">
                  <c:v>559.15205854563135</c:v>
                </c:pt>
                <c:pt idx="169">
                  <c:v>559.15205854563135</c:v>
                </c:pt>
                <c:pt idx="170">
                  <c:v>559.15205854563135</c:v>
                </c:pt>
                <c:pt idx="171">
                  <c:v>559.15205854563135</c:v>
                </c:pt>
                <c:pt idx="172">
                  <c:v>559.15205854563135</c:v>
                </c:pt>
                <c:pt idx="173">
                  <c:v>559.15205854563135</c:v>
                </c:pt>
                <c:pt idx="174">
                  <c:v>559.15205854563135</c:v>
                </c:pt>
                <c:pt idx="175">
                  <c:v>559.15205854563135</c:v>
                </c:pt>
                <c:pt idx="176">
                  <c:v>559.15205854563135</c:v>
                </c:pt>
                <c:pt idx="177">
                  <c:v>559.15205854563135</c:v>
                </c:pt>
                <c:pt idx="178">
                  <c:v>559.15205854563135</c:v>
                </c:pt>
                <c:pt idx="179">
                  <c:v>559.15205854563135</c:v>
                </c:pt>
                <c:pt idx="180">
                  <c:v>559.15205854563135</c:v>
                </c:pt>
                <c:pt idx="181">
                  <c:v>559.15205854563135</c:v>
                </c:pt>
                <c:pt idx="182">
                  <c:v>559.15205854563135</c:v>
                </c:pt>
                <c:pt idx="183">
                  <c:v>559.15205854563135</c:v>
                </c:pt>
                <c:pt idx="184">
                  <c:v>559.15205854563135</c:v>
                </c:pt>
                <c:pt idx="185">
                  <c:v>559.15205854563135</c:v>
                </c:pt>
                <c:pt idx="186">
                  <c:v>559.15205854563135</c:v>
                </c:pt>
                <c:pt idx="187">
                  <c:v>559.15205854563135</c:v>
                </c:pt>
                <c:pt idx="188">
                  <c:v>559.15205854563135</c:v>
                </c:pt>
                <c:pt idx="189">
                  <c:v>559.15205854563135</c:v>
                </c:pt>
                <c:pt idx="190">
                  <c:v>559.15205854563135</c:v>
                </c:pt>
                <c:pt idx="191">
                  <c:v>559.15205854563135</c:v>
                </c:pt>
                <c:pt idx="192">
                  <c:v>559.15205854563135</c:v>
                </c:pt>
                <c:pt idx="193">
                  <c:v>559.15205854563135</c:v>
                </c:pt>
                <c:pt idx="194">
                  <c:v>559.15205854563135</c:v>
                </c:pt>
                <c:pt idx="195">
                  <c:v>559.15205854563135</c:v>
                </c:pt>
                <c:pt idx="196">
                  <c:v>559.15205854563135</c:v>
                </c:pt>
                <c:pt idx="197">
                  <c:v>559.15205854563135</c:v>
                </c:pt>
                <c:pt idx="198">
                  <c:v>559.15205854563135</c:v>
                </c:pt>
                <c:pt idx="199">
                  <c:v>559.15205854563135</c:v>
                </c:pt>
                <c:pt idx="200">
                  <c:v>559.15205854563135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764.41193582037283</c:v>
                </c:pt>
                <c:pt idx="62">
                  <c:v>764.41193582037283</c:v>
                </c:pt>
                <c:pt idx="63">
                  <c:v>764.41193582037283</c:v>
                </c:pt>
                <c:pt idx="64">
                  <c:v>764.41193582037283</c:v>
                </c:pt>
                <c:pt idx="65">
                  <c:v>764.41193582037283</c:v>
                </c:pt>
                <c:pt idx="66">
                  <c:v>764.41193582037283</c:v>
                </c:pt>
                <c:pt idx="67">
                  <c:v>764.41193582037283</c:v>
                </c:pt>
                <c:pt idx="68">
                  <c:v>764.41193582037283</c:v>
                </c:pt>
                <c:pt idx="69">
                  <c:v>764.41193582037283</c:v>
                </c:pt>
                <c:pt idx="70">
                  <c:v>764.41193582037283</c:v>
                </c:pt>
                <c:pt idx="71">
                  <c:v>764.41193582037283</c:v>
                </c:pt>
                <c:pt idx="72">
                  <c:v>764.41193582037283</c:v>
                </c:pt>
                <c:pt idx="73">
                  <c:v>764.41193582037283</c:v>
                </c:pt>
                <c:pt idx="74">
                  <c:v>764.41193582037283</c:v>
                </c:pt>
                <c:pt idx="75">
                  <c:v>764.41193582037283</c:v>
                </c:pt>
                <c:pt idx="76">
                  <c:v>764.41193582037283</c:v>
                </c:pt>
                <c:pt idx="77">
                  <c:v>764.41193582037283</c:v>
                </c:pt>
                <c:pt idx="78">
                  <c:v>764.41193582037283</c:v>
                </c:pt>
                <c:pt idx="79">
                  <c:v>764.41193582037283</c:v>
                </c:pt>
                <c:pt idx="80">
                  <c:v>764.41193582037283</c:v>
                </c:pt>
                <c:pt idx="81">
                  <c:v>764.41193582037283</c:v>
                </c:pt>
                <c:pt idx="82">
                  <c:v>764.41193582037283</c:v>
                </c:pt>
                <c:pt idx="83">
                  <c:v>764.41193582037283</c:v>
                </c:pt>
                <c:pt idx="84">
                  <c:v>764.41193582037283</c:v>
                </c:pt>
                <c:pt idx="85">
                  <c:v>764.41193582037283</c:v>
                </c:pt>
                <c:pt idx="86">
                  <c:v>764.41193582037283</c:v>
                </c:pt>
                <c:pt idx="87">
                  <c:v>764.41193582037283</c:v>
                </c:pt>
                <c:pt idx="88">
                  <c:v>764.41193582037283</c:v>
                </c:pt>
                <c:pt idx="89">
                  <c:v>764.41193582037283</c:v>
                </c:pt>
                <c:pt idx="90">
                  <c:v>764.41193582037283</c:v>
                </c:pt>
                <c:pt idx="91">
                  <c:v>764.41193582037283</c:v>
                </c:pt>
                <c:pt idx="92">
                  <c:v>764.41193582037283</c:v>
                </c:pt>
                <c:pt idx="93">
                  <c:v>764.41193582037283</c:v>
                </c:pt>
                <c:pt idx="94">
                  <c:v>764.41193582037283</c:v>
                </c:pt>
                <c:pt idx="95">
                  <c:v>764.41193582037283</c:v>
                </c:pt>
                <c:pt idx="96">
                  <c:v>764.41193582037283</c:v>
                </c:pt>
                <c:pt idx="97">
                  <c:v>764.41193582037283</c:v>
                </c:pt>
                <c:pt idx="98">
                  <c:v>764.41193582037283</c:v>
                </c:pt>
                <c:pt idx="99">
                  <c:v>764.41193582037283</c:v>
                </c:pt>
                <c:pt idx="100">
                  <c:v>764.41193582037283</c:v>
                </c:pt>
                <c:pt idx="101">
                  <c:v>764.41193582037283</c:v>
                </c:pt>
                <c:pt idx="102">
                  <c:v>764.41193582037283</c:v>
                </c:pt>
                <c:pt idx="103">
                  <c:v>764.41193582037283</c:v>
                </c:pt>
                <c:pt idx="104">
                  <c:v>764.41193582037283</c:v>
                </c:pt>
                <c:pt idx="105">
                  <c:v>764.41193582037283</c:v>
                </c:pt>
                <c:pt idx="106">
                  <c:v>764.41193582037283</c:v>
                </c:pt>
                <c:pt idx="107">
                  <c:v>764.41193582037283</c:v>
                </c:pt>
                <c:pt idx="108">
                  <c:v>764.41193582037283</c:v>
                </c:pt>
                <c:pt idx="109">
                  <c:v>764.41193582037283</c:v>
                </c:pt>
                <c:pt idx="110">
                  <c:v>764.41193582037283</c:v>
                </c:pt>
                <c:pt idx="111">
                  <c:v>764.41193582037283</c:v>
                </c:pt>
                <c:pt idx="112">
                  <c:v>764.41193582037283</c:v>
                </c:pt>
                <c:pt idx="113">
                  <c:v>764.41193582037283</c:v>
                </c:pt>
                <c:pt idx="114">
                  <c:v>764.41193582037283</c:v>
                </c:pt>
                <c:pt idx="115">
                  <c:v>764.41193582037283</c:v>
                </c:pt>
                <c:pt idx="116">
                  <c:v>764.41193582037283</c:v>
                </c:pt>
                <c:pt idx="117">
                  <c:v>764.41193582037283</c:v>
                </c:pt>
                <c:pt idx="118">
                  <c:v>764.41193582037283</c:v>
                </c:pt>
                <c:pt idx="119">
                  <c:v>764.41193582037283</c:v>
                </c:pt>
                <c:pt idx="120">
                  <c:v>764.41193582037283</c:v>
                </c:pt>
                <c:pt idx="121">
                  <c:v>764.41193582037283</c:v>
                </c:pt>
                <c:pt idx="122">
                  <c:v>764.41193582037283</c:v>
                </c:pt>
                <c:pt idx="123">
                  <c:v>764.41193582037283</c:v>
                </c:pt>
                <c:pt idx="124">
                  <c:v>764.41193582037283</c:v>
                </c:pt>
                <c:pt idx="125">
                  <c:v>764.41193582037283</c:v>
                </c:pt>
                <c:pt idx="126">
                  <c:v>764.41193582037283</c:v>
                </c:pt>
                <c:pt idx="127">
                  <c:v>764.41193582037283</c:v>
                </c:pt>
                <c:pt idx="128">
                  <c:v>764.41193582037283</c:v>
                </c:pt>
                <c:pt idx="129">
                  <c:v>764.41193582037283</c:v>
                </c:pt>
                <c:pt idx="130">
                  <c:v>764.41193582037283</c:v>
                </c:pt>
                <c:pt idx="131">
                  <c:v>764.41193582037283</c:v>
                </c:pt>
                <c:pt idx="132">
                  <c:v>764.41193582037283</c:v>
                </c:pt>
                <c:pt idx="133">
                  <c:v>764.41193582037283</c:v>
                </c:pt>
                <c:pt idx="134">
                  <c:v>764.41193582037283</c:v>
                </c:pt>
                <c:pt idx="135">
                  <c:v>764.41193582037283</c:v>
                </c:pt>
                <c:pt idx="136">
                  <c:v>764.41193582037283</c:v>
                </c:pt>
                <c:pt idx="137">
                  <c:v>764.41193582037283</c:v>
                </c:pt>
                <c:pt idx="138">
                  <c:v>764.41193582037283</c:v>
                </c:pt>
                <c:pt idx="139">
                  <c:v>764.41193582037283</c:v>
                </c:pt>
                <c:pt idx="140">
                  <c:v>764.41193582037283</c:v>
                </c:pt>
                <c:pt idx="141">
                  <c:v>764.41193582037283</c:v>
                </c:pt>
                <c:pt idx="142">
                  <c:v>764.41193582037283</c:v>
                </c:pt>
                <c:pt idx="143">
                  <c:v>764.41193582037283</c:v>
                </c:pt>
                <c:pt idx="144">
                  <c:v>764.41193582037283</c:v>
                </c:pt>
                <c:pt idx="145">
                  <c:v>764.41193582037283</c:v>
                </c:pt>
                <c:pt idx="146">
                  <c:v>764.41193582037283</c:v>
                </c:pt>
                <c:pt idx="147">
                  <c:v>764.41193582037283</c:v>
                </c:pt>
                <c:pt idx="148">
                  <c:v>764.41193582037283</c:v>
                </c:pt>
                <c:pt idx="149">
                  <c:v>764.41193582037283</c:v>
                </c:pt>
                <c:pt idx="150">
                  <c:v>764.41193582037283</c:v>
                </c:pt>
                <c:pt idx="151">
                  <c:v>764.41193582037283</c:v>
                </c:pt>
                <c:pt idx="152">
                  <c:v>764.41193582037283</c:v>
                </c:pt>
                <c:pt idx="153">
                  <c:v>764.41193582037283</c:v>
                </c:pt>
                <c:pt idx="154">
                  <c:v>764.41193582037283</c:v>
                </c:pt>
                <c:pt idx="155">
                  <c:v>764.41193582037283</c:v>
                </c:pt>
                <c:pt idx="156">
                  <c:v>764.41193582037283</c:v>
                </c:pt>
                <c:pt idx="157">
                  <c:v>764.41193582037283</c:v>
                </c:pt>
                <c:pt idx="158">
                  <c:v>764.41193582037283</c:v>
                </c:pt>
                <c:pt idx="159">
                  <c:v>764.41193582037283</c:v>
                </c:pt>
                <c:pt idx="160">
                  <c:v>764.41193582037283</c:v>
                </c:pt>
                <c:pt idx="161">
                  <c:v>764.41193582037283</c:v>
                </c:pt>
                <c:pt idx="162">
                  <c:v>764.41193582037283</c:v>
                </c:pt>
                <c:pt idx="163">
                  <c:v>764.41193582037283</c:v>
                </c:pt>
                <c:pt idx="164">
                  <c:v>764.41193582037283</c:v>
                </c:pt>
                <c:pt idx="165">
                  <c:v>764.41193582037283</c:v>
                </c:pt>
                <c:pt idx="166">
                  <c:v>764.41193582037283</c:v>
                </c:pt>
                <c:pt idx="167">
                  <c:v>764.41193582037283</c:v>
                </c:pt>
                <c:pt idx="168">
                  <c:v>764.41193582037283</c:v>
                </c:pt>
                <c:pt idx="169">
                  <c:v>764.41193582037283</c:v>
                </c:pt>
                <c:pt idx="170">
                  <c:v>764.41193582037283</c:v>
                </c:pt>
                <c:pt idx="171">
                  <c:v>764.41193582037283</c:v>
                </c:pt>
                <c:pt idx="172">
                  <c:v>764.41193582037283</c:v>
                </c:pt>
                <c:pt idx="173">
                  <c:v>764.41193582037283</c:v>
                </c:pt>
                <c:pt idx="174">
                  <c:v>764.41193582037283</c:v>
                </c:pt>
                <c:pt idx="175">
                  <c:v>764.41193582037283</c:v>
                </c:pt>
                <c:pt idx="176">
                  <c:v>764.41193582037283</c:v>
                </c:pt>
                <c:pt idx="177">
                  <c:v>764.41193582037283</c:v>
                </c:pt>
                <c:pt idx="178">
                  <c:v>764.41193582037283</c:v>
                </c:pt>
                <c:pt idx="179">
                  <c:v>764.41193582037283</c:v>
                </c:pt>
                <c:pt idx="180">
                  <c:v>764.41193582037283</c:v>
                </c:pt>
                <c:pt idx="181">
                  <c:v>764.41193582037283</c:v>
                </c:pt>
                <c:pt idx="182">
                  <c:v>764.41193582037283</c:v>
                </c:pt>
                <c:pt idx="183">
                  <c:v>764.41193582037283</c:v>
                </c:pt>
                <c:pt idx="184">
                  <c:v>764.41193582037283</c:v>
                </c:pt>
                <c:pt idx="185">
                  <c:v>764.41193582037283</c:v>
                </c:pt>
                <c:pt idx="186">
                  <c:v>764.41193582037283</c:v>
                </c:pt>
                <c:pt idx="187">
                  <c:v>764.41193582037283</c:v>
                </c:pt>
                <c:pt idx="188">
                  <c:v>764.41193582037283</c:v>
                </c:pt>
                <c:pt idx="189">
                  <c:v>764.41193582037283</c:v>
                </c:pt>
                <c:pt idx="190">
                  <c:v>764.41193582037283</c:v>
                </c:pt>
                <c:pt idx="191">
                  <c:v>764.41193582037283</c:v>
                </c:pt>
                <c:pt idx="192">
                  <c:v>764.41193582037283</c:v>
                </c:pt>
                <c:pt idx="193">
                  <c:v>764.41193582037283</c:v>
                </c:pt>
                <c:pt idx="194">
                  <c:v>764.41193582037283</c:v>
                </c:pt>
                <c:pt idx="195">
                  <c:v>764.41193582037283</c:v>
                </c:pt>
                <c:pt idx="196">
                  <c:v>764.41193582037283</c:v>
                </c:pt>
                <c:pt idx="197">
                  <c:v>764.41193582037283</c:v>
                </c:pt>
                <c:pt idx="198">
                  <c:v>764.41193582037283</c:v>
                </c:pt>
                <c:pt idx="199">
                  <c:v>764.41193582037283</c:v>
                </c:pt>
                <c:pt idx="200">
                  <c:v>764.41193582037283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G20" sqref="G2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6.2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13</v>
      </c>
      <c r="C9" s="264">
        <v>0.341935483870968</v>
      </c>
      <c r="D9" s="33">
        <f t="shared" ref="D9:D18" si="0">C9*$C$5</f>
        <v>2.1200000000000019</v>
      </c>
      <c r="E9" s="265">
        <v>55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23</v>
      </c>
      <c r="C10" s="264">
        <v>6.4516129032258063E-2</v>
      </c>
      <c r="D10" s="33">
        <f t="shared" si="0"/>
        <v>0.4</v>
      </c>
      <c r="E10" s="265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18</v>
      </c>
      <c r="C11" s="264">
        <v>0.19354838709677424</v>
      </c>
      <c r="D11" s="33">
        <f t="shared" si="0"/>
        <v>1.2000000000000004</v>
      </c>
      <c r="E11" s="265">
        <v>65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4</v>
      </c>
      <c r="C12" s="264">
        <v>0.11290322580645162</v>
      </c>
      <c r="D12" s="33">
        <f t="shared" si="0"/>
        <v>0.70000000000000007</v>
      </c>
      <c r="E12" s="265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14</v>
      </c>
      <c r="C13" s="32">
        <v>0.10967741935483871</v>
      </c>
      <c r="D13" s="33">
        <f t="shared" si="0"/>
        <v>0.68</v>
      </c>
      <c r="E13" s="34">
        <v>115</v>
      </c>
      <c r="F13" s="35" t="str">
        <f t="array" ref="F13">IF(E13="","",IF(INDEX(A:A,MAX(IF(ISNUMBER($A$140:$A$159),ROW($A$140:$A$159),"")))&lt;&gt;E13,"Corrigez : révolution incorrecte","OK"))</f>
        <v>OK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11</v>
      </c>
      <c r="C14" s="32">
        <v>8.3870967741935504E-2</v>
      </c>
      <c r="D14" s="33">
        <f t="shared" si="0"/>
        <v>0.52000000000000013</v>
      </c>
      <c r="E14" s="34">
        <v>115</v>
      </c>
      <c r="F14" s="35" t="str">
        <f t="array" ref="F14">IF(E14="","",IF(INDEX(A:A,MAX(IF(ISNUMBER($A$166:$A$185),ROW($A$166:$A$185),"")))&lt;&gt;E14,"Corrigez : révolution incorrecte","OK"))</f>
        <v>OK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18</v>
      </c>
      <c r="C15" s="32">
        <v>9.3548387096774197E-2</v>
      </c>
      <c r="D15" s="33">
        <f t="shared" si="0"/>
        <v>0.58000000000000007</v>
      </c>
      <c r="E15" s="34">
        <v>60</v>
      </c>
      <c r="F15" s="35" t="str">
        <f t="array" ref="F15">IF(E15="","",IF(INDEX(A:A,MAX(IF(ISNUMBER($A$192:$A$211),ROW($A$192:$A$211),"")))&lt;&gt;E15,"Corrigez : révolution incorrecte","OK"))</f>
        <v>OK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1.0000000000000004</v>
      </c>
      <c r="D19" s="38">
        <f>SUM(D9:D18)</f>
        <v>6.2000000000000028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rouge d'Amérique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15</v>
      </c>
      <c r="B36" s="259">
        <v>107</v>
      </c>
      <c r="C36" s="259">
        <v>1</v>
      </c>
      <c r="D36" s="259">
        <v>34</v>
      </c>
      <c r="E36" s="260"/>
      <c r="F36" s="260"/>
      <c r="G36" s="260"/>
      <c r="H36" s="260">
        <v>1</v>
      </c>
      <c r="I36" s="49">
        <f>IFERROR(B36/A36,"")</f>
        <v>7.1333333333333337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20</v>
      </c>
      <c r="B37" s="259">
        <v>154</v>
      </c>
      <c r="C37" s="259">
        <v>2</v>
      </c>
      <c r="D37" s="259">
        <v>50</v>
      </c>
      <c r="E37" s="260"/>
      <c r="F37" s="260"/>
      <c r="G37" s="260"/>
      <c r="H37" s="260">
        <v>1</v>
      </c>
      <c r="I37" s="53">
        <f t="shared" ref="I37:I55" si="1">IF(A37&lt;&gt;0,(B37-(B36-D36))/(A37-A36),"")</f>
        <v>16.2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25</v>
      </c>
      <c r="B38" s="259">
        <v>183</v>
      </c>
      <c r="C38" s="259">
        <v>3</v>
      </c>
      <c r="D38" s="259">
        <v>52</v>
      </c>
      <c r="E38" s="260"/>
      <c r="F38" s="260"/>
      <c r="G38" s="260"/>
      <c r="H38" s="260">
        <v>1</v>
      </c>
      <c r="I38" s="53">
        <f t="shared" si="1"/>
        <v>15.8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30</v>
      </c>
      <c r="B39" s="259">
        <v>205</v>
      </c>
      <c r="C39" s="259">
        <v>4</v>
      </c>
      <c r="D39" s="259">
        <v>51</v>
      </c>
      <c r="E39" s="260"/>
      <c r="F39" s="260"/>
      <c r="G39" s="260"/>
      <c r="H39" s="260">
        <v>1</v>
      </c>
      <c r="I39" s="49">
        <f t="shared" si="1"/>
        <v>14.8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35</v>
      </c>
      <c r="B40" s="259">
        <v>222</v>
      </c>
      <c r="C40" s="259">
        <v>5</v>
      </c>
      <c r="D40" s="259">
        <v>49</v>
      </c>
      <c r="E40" s="260">
        <v>1</v>
      </c>
      <c r="F40" s="260"/>
      <c r="G40" s="260"/>
      <c r="H40" s="260"/>
      <c r="I40" s="49">
        <f t="shared" si="1"/>
        <v>13.6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40</v>
      </c>
      <c r="B41" s="259">
        <v>235</v>
      </c>
      <c r="C41" s="259">
        <v>6</v>
      </c>
      <c r="D41" s="259">
        <v>45</v>
      </c>
      <c r="E41" s="260">
        <v>1</v>
      </c>
      <c r="F41" s="260"/>
      <c r="G41" s="260"/>
      <c r="H41" s="260"/>
      <c r="I41" s="53">
        <f t="shared" si="1"/>
        <v>12.4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45</v>
      </c>
      <c r="B42" s="259">
        <v>245</v>
      </c>
      <c r="C42" s="259">
        <v>7</v>
      </c>
      <c r="D42" s="259">
        <v>41</v>
      </c>
      <c r="E42" s="260">
        <v>1</v>
      </c>
      <c r="F42" s="260"/>
      <c r="G42" s="260"/>
      <c r="H42" s="260"/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50</v>
      </c>
      <c r="B43" s="259">
        <v>252</v>
      </c>
      <c r="C43" s="259">
        <v>8</v>
      </c>
      <c r="D43" s="259">
        <v>37</v>
      </c>
      <c r="E43" s="260">
        <v>1</v>
      </c>
      <c r="F43" s="260"/>
      <c r="G43" s="260"/>
      <c r="H43" s="260"/>
      <c r="I43" s="49">
        <f t="shared" si="1"/>
        <v>9.6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55</v>
      </c>
      <c r="B44" s="259">
        <v>258</v>
      </c>
      <c r="C44" s="259">
        <v>9</v>
      </c>
      <c r="D44" s="259">
        <v>34</v>
      </c>
      <c r="E44" s="260">
        <v>1</v>
      </c>
      <c r="F44" s="260"/>
      <c r="G44" s="260"/>
      <c r="H44" s="260"/>
      <c r="I44" s="49">
        <f t="shared" si="1"/>
        <v>8.6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Erable sycomore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10</v>
      </c>
      <c r="B62" s="261">
        <v>19</v>
      </c>
      <c r="C62" s="261">
        <v>1</v>
      </c>
      <c r="D62" s="261">
        <v>7</v>
      </c>
      <c r="E62" s="260"/>
      <c r="F62" s="260"/>
      <c r="G62" s="260"/>
      <c r="H62" s="260">
        <v>1</v>
      </c>
      <c r="I62" s="53">
        <f>IFERROR(B62/A62,"")</f>
        <v>1.9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15</v>
      </c>
      <c r="B63" s="261">
        <v>85</v>
      </c>
      <c r="C63" s="261">
        <v>2</v>
      </c>
      <c r="D63" s="261">
        <v>42</v>
      </c>
      <c r="E63" s="260"/>
      <c r="F63" s="260"/>
      <c r="G63" s="260"/>
      <c r="H63" s="260">
        <v>1</v>
      </c>
      <c r="I63" s="49">
        <f>IF(A63&lt;&gt;0,(B63-(B62-D62))/(A63-A62),"")</f>
        <v>14.6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20</v>
      </c>
      <c r="B64" s="261">
        <v>123</v>
      </c>
      <c r="C64" s="261">
        <v>3</v>
      </c>
      <c r="D64" s="261">
        <v>42</v>
      </c>
      <c r="E64" s="260"/>
      <c r="F64" s="260"/>
      <c r="G64" s="260"/>
      <c r="H64" s="260">
        <v>1</v>
      </c>
      <c r="I64" s="49">
        <f>IF(A64&lt;&gt;0,(B64-(B63-D63))/(A64-A63),"")</f>
        <v>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25</v>
      </c>
      <c r="B65" s="261">
        <v>165</v>
      </c>
      <c r="C65" s="261">
        <v>4</v>
      </c>
      <c r="D65" s="261">
        <v>42</v>
      </c>
      <c r="E65" s="260"/>
      <c r="F65" s="260"/>
      <c r="G65" s="260"/>
      <c r="H65" s="260">
        <v>1</v>
      </c>
      <c r="I65" s="49">
        <f>IF(A65&lt;&gt;0,(B65-(B64-D64))/(A65-A64),"")</f>
        <v>16.8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30</v>
      </c>
      <c r="B66" s="261">
        <v>205</v>
      </c>
      <c r="C66" s="261">
        <v>5</v>
      </c>
      <c r="D66" s="261">
        <v>42</v>
      </c>
      <c r="E66" s="260"/>
      <c r="F66" s="260"/>
      <c r="G66" s="260"/>
      <c r="H66" s="260">
        <v>1</v>
      </c>
      <c r="I66" s="49">
        <f t="shared" ref="I66:I81" si="2">IF(A66&lt;&gt;0,(B66-(B65-D65))/(A66-A65),"")</f>
        <v>16.399999999999999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35</v>
      </c>
      <c r="B67" s="261">
        <v>239</v>
      </c>
      <c r="C67" s="261">
        <v>6</v>
      </c>
      <c r="D67" s="261">
        <v>42</v>
      </c>
      <c r="E67" s="260">
        <v>1</v>
      </c>
      <c r="F67" s="260"/>
      <c r="G67" s="260"/>
      <c r="H67" s="260"/>
      <c r="I67" s="49">
        <f t="shared" si="2"/>
        <v>15.2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40</v>
      </c>
      <c r="B68" s="261">
        <v>263</v>
      </c>
      <c r="C68" s="261">
        <v>7</v>
      </c>
      <c r="D68" s="261">
        <v>40</v>
      </c>
      <c r="E68" s="260">
        <v>1</v>
      </c>
      <c r="F68" s="260"/>
      <c r="G68" s="260"/>
      <c r="H68" s="260"/>
      <c r="I68" s="49">
        <f t="shared" si="2"/>
        <v>13.2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45</v>
      </c>
      <c r="B69" s="261">
        <v>280</v>
      </c>
      <c r="C69" s="261">
        <v>8</v>
      </c>
      <c r="D69" s="261">
        <v>26</v>
      </c>
      <c r="E69" s="260">
        <v>1</v>
      </c>
      <c r="F69" s="260"/>
      <c r="G69" s="260"/>
      <c r="H69" s="260"/>
      <c r="I69" s="49">
        <f t="shared" si="2"/>
        <v>11.4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50</v>
      </c>
      <c r="B70" s="261">
        <v>303</v>
      </c>
      <c r="C70" s="261">
        <v>9</v>
      </c>
      <c r="D70" s="261">
        <v>21</v>
      </c>
      <c r="E70" s="260">
        <v>1</v>
      </c>
      <c r="F70" s="260"/>
      <c r="G70" s="260"/>
      <c r="H70" s="260"/>
      <c r="I70" s="49">
        <f t="shared" si="2"/>
        <v>9.8000000000000007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55</v>
      </c>
      <c r="B71" s="261">
        <v>324</v>
      </c>
      <c r="C71" s="261">
        <v>10</v>
      </c>
      <c r="D71" s="261">
        <v>18</v>
      </c>
      <c r="E71" s="260">
        <v>1</v>
      </c>
      <c r="F71" s="260"/>
      <c r="G71" s="260"/>
      <c r="H71" s="260"/>
      <c r="I71" s="49">
        <f t="shared" si="2"/>
        <v>8.4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60</v>
      </c>
      <c r="B72" s="261">
        <v>343</v>
      </c>
      <c r="C72" s="261">
        <v>11</v>
      </c>
      <c r="D72" s="261">
        <v>17</v>
      </c>
      <c r="E72" s="260">
        <v>1</v>
      </c>
      <c r="F72" s="260"/>
      <c r="G72" s="260"/>
      <c r="H72" s="260"/>
      <c r="I72" s="49">
        <f t="shared" si="2"/>
        <v>7.4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65</v>
      </c>
      <c r="B73" s="261">
        <v>356</v>
      </c>
      <c r="C73" s="261">
        <v>12</v>
      </c>
      <c r="D73" s="261">
        <v>16</v>
      </c>
      <c r="E73" s="260">
        <v>1</v>
      </c>
      <c r="F73" s="260"/>
      <c r="G73" s="260"/>
      <c r="H73" s="260"/>
      <c r="I73" s="49">
        <f t="shared" si="2"/>
        <v>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70</v>
      </c>
      <c r="B74" s="261">
        <v>366</v>
      </c>
      <c r="C74" s="261">
        <v>13</v>
      </c>
      <c r="D74" s="261">
        <v>15</v>
      </c>
      <c r="E74" s="260">
        <v>1</v>
      </c>
      <c r="F74" s="260"/>
      <c r="G74" s="260"/>
      <c r="H74" s="260"/>
      <c r="I74" s="49">
        <f t="shared" si="2"/>
        <v>5.2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75</v>
      </c>
      <c r="B75" s="261">
        <v>375</v>
      </c>
      <c r="C75" s="261">
        <v>14</v>
      </c>
      <c r="D75" s="261">
        <v>14</v>
      </c>
      <c r="E75" s="260">
        <v>1</v>
      </c>
      <c r="F75" s="260"/>
      <c r="G75" s="260"/>
      <c r="H75" s="260"/>
      <c r="I75" s="49">
        <f t="shared" si="2"/>
        <v>4.8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80</v>
      </c>
      <c r="B76" s="261">
        <v>381</v>
      </c>
      <c r="C76" s="261">
        <v>15</v>
      </c>
      <c r="D76" s="261">
        <v>13</v>
      </c>
      <c r="E76" s="260">
        <v>1</v>
      </c>
      <c r="F76" s="260"/>
      <c r="G76" s="260"/>
      <c r="H76" s="260"/>
      <c r="I76" s="49">
        <f t="shared" si="2"/>
        <v>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Douglas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15</v>
      </c>
      <c r="B88" s="261">
        <v>162</v>
      </c>
      <c r="C88" s="261"/>
      <c r="D88" s="261">
        <v>0</v>
      </c>
      <c r="E88" s="260"/>
      <c r="F88" s="260"/>
      <c r="G88" s="260"/>
      <c r="H88" s="260"/>
      <c r="I88" s="53">
        <f>IFERROR(B88/A88,"")</f>
        <v>10.8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20</v>
      </c>
      <c r="B89" s="261">
        <v>303</v>
      </c>
      <c r="C89" s="261">
        <v>1</v>
      </c>
      <c r="D89" s="261">
        <v>43</v>
      </c>
      <c r="E89" s="260"/>
      <c r="F89" s="260"/>
      <c r="G89" s="260">
        <v>1</v>
      </c>
      <c r="H89" s="260"/>
      <c r="I89" s="53">
        <f t="shared" ref="I89:I107" si="3">IF(A89&lt;&gt;0,(B89-(B88-D88))/(A89-A88),"")</f>
        <v>28.2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25</v>
      </c>
      <c r="B90" s="261">
        <v>419</v>
      </c>
      <c r="C90" s="261">
        <v>2</v>
      </c>
      <c r="D90" s="261">
        <v>60</v>
      </c>
      <c r="E90" s="260"/>
      <c r="F90" s="260">
        <v>1</v>
      </c>
      <c r="G90" s="260"/>
      <c r="H90" s="260"/>
      <c r="I90" s="53">
        <f t="shared" si="3"/>
        <v>31.8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30</v>
      </c>
      <c r="B91" s="261">
        <v>524</v>
      </c>
      <c r="C91" s="261">
        <v>3</v>
      </c>
      <c r="D91" s="261">
        <v>90</v>
      </c>
      <c r="E91" s="260"/>
      <c r="F91" s="260">
        <v>1</v>
      </c>
      <c r="G91" s="260"/>
      <c r="H91" s="260"/>
      <c r="I91" s="53">
        <f t="shared" si="3"/>
        <v>33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35</v>
      </c>
      <c r="B92" s="261">
        <v>576</v>
      </c>
      <c r="C92" s="261">
        <v>4</v>
      </c>
      <c r="D92" s="261">
        <v>72</v>
      </c>
      <c r="E92" s="260">
        <v>1</v>
      </c>
      <c r="F92" s="260"/>
      <c r="G92" s="260"/>
      <c r="H92" s="260"/>
      <c r="I92" s="53">
        <f t="shared" si="3"/>
        <v>28.4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40</v>
      </c>
      <c r="B93" s="261">
        <v>639</v>
      </c>
      <c r="C93" s="261">
        <v>5</v>
      </c>
      <c r="D93" s="261">
        <v>77</v>
      </c>
      <c r="E93" s="260">
        <v>1</v>
      </c>
      <c r="F93" s="260"/>
      <c r="G93" s="260"/>
      <c r="H93" s="260"/>
      <c r="I93" s="53">
        <f t="shared" si="3"/>
        <v>27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45</v>
      </c>
      <c r="B94" s="261">
        <v>686</v>
      </c>
      <c r="C94" s="261">
        <v>6</v>
      </c>
      <c r="D94" s="261">
        <v>64</v>
      </c>
      <c r="E94" s="260">
        <v>1</v>
      </c>
      <c r="F94" s="260"/>
      <c r="G94" s="260"/>
      <c r="H94" s="260"/>
      <c r="I94" s="53">
        <f t="shared" si="3"/>
        <v>24.8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50</v>
      </c>
      <c r="B95" s="261">
        <v>724</v>
      </c>
      <c r="C95" s="261">
        <v>7</v>
      </c>
      <c r="D95" s="261">
        <v>62</v>
      </c>
      <c r="E95" s="260">
        <v>1</v>
      </c>
      <c r="F95" s="260"/>
      <c r="G95" s="260"/>
      <c r="H95" s="260"/>
      <c r="I95" s="53">
        <f t="shared" si="3"/>
        <v>20.399999999999999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55</v>
      </c>
      <c r="B96" s="261">
        <v>739</v>
      </c>
      <c r="C96" s="261">
        <v>8</v>
      </c>
      <c r="D96" s="261">
        <v>46</v>
      </c>
      <c r="E96" s="260">
        <v>1</v>
      </c>
      <c r="F96" s="260"/>
      <c r="G96" s="260"/>
      <c r="H96" s="260"/>
      <c r="I96" s="53">
        <f t="shared" si="3"/>
        <v>15.4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60</v>
      </c>
      <c r="B97" s="261">
        <v>754</v>
      </c>
      <c r="C97" s="261">
        <v>9</v>
      </c>
      <c r="D97" s="261">
        <v>35</v>
      </c>
      <c r="E97" s="260">
        <v>1</v>
      </c>
      <c r="F97" s="260"/>
      <c r="G97" s="260"/>
      <c r="H97" s="260"/>
      <c r="I97" s="53">
        <f t="shared" si="3"/>
        <v>12.2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65</v>
      </c>
      <c r="B98" s="261">
        <v>769</v>
      </c>
      <c r="C98" s="261">
        <v>10</v>
      </c>
      <c r="D98" s="261">
        <v>29</v>
      </c>
      <c r="E98" s="260">
        <v>1</v>
      </c>
      <c r="F98" s="260"/>
      <c r="G98" s="260"/>
      <c r="H98" s="260"/>
      <c r="I98" s="53">
        <f t="shared" si="3"/>
        <v>10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Aulne glutineux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10</v>
      </c>
      <c r="B114" s="261">
        <v>19</v>
      </c>
      <c r="C114" s="261">
        <v>1</v>
      </c>
      <c r="D114" s="261">
        <v>7</v>
      </c>
      <c r="E114" s="260"/>
      <c r="F114" s="260"/>
      <c r="G114" s="260"/>
      <c r="H114" s="260">
        <v>1</v>
      </c>
      <c r="I114" s="53">
        <f>IFERROR(B114/A114,"")</f>
        <v>1.9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15</v>
      </c>
      <c r="B115" s="261">
        <v>85</v>
      </c>
      <c r="C115" s="261">
        <v>2</v>
      </c>
      <c r="D115" s="261">
        <v>42</v>
      </c>
      <c r="E115" s="260"/>
      <c r="F115" s="260"/>
      <c r="G115" s="260"/>
      <c r="H115" s="260">
        <v>1</v>
      </c>
      <c r="I115" s="53">
        <f t="shared" ref="I115:I133" si="4">IF(A115&lt;&gt;0,(B115-(B114-D114))/(A115-A114),"")</f>
        <v>14.6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20</v>
      </c>
      <c r="B116" s="261">
        <v>123</v>
      </c>
      <c r="C116" s="261">
        <v>3</v>
      </c>
      <c r="D116" s="261">
        <v>42</v>
      </c>
      <c r="E116" s="260"/>
      <c r="F116" s="260"/>
      <c r="G116" s="260"/>
      <c r="H116" s="260">
        <v>1</v>
      </c>
      <c r="I116" s="53">
        <f t="shared" si="4"/>
        <v>16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25</v>
      </c>
      <c r="B117" s="261">
        <v>165</v>
      </c>
      <c r="C117" s="261">
        <v>4</v>
      </c>
      <c r="D117" s="261">
        <v>42</v>
      </c>
      <c r="E117" s="260"/>
      <c r="F117" s="260"/>
      <c r="G117" s="260"/>
      <c r="H117" s="260">
        <v>1</v>
      </c>
      <c r="I117" s="53">
        <f t="shared" si="4"/>
        <v>16.8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30</v>
      </c>
      <c r="B118" s="261">
        <v>205</v>
      </c>
      <c r="C118" s="261">
        <v>5</v>
      </c>
      <c r="D118" s="261">
        <v>42</v>
      </c>
      <c r="E118" s="260"/>
      <c r="F118" s="260"/>
      <c r="G118" s="260"/>
      <c r="H118" s="260">
        <v>1</v>
      </c>
      <c r="I118" s="53">
        <f t="shared" si="4"/>
        <v>16.399999999999999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35</v>
      </c>
      <c r="B119" s="261">
        <v>239</v>
      </c>
      <c r="C119" s="261">
        <v>6</v>
      </c>
      <c r="D119" s="261">
        <v>42</v>
      </c>
      <c r="E119" s="260">
        <v>1</v>
      </c>
      <c r="F119" s="260"/>
      <c r="G119" s="260"/>
      <c r="H119" s="260"/>
      <c r="I119" s="53">
        <f t="shared" si="4"/>
        <v>15.2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40</v>
      </c>
      <c r="B120" s="261">
        <v>263</v>
      </c>
      <c r="C120" s="261">
        <v>7</v>
      </c>
      <c r="D120" s="261">
        <v>40</v>
      </c>
      <c r="E120" s="260">
        <v>1</v>
      </c>
      <c r="F120" s="260"/>
      <c r="G120" s="260"/>
      <c r="H120" s="260"/>
      <c r="I120" s="53">
        <f t="shared" si="4"/>
        <v>13.2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45</v>
      </c>
      <c r="B121" s="261">
        <v>280</v>
      </c>
      <c r="C121" s="261">
        <v>8</v>
      </c>
      <c r="D121" s="261">
        <v>26</v>
      </c>
      <c r="E121" s="260">
        <v>1</v>
      </c>
      <c r="F121" s="260"/>
      <c r="G121" s="260"/>
      <c r="H121" s="260"/>
      <c r="I121" s="53">
        <f t="shared" si="4"/>
        <v>11.4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50</v>
      </c>
      <c r="B122" s="261">
        <v>303</v>
      </c>
      <c r="C122" s="261">
        <v>9</v>
      </c>
      <c r="D122" s="261">
        <v>21</v>
      </c>
      <c r="E122" s="260">
        <v>1</v>
      </c>
      <c r="F122" s="260"/>
      <c r="G122" s="260"/>
      <c r="H122" s="260"/>
      <c r="I122" s="53">
        <f t="shared" si="4"/>
        <v>9.8000000000000007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55</v>
      </c>
      <c r="B123" s="261">
        <v>324</v>
      </c>
      <c r="C123" s="261">
        <v>10</v>
      </c>
      <c r="D123" s="261">
        <v>18</v>
      </c>
      <c r="E123" s="260">
        <v>1</v>
      </c>
      <c r="F123" s="260"/>
      <c r="G123" s="260"/>
      <c r="H123" s="260"/>
      <c r="I123" s="53">
        <f t="shared" si="4"/>
        <v>8.4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60</v>
      </c>
      <c r="B124" s="261">
        <v>343</v>
      </c>
      <c r="C124" s="261">
        <v>11</v>
      </c>
      <c r="D124" s="261">
        <v>17</v>
      </c>
      <c r="E124" s="260">
        <v>1</v>
      </c>
      <c r="F124" s="260"/>
      <c r="G124" s="260"/>
      <c r="H124" s="260"/>
      <c r="I124" s="53">
        <f t="shared" si="4"/>
        <v>7.4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65</v>
      </c>
      <c r="B125" s="261">
        <v>356</v>
      </c>
      <c r="C125" s="261">
        <v>12</v>
      </c>
      <c r="D125" s="261">
        <v>16</v>
      </c>
      <c r="E125" s="260">
        <v>1</v>
      </c>
      <c r="F125" s="260"/>
      <c r="G125" s="260"/>
      <c r="H125" s="260"/>
      <c r="I125" s="53">
        <f t="shared" si="4"/>
        <v>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70</v>
      </c>
      <c r="B126" s="261">
        <v>366</v>
      </c>
      <c r="C126" s="261">
        <v>13</v>
      </c>
      <c r="D126" s="261">
        <v>15</v>
      </c>
      <c r="E126" s="260">
        <v>1</v>
      </c>
      <c r="F126" s="260"/>
      <c r="G126" s="260"/>
      <c r="H126" s="260"/>
      <c r="I126" s="53">
        <f t="shared" si="4"/>
        <v>5.2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75</v>
      </c>
      <c r="B127" s="261">
        <v>375</v>
      </c>
      <c r="C127" s="261">
        <v>14</v>
      </c>
      <c r="D127" s="261">
        <v>14</v>
      </c>
      <c r="E127" s="260">
        <v>1</v>
      </c>
      <c r="F127" s="260"/>
      <c r="G127" s="260"/>
      <c r="H127" s="260"/>
      <c r="I127" s="53">
        <f t="shared" si="4"/>
        <v>4.8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80</v>
      </c>
      <c r="B128" s="261">
        <v>381</v>
      </c>
      <c r="C128" s="261">
        <v>15</v>
      </c>
      <c r="D128" s="261">
        <v>13</v>
      </c>
      <c r="E128" s="260">
        <v>1</v>
      </c>
      <c r="F128" s="260"/>
      <c r="G128" s="260"/>
      <c r="H128" s="260"/>
      <c r="I128" s="53">
        <f t="shared" si="4"/>
        <v>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sessile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20</v>
      </c>
      <c r="B140" s="60">
        <v>73</v>
      </c>
      <c r="C140" s="50">
        <v>1</v>
      </c>
      <c r="D140" s="60">
        <v>6</v>
      </c>
      <c r="E140" s="51"/>
      <c r="F140" s="51"/>
      <c r="G140" s="51"/>
      <c r="H140" s="51">
        <v>1</v>
      </c>
      <c r="I140" s="57">
        <f>IFERROR(B140/A140,"")</f>
        <v>3.65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25</v>
      </c>
      <c r="B141" s="60">
        <v>103</v>
      </c>
      <c r="C141" s="50">
        <v>2</v>
      </c>
      <c r="D141" s="60">
        <v>28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7.2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30</v>
      </c>
      <c r="B142" s="60">
        <v>121</v>
      </c>
      <c r="C142" s="50">
        <v>3</v>
      </c>
      <c r="D142" s="60">
        <v>28</v>
      </c>
      <c r="E142" s="51"/>
      <c r="F142" s="51"/>
      <c r="G142" s="51"/>
      <c r="H142" s="51">
        <v>1</v>
      </c>
      <c r="I142" s="57">
        <f t="shared" si="5"/>
        <v>9.1999999999999993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35</v>
      </c>
      <c r="B143" s="60">
        <v>147</v>
      </c>
      <c r="C143" s="50">
        <v>4</v>
      </c>
      <c r="D143" s="60">
        <v>28</v>
      </c>
      <c r="E143" s="51">
        <v>1</v>
      </c>
      <c r="F143" s="51"/>
      <c r="G143" s="51"/>
      <c r="H143" s="51"/>
      <c r="I143" s="57">
        <f t="shared" si="5"/>
        <v>10.8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40</v>
      </c>
      <c r="B144" s="60">
        <v>175</v>
      </c>
      <c r="C144" s="50">
        <v>5</v>
      </c>
      <c r="D144" s="60">
        <v>28</v>
      </c>
      <c r="E144" s="51">
        <v>1</v>
      </c>
      <c r="F144" s="51"/>
      <c r="G144" s="51"/>
      <c r="H144" s="51"/>
      <c r="I144" s="57">
        <f t="shared" si="5"/>
        <v>11.2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45</v>
      </c>
      <c r="B145" s="60">
        <v>204</v>
      </c>
      <c r="C145" s="50">
        <v>6</v>
      </c>
      <c r="D145" s="60">
        <v>28</v>
      </c>
      <c r="E145" s="51">
        <v>1</v>
      </c>
      <c r="F145" s="51"/>
      <c r="G145" s="51"/>
      <c r="H145" s="51"/>
      <c r="I145" s="57">
        <f t="shared" si="5"/>
        <v>11.4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50</v>
      </c>
      <c r="B146" s="60">
        <v>231</v>
      </c>
      <c r="C146" s="50">
        <v>7</v>
      </c>
      <c r="D146" s="60">
        <v>28</v>
      </c>
      <c r="E146" s="51">
        <v>1</v>
      </c>
      <c r="F146" s="51"/>
      <c r="G146" s="51"/>
      <c r="H146" s="51"/>
      <c r="I146" s="57">
        <f t="shared" si="5"/>
        <v>11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55</v>
      </c>
      <c r="B147" s="60">
        <v>254</v>
      </c>
      <c r="C147" s="50">
        <v>8</v>
      </c>
      <c r="D147" s="60">
        <v>28</v>
      </c>
      <c r="E147" s="51">
        <v>1</v>
      </c>
      <c r="F147" s="51"/>
      <c r="G147" s="51"/>
      <c r="H147" s="51"/>
      <c r="I147" s="57">
        <f>IF(A147&lt;&gt;0,(B147-(B146-D146))/(A147-A146),"")</f>
        <v>10.199999999999999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60</v>
      </c>
      <c r="B148" s="60">
        <v>273</v>
      </c>
      <c r="C148" s="50">
        <v>9</v>
      </c>
      <c r="D148" s="60">
        <v>28</v>
      </c>
      <c r="E148" s="51">
        <v>1</v>
      </c>
      <c r="F148" s="51"/>
      <c r="G148" s="51"/>
      <c r="H148" s="51"/>
      <c r="I148" s="57">
        <f t="shared" si="5"/>
        <v>9.4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65</v>
      </c>
      <c r="B149" s="60">
        <v>289</v>
      </c>
      <c r="C149" s="50">
        <v>10</v>
      </c>
      <c r="D149" s="60">
        <v>28</v>
      </c>
      <c r="E149" s="51">
        <v>1</v>
      </c>
      <c r="F149" s="51"/>
      <c r="G149" s="51"/>
      <c r="H149" s="51"/>
      <c r="I149" s="57">
        <f t="shared" si="5"/>
        <v>8.8000000000000007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70</v>
      </c>
      <c r="B150" s="60">
        <v>302</v>
      </c>
      <c r="C150" s="50">
        <v>11</v>
      </c>
      <c r="D150" s="60">
        <v>28</v>
      </c>
      <c r="E150" s="51">
        <v>1</v>
      </c>
      <c r="F150" s="51"/>
      <c r="G150" s="51"/>
      <c r="H150" s="51"/>
      <c r="I150" s="57">
        <f t="shared" si="5"/>
        <v>8.1999999999999993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75</v>
      </c>
      <c r="B151" s="60">
        <v>312</v>
      </c>
      <c r="C151" s="50">
        <v>12</v>
      </c>
      <c r="D151" s="60">
        <v>28</v>
      </c>
      <c r="E151" s="51">
        <v>1</v>
      </c>
      <c r="F151" s="51"/>
      <c r="G151" s="51"/>
      <c r="H151" s="51"/>
      <c r="I151" s="57">
        <f t="shared" si="5"/>
        <v>7.6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80</v>
      </c>
      <c r="B152" s="60">
        <v>320</v>
      </c>
      <c r="C152" s="50">
        <v>13</v>
      </c>
      <c r="D152" s="60">
        <v>28</v>
      </c>
      <c r="E152" s="54">
        <v>1</v>
      </c>
      <c r="F152" s="54"/>
      <c r="G152" s="54"/>
      <c r="H152" s="54"/>
      <c r="I152" s="57">
        <f t="shared" si="5"/>
        <v>7.2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85</v>
      </c>
      <c r="B153" s="60">
        <v>326</v>
      </c>
      <c r="C153" s="50">
        <v>14</v>
      </c>
      <c r="D153" s="60">
        <v>28</v>
      </c>
      <c r="E153" s="54">
        <v>1</v>
      </c>
      <c r="F153" s="54"/>
      <c r="G153" s="54"/>
      <c r="H153" s="54"/>
      <c r="I153" s="57">
        <f t="shared" si="5"/>
        <v>6.8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90</v>
      </c>
      <c r="B154" s="56">
        <v>330</v>
      </c>
      <c r="C154" s="50">
        <v>15</v>
      </c>
      <c r="D154" s="50">
        <v>28</v>
      </c>
      <c r="E154" s="54">
        <v>1</v>
      </c>
      <c r="F154" s="54"/>
      <c r="G154" s="54"/>
      <c r="H154" s="54"/>
      <c r="I154" s="57">
        <f t="shared" si="5"/>
        <v>6.4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95</v>
      </c>
      <c r="B155" s="56">
        <v>333</v>
      </c>
      <c r="C155" s="50">
        <v>16</v>
      </c>
      <c r="D155" s="50">
        <v>28</v>
      </c>
      <c r="E155" s="54">
        <v>1</v>
      </c>
      <c r="F155" s="54"/>
      <c r="G155" s="54"/>
      <c r="H155" s="54"/>
      <c r="I155" s="57">
        <f t="shared" si="5"/>
        <v>6.2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100</v>
      </c>
      <c r="B156" s="56">
        <v>333</v>
      </c>
      <c r="C156" s="50">
        <v>17</v>
      </c>
      <c r="D156" s="50">
        <v>27</v>
      </c>
      <c r="E156" s="54">
        <v>1</v>
      </c>
      <c r="F156" s="54"/>
      <c r="G156" s="54"/>
      <c r="H156" s="54"/>
      <c r="I156" s="57">
        <f t="shared" si="5"/>
        <v>5.6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>
        <v>105</v>
      </c>
      <c r="B157" s="56">
        <v>333</v>
      </c>
      <c r="C157" s="50">
        <v>18</v>
      </c>
      <c r="D157" s="50">
        <v>26</v>
      </c>
      <c r="E157" s="54">
        <v>1</v>
      </c>
      <c r="F157" s="54"/>
      <c r="G157" s="54"/>
      <c r="H157" s="54"/>
      <c r="I157" s="57">
        <f t="shared" si="5"/>
        <v>5.4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>
        <v>110</v>
      </c>
      <c r="B158" s="56">
        <v>332</v>
      </c>
      <c r="C158" s="50">
        <v>19</v>
      </c>
      <c r="D158" s="50">
        <v>25</v>
      </c>
      <c r="E158" s="54">
        <v>1</v>
      </c>
      <c r="F158" s="54"/>
      <c r="G158" s="54"/>
      <c r="H158" s="54"/>
      <c r="I158" s="57">
        <f t="shared" si="5"/>
        <v>5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>
        <v>115</v>
      </c>
      <c r="B159" s="56">
        <v>331</v>
      </c>
      <c r="C159" s="50">
        <v>20</v>
      </c>
      <c r="D159" s="58">
        <v>24</v>
      </c>
      <c r="E159" s="54">
        <v>1</v>
      </c>
      <c r="F159" s="54"/>
      <c r="G159" s="54"/>
      <c r="H159" s="54"/>
      <c r="I159" s="57">
        <f t="shared" si="5"/>
        <v>4.8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Chêne pédonculé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20</v>
      </c>
      <c r="B166" s="60">
        <v>73</v>
      </c>
      <c r="C166" s="60">
        <v>1</v>
      </c>
      <c r="D166" s="60">
        <v>6</v>
      </c>
      <c r="E166" s="51"/>
      <c r="F166" s="51"/>
      <c r="G166" s="51"/>
      <c r="H166" s="51">
        <v>1</v>
      </c>
      <c r="I166" s="49">
        <f>IFERROR(B166/A166,"")</f>
        <v>3.65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25</v>
      </c>
      <c r="B167" s="60">
        <v>103</v>
      </c>
      <c r="C167" s="60">
        <v>2</v>
      </c>
      <c r="D167" s="60">
        <v>28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7.2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30</v>
      </c>
      <c r="B168" s="60">
        <v>121</v>
      </c>
      <c r="C168" s="60">
        <v>3</v>
      </c>
      <c r="D168" s="60">
        <v>28</v>
      </c>
      <c r="E168" s="51"/>
      <c r="F168" s="51"/>
      <c r="G168" s="51"/>
      <c r="H168" s="51">
        <v>1</v>
      </c>
      <c r="I168" s="49">
        <f t="shared" si="6"/>
        <v>9.1999999999999993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35</v>
      </c>
      <c r="B169" s="60">
        <v>147</v>
      </c>
      <c r="C169" s="60">
        <v>4</v>
      </c>
      <c r="D169" s="60">
        <v>28</v>
      </c>
      <c r="E169" s="51">
        <v>1</v>
      </c>
      <c r="F169" s="51"/>
      <c r="G169" s="51"/>
      <c r="H169" s="51"/>
      <c r="I169" s="49">
        <f t="shared" si="6"/>
        <v>10.8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40</v>
      </c>
      <c r="B170" s="60">
        <v>175</v>
      </c>
      <c r="C170" s="60">
        <v>5</v>
      </c>
      <c r="D170" s="60">
        <v>28</v>
      </c>
      <c r="E170" s="51">
        <v>1</v>
      </c>
      <c r="F170" s="51"/>
      <c r="G170" s="51"/>
      <c r="H170" s="51"/>
      <c r="I170" s="49">
        <f t="shared" si="6"/>
        <v>11.2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45</v>
      </c>
      <c r="B171" s="60">
        <v>204</v>
      </c>
      <c r="C171" s="60">
        <v>6</v>
      </c>
      <c r="D171" s="60">
        <v>28</v>
      </c>
      <c r="E171" s="51">
        <v>1</v>
      </c>
      <c r="F171" s="51"/>
      <c r="G171" s="51"/>
      <c r="H171" s="51"/>
      <c r="I171" s="49">
        <f t="shared" si="6"/>
        <v>11.4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50</v>
      </c>
      <c r="B172" s="60">
        <v>231</v>
      </c>
      <c r="C172" s="60">
        <v>7</v>
      </c>
      <c r="D172" s="60">
        <v>28</v>
      </c>
      <c r="E172" s="51">
        <v>1</v>
      </c>
      <c r="F172" s="51"/>
      <c r="G172" s="51"/>
      <c r="H172" s="51"/>
      <c r="I172" s="49">
        <f t="shared" si="6"/>
        <v>11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55</v>
      </c>
      <c r="B173" s="50">
        <v>254</v>
      </c>
      <c r="C173" s="50">
        <v>8</v>
      </c>
      <c r="D173" s="50">
        <v>28</v>
      </c>
      <c r="E173" s="51">
        <v>1</v>
      </c>
      <c r="F173" s="51"/>
      <c r="G173" s="51"/>
      <c r="H173" s="51"/>
      <c r="I173" s="49">
        <f t="shared" si="6"/>
        <v>10.199999999999999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60</v>
      </c>
      <c r="B174" s="50">
        <v>273</v>
      </c>
      <c r="C174" s="50">
        <v>9</v>
      </c>
      <c r="D174" s="50">
        <v>28</v>
      </c>
      <c r="E174" s="51">
        <v>1</v>
      </c>
      <c r="F174" s="51"/>
      <c r="G174" s="51"/>
      <c r="H174" s="51"/>
      <c r="I174" s="49">
        <f t="shared" si="6"/>
        <v>9.4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65</v>
      </c>
      <c r="B175" s="50">
        <v>289</v>
      </c>
      <c r="C175" s="50">
        <v>10</v>
      </c>
      <c r="D175" s="50">
        <v>28</v>
      </c>
      <c r="E175" s="51">
        <v>1</v>
      </c>
      <c r="F175" s="51"/>
      <c r="G175" s="51"/>
      <c r="H175" s="51"/>
      <c r="I175" s="49">
        <f t="shared" si="6"/>
        <v>8.8000000000000007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70</v>
      </c>
      <c r="B176" s="50">
        <v>302</v>
      </c>
      <c r="C176" s="50">
        <v>11</v>
      </c>
      <c r="D176" s="50">
        <v>28</v>
      </c>
      <c r="E176" s="51">
        <v>1</v>
      </c>
      <c r="F176" s="51"/>
      <c r="G176" s="51"/>
      <c r="H176" s="51"/>
      <c r="I176" s="49">
        <f t="shared" si="6"/>
        <v>8.1999999999999993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75</v>
      </c>
      <c r="B177" s="50">
        <v>312</v>
      </c>
      <c r="C177" s="50">
        <v>12</v>
      </c>
      <c r="D177" s="50">
        <v>28</v>
      </c>
      <c r="E177" s="51">
        <v>1</v>
      </c>
      <c r="F177" s="51"/>
      <c r="G177" s="51"/>
      <c r="H177" s="51"/>
      <c r="I177" s="49">
        <f t="shared" si="6"/>
        <v>7.6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80</v>
      </c>
      <c r="B178" s="50">
        <v>320</v>
      </c>
      <c r="C178" s="50">
        <v>13</v>
      </c>
      <c r="D178" s="50">
        <v>28</v>
      </c>
      <c r="E178" s="51">
        <v>1</v>
      </c>
      <c r="F178" s="51"/>
      <c r="G178" s="51"/>
      <c r="H178" s="51"/>
      <c r="I178" s="49">
        <f t="shared" si="6"/>
        <v>7.2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85</v>
      </c>
      <c r="B179" s="50">
        <v>326</v>
      </c>
      <c r="C179" s="50">
        <v>14</v>
      </c>
      <c r="D179" s="50">
        <v>28</v>
      </c>
      <c r="E179" s="51">
        <v>1</v>
      </c>
      <c r="F179" s="51"/>
      <c r="G179" s="51"/>
      <c r="H179" s="51"/>
      <c r="I179" s="49">
        <f t="shared" si="6"/>
        <v>6.8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90</v>
      </c>
      <c r="B180" s="50">
        <v>330</v>
      </c>
      <c r="C180" s="50">
        <v>15</v>
      </c>
      <c r="D180" s="50">
        <v>28</v>
      </c>
      <c r="E180" s="51">
        <v>1</v>
      </c>
      <c r="F180" s="51"/>
      <c r="G180" s="51"/>
      <c r="H180" s="51"/>
      <c r="I180" s="49">
        <f t="shared" si="6"/>
        <v>6.4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95</v>
      </c>
      <c r="B181" s="50">
        <v>333</v>
      </c>
      <c r="C181" s="50">
        <v>16</v>
      </c>
      <c r="D181" s="50">
        <v>28</v>
      </c>
      <c r="E181" s="51">
        <v>1</v>
      </c>
      <c r="F181" s="51"/>
      <c r="G181" s="51"/>
      <c r="H181" s="51"/>
      <c r="I181" s="49">
        <f t="shared" si="6"/>
        <v>6.2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100</v>
      </c>
      <c r="B182" s="50">
        <v>333</v>
      </c>
      <c r="C182" s="50">
        <v>17</v>
      </c>
      <c r="D182" s="50">
        <v>27</v>
      </c>
      <c r="E182" s="51">
        <v>1</v>
      </c>
      <c r="F182" s="51"/>
      <c r="G182" s="51"/>
      <c r="H182" s="51"/>
      <c r="I182" s="49">
        <f t="shared" si="6"/>
        <v>5.6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>
        <v>105</v>
      </c>
      <c r="B183" s="50">
        <v>333</v>
      </c>
      <c r="C183" s="50">
        <v>18</v>
      </c>
      <c r="D183" s="50">
        <v>26</v>
      </c>
      <c r="E183" s="51">
        <v>1</v>
      </c>
      <c r="F183" s="51"/>
      <c r="G183" s="51"/>
      <c r="H183" s="51"/>
      <c r="I183" s="49">
        <f t="shared" si="6"/>
        <v>5.4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>
        <v>110</v>
      </c>
      <c r="B184" s="50">
        <v>332</v>
      </c>
      <c r="C184" s="50">
        <v>19</v>
      </c>
      <c r="D184" s="50">
        <v>25</v>
      </c>
      <c r="E184" s="51">
        <v>1</v>
      </c>
      <c r="F184" s="51"/>
      <c r="G184" s="51"/>
      <c r="H184" s="51"/>
      <c r="I184" s="49">
        <f t="shared" si="6"/>
        <v>5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>
        <v>115</v>
      </c>
      <c r="B185" s="50">
        <v>331</v>
      </c>
      <c r="C185" s="50">
        <v>20</v>
      </c>
      <c r="D185" s="50">
        <v>24</v>
      </c>
      <c r="E185" s="51">
        <v>1</v>
      </c>
      <c r="F185" s="51"/>
      <c r="G185" s="51"/>
      <c r="H185" s="51"/>
      <c r="I185" s="49">
        <f t="shared" si="6"/>
        <v>4.8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Douglas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19</v>
      </c>
      <c r="B192" s="60">
        <v>162</v>
      </c>
      <c r="C192" s="60"/>
      <c r="D192" s="60">
        <v>0</v>
      </c>
      <c r="E192" s="51"/>
      <c r="F192" s="51"/>
      <c r="G192" s="51"/>
      <c r="H192" s="51"/>
      <c r="I192" s="49">
        <f>IFERROR(B192/A192,"")</f>
        <v>8.526315789473685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25</v>
      </c>
      <c r="B193" s="60">
        <v>335</v>
      </c>
      <c r="C193" s="60">
        <v>1</v>
      </c>
      <c r="D193" s="60">
        <v>54</v>
      </c>
      <c r="E193" s="51"/>
      <c r="F193" s="51"/>
      <c r="G193" s="51">
        <v>1</v>
      </c>
      <c r="H193" s="51"/>
      <c r="I193" s="49">
        <f t="shared" ref="I193:I211" si="7">IF(A193&lt;&gt;0,(B193-(B192-D192))/(A193-A192),"")</f>
        <v>28.833333333333332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30</v>
      </c>
      <c r="B194" s="60">
        <v>421</v>
      </c>
      <c r="C194" s="60">
        <v>2</v>
      </c>
      <c r="D194" s="60">
        <v>54</v>
      </c>
      <c r="E194" s="51"/>
      <c r="F194" s="51">
        <v>1</v>
      </c>
      <c r="G194" s="51"/>
      <c r="H194" s="51"/>
      <c r="I194" s="49">
        <f t="shared" si="7"/>
        <v>28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35</v>
      </c>
      <c r="B195" s="60">
        <v>505</v>
      </c>
      <c r="C195" s="60">
        <v>3</v>
      </c>
      <c r="D195" s="60">
        <v>69</v>
      </c>
      <c r="E195" s="51">
        <v>1</v>
      </c>
      <c r="F195" s="51"/>
      <c r="G195" s="51"/>
      <c r="H195" s="51"/>
      <c r="I195" s="49">
        <f t="shared" si="7"/>
        <v>27.6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40</v>
      </c>
      <c r="B196" s="60">
        <v>564</v>
      </c>
      <c r="C196" s="60">
        <v>4</v>
      </c>
      <c r="D196" s="60">
        <v>72</v>
      </c>
      <c r="E196" s="51">
        <v>1</v>
      </c>
      <c r="F196" s="51"/>
      <c r="G196" s="51"/>
      <c r="H196" s="51"/>
      <c r="I196" s="49">
        <f t="shared" si="7"/>
        <v>25.6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45</v>
      </c>
      <c r="B197" s="60">
        <v>606</v>
      </c>
      <c r="C197" s="60">
        <v>5</v>
      </c>
      <c r="D197" s="60">
        <v>66</v>
      </c>
      <c r="E197" s="51">
        <v>1</v>
      </c>
      <c r="F197" s="51"/>
      <c r="G197" s="51"/>
      <c r="H197" s="51"/>
      <c r="I197" s="49">
        <f t="shared" si="7"/>
        <v>22.8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50</v>
      </c>
      <c r="B198" s="60">
        <v>629</v>
      </c>
      <c r="C198" s="60">
        <v>6</v>
      </c>
      <c r="D198" s="60">
        <v>48</v>
      </c>
      <c r="E198" s="51">
        <v>1</v>
      </c>
      <c r="F198" s="51"/>
      <c r="G198" s="51"/>
      <c r="H198" s="51"/>
      <c r="I198" s="49">
        <f t="shared" si="7"/>
        <v>17.8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55</v>
      </c>
      <c r="B199" s="50">
        <v>650</v>
      </c>
      <c r="C199" s="50">
        <v>7</v>
      </c>
      <c r="D199" s="50">
        <v>35</v>
      </c>
      <c r="E199" s="51">
        <v>1</v>
      </c>
      <c r="F199" s="51"/>
      <c r="G199" s="51"/>
      <c r="H199" s="51"/>
      <c r="I199" s="49">
        <f t="shared" si="7"/>
        <v>13.8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60</v>
      </c>
      <c r="B200" s="50">
        <v>666</v>
      </c>
      <c r="C200" s="50">
        <v>8</v>
      </c>
      <c r="D200" s="50">
        <v>29</v>
      </c>
      <c r="E200" s="51">
        <v>1</v>
      </c>
      <c r="F200" s="51"/>
      <c r="G200" s="51"/>
      <c r="H200" s="51"/>
      <c r="I200" s="49">
        <f t="shared" si="7"/>
        <v>10.199999999999999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18" sqref="G1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rouge d'Amérique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Erable sycomore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Douglas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Aulne glutineux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Chêne sessile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Chêne pédonculé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Douglas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304.32767345253382</v>
      </c>
      <c r="T3" s="59">
        <f>IF('Données projet'!E9&gt;30,$R$33-$H$33,LOOKUP('Données projet'!$E$9,$A$3:$A$203,R3:R203)-LOOKUP('Données projet'!$E$9,$A$3:$A$203,$H$3:$H$203))</f>
        <v>427.16091343339173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405.40026823646758</v>
      </c>
      <c r="AO3" s="59">
        <f>IF('Données projet'!E10&gt;30,$AM$33-$H$33,LOOKUP('Données projet'!$E$10,$A$3:$A$203,AM3:AM203)-LOOKUP('Données projet'!$E$10,$A$3:$A$203,$H$3:$H$203))</f>
        <v>393.0787141050053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555.15881087162279</v>
      </c>
      <c r="BJ3" s="59">
        <f>IF('Données projet'!E11&gt;30,$BH$33-$H$33,LOOKUP('Données projet'!$E$11,$A$3:$A$203,BH3:BH203)-LOOKUP('Données projet'!$E$11,$A$3:$A$203,$H$3:$H$203))</f>
        <v>668.20427590250733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340.49092994349405</v>
      </c>
      <c r="CE3" s="59">
        <f>IF('Données projet'!E12&gt;30,$CC$33-$H$33,LOOKUP('Données projet'!$E$12,$A$3:$A$203,CC3:CC203)-LOOKUP('Données projet'!$E$12,$A$3:$A$203,$H$3:$H$203))</f>
        <v>331.54434271908832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439.19854273764042</v>
      </c>
      <c r="CZ3" s="59">
        <f>IF('Données projet'!E13&gt;30,$CX$33-$H$33,LOOKUP('Données projet'!$E$13,$A$3:$A$203,CX3:CX203)-LOOKUP('Données projet'!$E$13,$A$3:$A$203,$H$3:$H$203))</f>
        <v>278.21741231699929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411.72284844766</v>
      </c>
      <c r="DU3" s="59">
        <f>IF('Données projet'!E14&gt;30,$DS$33-$H$33,LOOKUP('Données projet'!$E$14,$A$3:$A$203,DS3:DS203)-LOOKUP('Données projet'!$E$14,$A$3:$A$203,$H$3:$H$203))</f>
        <v>261.95434270986397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443.34220761968419</v>
      </c>
      <c r="EP3" s="59">
        <f>IF('Données projet'!E15&gt;30,$EN$33-$H$33,LOOKUP('Données projet'!$E$15,$A$3:$A$203,EN3:EN203)-LOOKUP('Données projet'!$E$15,$A$3:$A$203,$H$3:$H$203))</f>
        <v>546.58234447298014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7.1333333333333337</v>
      </c>
      <c r="N4" s="13">
        <f>IF('Données projet'!$A$36&gt;35,N3+M4-V3,IF(A4&lt;'Données projet'!$A$36,$K$205^A4,IF(A4='Données projet'!$A$36,'Données projet'!$B$36,N3+M4-V3)))</f>
        <v>1.3655017210306359</v>
      </c>
      <c r="O4" s="13">
        <f>N4*VLOOKUP('Données projet'!$B$9,Paramètres!$A$1:$I$89,3,0)*VLOOKUP('Données projet'!$B$9,Paramètres!$A$1:$I$89,5,0)</f>
        <v>1.1929023034923638</v>
      </c>
      <c r="P4" s="13">
        <f>EXP(-1.0587+0.8836*LN(O4)+0.284)</f>
        <v>0.53856749022761552</v>
      </c>
      <c r="Q4" s="20">
        <f t="shared" ref="Q4:Q34" si="2">(O4+P4)*0.475*44/12</f>
        <v>3.015643224062297</v>
      </c>
      <c r="R4" s="59">
        <f t="shared" si="0"/>
        <v>260.90453211295113</v>
      </c>
      <c r="S4" s="59">
        <f ca="1">AVERAGE(OFFSET($R$3,0,0,'Données projet'!$E$9+1,1))-AVERAGE(OFFSET($H$3,0,0,'Données projet'!$E$9+1,1))</f>
        <v>304.32767345253382</v>
      </c>
      <c r="T4" s="59">
        <f>$T$3</f>
        <v>427.16091343339173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1.9</v>
      </c>
      <c r="AI4" s="13">
        <f>IF('Données projet'!$A$62&gt;35,AI3+AH4-AQ3,IF(A4&lt;'Données projet'!$A$62,$AF$205^A4,IF(A4='Données projet'!$A$62,'Données projet'!$B$62,AI3+AH4-AQ3)))</f>
        <v>1.3423796509621049</v>
      </c>
      <c r="AJ4" s="13">
        <f>AI4*VLOOKUP('Données projet'!$B$10,Paramètres!$A$1:$I$89,3,0)*VLOOKUP('Données projet'!$B$10,Paramètres!$A$1:$I$89,5,0)</f>
        <v>1.0679972503054507</v>
      </c>
      <c r="AK4" s="13">
        <f>EXP(-1.0587+0.8836*LN(AJ4)+0.284)</f>
        <v>0.48842359485523285</v>
      </c>
      <c r="AL4" s="20">
        <f t="shared" ref="AL4:AL67" si="4">(AJ4+AK4)*0.475*44/12</f>
        <v>2.7107663053215236</v>
      </c>
      <c r="AM4" s="59">
        <f t="shared" ref="AM4:AM67" si="5">AL4+(AD4+AE4)*44/12</f>
        <v>260.59965519421036</v>
      </c>
      <c r="AN4" s="59">
        <f ca="1">AVERAGE(OFFSET($AM$3,0,0,'Données projet'!$E$10+1,1))-AVERAGE(OFFSET($H$3,0,0,'Données projet'!$E$10+1,1))</f>
        <v>405.40026823646758</v>
      </c>
      <c r="AO4" s="59">
        <f>$AO$3</f>
        <v>393.0787141050053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10.8</v>
      </c>
      <c r="BD4" s="12">
        <f>IF('Données projet'!$A$88&gt;35,BD3+BC4-BL3,IF(A4&lt;'Données projet'!$A$88,$BA$205^A4,IF(A4='Données projet'!$A$88,'Données projet'!$B$88,BD3+BC4-BL3)))</f>
        <v>1.4037863041747067</v>
      </c>
      <c r="BE4" s="13">
        <f>BD4*VLOOKUP('Données projet'!$B$11,Paramètres!$A$1:$I$89,3,0)*VLOOKUP('Données projet'!$B$11,Paramètres!$A$1:$I$89,5,0)</f>
        <v>0.78471654403366109</v>
      </c>
      <c r="BF4" s="13">
        <f>EXP(-1.0587+0.8836*LN(BE4)+0.284)</f>
        <v>0.37198061042729702</v>
      </c>
      <c r="BG4" s="20">
        <f t="shared" ref="BG4:BG67" si="7">(BE4+BF4)*0.475*44/12</f>
        <v>2.0145808773528358</v>
      </c>
      <c r="BH4" s="59">
        <f t="shared" ref="BH4:BH67" si="8">BG4+(AY4+AZ4)*44/12</f>
        <v>259.9034697662417</v>
      </c>
      <c r="BI4" s="59">
        <f ca="1">AVERAGE(OFFSET($BH$3,0,0,'Données projet'!$E$11+1,1))-AVERAGE(OFFSET($H$3,0,0,'Données projet'!$E$11+1,1))</f>
        <v>555.15881087162279</v>
      </c>
      <c r="BJ4" s="59">
        <f>$BJ$3</f>
        <v>668.20427590250733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1.9</v>
      </c>
      <c r="BY4" s="12">
        <f>IF('Données projet'!$A$114&gt;35,BY3+BX4-CG3,IF(A4&lt;'Données projet'!$A$114,$BV$205^A4,IF(A4='Données projet'!$A$114,'Données projet'!$B$114,BY3+BX4-CG3)))</f>
        <v>1.3423796509621049</v>
      </c>
      <c r="BZ4" s="13">
        <f>BY4*VLOOKUP('Données projet'!$B$12,Paramètres!$A$1:$I$89,3,0)*VLOOKUP('Données projet'!$B$12,Paramètres!$A$1:$I$89,5,0)</f>
        <v>0.87952714731037107</v>
      </c>
      <c r="CA4" s="13">
        <f>EXP(-1.0587+0.8836*LN(BZ4)+0.284)</f>
        <v>0.41142502211103227</v>
      </c>
      <c r="CB4" s="20">
        <f t="shared" ref="CB4:CB67" si="10">(BZ4+CA4)*0.475*44/12</f>
        <v>2.2484083617422774</v>
      </c>
      <c r="CC4" s="59">
        <f t="shared" ref="CC4:CC67" si="11">CB4+(BT4+BU4)*44/12</f>
        <v>260.13729725063115</v>
      </c>
      <c r="CD4" s="59">
        <f ca="1">AVERAGE(OFFSET($CC$3,0,0,'Données projet'!$E$12+1,1))-AVERAGE(OFFSET($H$3,0,0,'Données projet'!$E$12+1,1))</f>
        <v>340.49092994349405</v>
      </c>
      <c r="CE4" s="59">
        <f>$CE$3</f>
        <v>331.54434271908832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3.65</v>
      </c>
      <c r="CT4" s="12">
        <f>IF('Données projet'!$A$140&gt;35,CT3+CS4-DB3,IF(A4&lt;'Données projet'!$A$140,$CQ$205^A4,IF(A4='Données projet'!$A$140,'Données projet'!$B$140,CT3+CS4-DB3)))</f>
        <v>1.2392705892426346</v>
      </c>
      <c r="CU4" s="17">
        <f>CT4*VLOOKUP('Données projet'!$B$13,Paramètres!$A$1:$I$89,3,0)*VLOOKUP('Données projet'!$B$13,Paramètres!$A$1:$I$89,5,0)</f>
        <v>1.1212920291467359</v>
      </c>
      <c r="CV4" s="13">
        <f>EXP(-1.0587+0.8836*LN(CU4)+0.284)</f>
        <v>0.50989827066551541</v>
      </c>
      <c r="CW4" s="20">
        <f t="shared" ref="CW4:CW67" si="13">(CU4+CV4)*0.475*44/12</f>
        <v>2.8409897721730037</v>
      </c>
      <c r="CX4" s="59">
        <f t="shared" ref="CX4:CX67" si="14">CW4+(CO4+CP4)*44/12</f>
        <v>260.72987866106189</v>
      </c>
      <c r="CY4" s="59">
        <f ca="1">AVERAGE(OFFSET($CX$3,0,0,'Données projet'!$E$13+1,1))-AVERAGE(OFFSET($H$3,0,0,'Données projet'!$E$13+1,1))</f>
        <v>439.19854273764042</v>
      </c>
      <c r="CZ4" s="59">
        <f>$CZ$3</f>
        <v>278.21741231699929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3.65</v>
      </c>
      <c r="DO4" s="12">
        <f>IF('Données projet'!$A$166&gt;35,DO3+DN4-DW3,IF(A4&lt;'Données projet'!$A$166,$DL$205^A4,IF(A4='Données projet'!$A$166,'Données projet'!$B$166,DO3+DN4-DW3)))</f>
        <v>1.2392705892426346</v>
      </c>
      <c r="DP4" s="17">
        <f>DO4*VLOOKUP('Données projet'!$B$14,Paramètres!$A$1:$I$89,3,0)*VLOOKUP('Données projet'!$B$14,Paramètres!$A$1:$I$89,5,0)</f>
        <v>1.0439615443779955</v>
      </c>
      <c r="DQ4" s="13">
        <f>EXP(-1.0587+0.8836*LN(DP4)+0.284)</f>
        <v>0.478698084995758</v>
      </c>
      <c r="DR4" s="20">
        <f t="shared" ref="DR4:DR67" si="16">(DP4+DQ4)*0.475*44/12</f>
        <v>2.6519655211592874</v>
      </c>
      <c r="DS4" s="59">
        <f t="shared" ref="DS4:DS67" si="17">DR4+(DJ4+DK4)*44/12</f>
        <v>260.54085441004815</v>
      </c>
      <c r="DT4" s="59">
        <f ca="1">AVERAGE(OFFSET($DS$3,0,0,'Données projet'!$E$14+1,1))-AVERAGE(OFFSET($H$3,0,0,'Données projet'!$E$14+1,1))</f>
        <v>411.72284844766</v>
      </c>
      <c r="DU4" s="59">
        <f>$DU$3</f>
        <v>261.95434270986397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8.526315789473685</v>
      </c>
      <c r="EJ4" s="12">
        <f>IF('Données projet'!$A$192&gt;35,EJ3+EI4-ER3,IF(A4&lt;'Données projet'!$A$192,$EG$205^A4,IF(A4='Données projet'!$A$192,'Données projet'!$B$192,EJ3+EI4-ER3)))</f>
        <v>1.3070441688874561</v>
      </c>
      <c r="EK4" s="17">
        <f>EJ4*VLOOKUP('Données projet'!$B$15,Paramètres!$A$1:$I$89,3,0)*VLOOKUP('Données projet'!$B$15,Paramètres!$A$1:$I$89,5,0)</f>
        <v>0.73063769040808801</v>
      </c>
      <c r="EL4" s="13">
        <f>EXP(-1.0587+0.8836*LN(EK4)+0.284)</f>
        <v>0.34923616900555043</v>
      </c>
      <c r="EM4" s="20">
        <f t="shared" ref="EM4:EM67" si="19">(EK4+EL4)*0.475*44/12</f>
        <v>1.8807803051454206</v>
      </c>
      <c r="EN4" s="59">
        <f t="shared" ref="EN4:EN67" si="20">EM4+(EE4+EF4)*44/12</f>
        <v>259.76966919403429</v>
      </c>
      <c r="EO4" s="59">
        <f ca="1">AVERAGE(OFFSET($EN$3,0,0,'Données projet'!$E$15+1,1))-AVERAGE(OFFSET($H$3,0,0,'Données projet'!$E$15+1,1))</f>
        <v>443.34220761968419</v>
      </c>
      <c r="EP4" s="59">
        <f>$EP$3</f>
        <v>546.58234447298014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7.1333333333333337</v>
      </c>
      <c r="N5" s="13">
        <f>IF('Données projet'!$A$36&gt;35,N4+M5-V4,IF(A5&lt;'Données projet'!$A$36,$K$205^A5,IF(A5='Données projet'!$A$36,'Données projet'!$B$36,N4+M5-V4)))</f>
        <v>1.8645949501376287</v>
      </c>
      <c r="O5" s="13">
        <f>N5*VLOOKUP('Données projet'!$B$9,Paramètres!$A$1:$I$89,3,0)*VLOOKUP('Données projet'!$B$9,Paramètres!$A$1:$I$89,5,0)</f>
        <v>1.6289101484402326</v>
      </c>
      <c r="P5" s="13">
        <f t="shared" ref="P5:P68" si="33">EXP(-1.0587+0.8836*LN(O5)+0.284)</f>
        <v>0.70922554238821334</v>
      </c>
      <c r="Q5" s="20">
        <f t="shared" si="2"/>
        <v>4.0722529948595438</v>
      </c>
      <c r="R5" s="59">
        <f t="shared" si="0"/>
        <v>263.18336410597067</v>
      </c>
      <c r="S5" s="59">
        <f ca="1">AVERAGE(OFFSET($R$3,0,0,'Données projet'!$E$9+1,1))-AVERAGE(OFFSET($H$3,0,0,'Données projet'!$E$9+1,1))</f>
        <v>304.32767345253382</v>
      </c>
      <c r="T5" s="59">
        <f t="shared" ref="T5:T68" si="34">$T$3</f>
        <v>427.16091343339173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1.9</v>
      </c>
      <c r="AI5" s="13">
        <f>IF('Données projet'!$A$62&gt;35,AI4+AH5-AQ4,IF(A5&lt;'Données projet'!$A$62,$AF$205^A5,IF(A5='Données projet'!$A$62,'Données projet'!$B$62,AI4+AH5-AQ4)))</f>
        <v>1.8019831273171425</v>
      </c>
      <c r="AJ5" s="13">
        <f>AI5*VLOOKUP('Données projet'!$B$10,Paramètres!$A$1:$I$89,3,0)*VLOOKUP('Données projet'!$B$10,Paramètres!$A$1:$I$89,5,0)</f>
        <v>1.4336577760935185</v>
      </c>
      <c r="AK5" s="13">
        <f t="shared" ref="AK5:AK68" si="35">EXP(-1.0587+0.8836*LN(AJ5)+0.284)</f>
        <v>0.63355934907379652</v>
      </c>
      <c r="AL5" s="20">
        <f t="shared" si="4"/>
        <v>3.6004031596664068</v>
      </c>
      <c r="AM5" s="59">
        <f t="shared" si="5"/>
        <v>262.71151427077757</v>
      </c>
      <c r="AN5" s="59">
        <f ca="1">AVERAGE(OFFSET($AM$3,0,0,'Données projet'!$E$10+1,1))-AVERAGE(OFFSET($H$3,0,0,'Données projet'!$E$10+1,1))</f>
        <v>405.40026823646758</v>
      </c>
      <c r="AO5" s="59">
        <f t="shared" ref="AO5:AO68" si="36">$AO$3</f>
        <v>393.0787141050053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10.8</v>
      </c>
      <c r="BD5" s="12">
        <f>IF('Données projet'!$A$88&gt;35,BD4+BC5-BL4,IF(A5&lt;'Données projet'!$A$88,$BA$205^A5,IF(A5='Données projet'!$A$88,'Données projet'!$B$88,BD4+BC5-BL4)))</f>
        <v>1.9706159877884823</v>
      </c>
      <c r="BE5" s="13">
        <f>BD5*VLOOKUP('Données projet'!$B$11,Paramètres!$A$1:$I$89,3,0)*VLOOKUP('Données projet'!$B$11,Paramètres!$A$1:$I$89,5,0)</f>
        <v>1.1015743371737616</v>
      </c>
      <c r="BF5" s="13">
        <f t="shared" ref="BF5:BF68" si="37">EXP(-1.0587+0.8836*LN(BE5)+0.284)</f>
        <v>0.50196734705126034</v>
      </c>
      <c r="BG5" s="20">
        <f t="shared" si="7"/>
        <v>2.7928351000252465</v>
      </c>
      <c r="BH5" s="59">
        <f t="shared" si="8"/>
        <v>261.90394621113637</v>
      </c>
      <c r="BI5" s="59">
        <f ca="1">AVERAGE(OFFSET($BH$3,0,0,'Données projet'!$E$11+1,1))-AVERAGE(OFFSET($H$3,0,0,'Données projet'!$E$11+1,1))</f>
        <v>555.15881087162279</v>
      </c>
      <c r="BJ5" s="59">
        <f t="shared" ref="BJ5:BJ68" si="38">$BJ$3</f>
        <v>668.20427590250733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1.9</v>
      </c>
      <c r="BY5" s="12">
        <f>IF('Données projet'!$A$114&gt;35,BY4+BX5-CG4,IF(A5&lt;'Données projet'!$A$114,$BV$205^A5,IF(A5='Données projet'!$A$114,'Données projet'!$B$114,BY4+BX5-CG4)))</f>
        <v>1.8019831273171425</v>
      </c>
      <c r="BZ5" s="13">
        <f>BY5*VLOOKUP('Données projet'!$B$12,Paramètres!$A$1:$I$89,3,0)*VLOOKUP('Données projet'!$B$12,Paramètres!$A$1:$I$89,5,0)</f>
        <v>1.1806593450181917</v>
      </c>
      <c r="CA5" s="13">
        <f t="shared" ref="CA5:CA68" si="39">EXP(-1.0587+0.8836*LN(BZ5)+0.284)</f>
        <v>0.5336805427645186</v>
      </c>
      <c r="CB5" s="20">
        <f t="shared" si="10"/>
        <v>2.9858086378882205</v>
      </c>
      <c r="CC5" s="59">
        <f t="shared" si="11"/>
        <v>262.09691974899937</v>
      </c>
      <c r="CD5" s="59">
        <f ca="1">AVERAGE(OFFSET($CC$3,0,0,'Données projet'!$E$12+1,1))-AVERAGE(OFFSET($H$3,0,0,'Données projet'!$E$12+1,1))</f>
        <v>340.49092994349405</v>
      </c>
      <c r="CE5" s="59">
        <f t="shared" ref="CE5:CE68" si="40">$CE$3</f>
        <v>331.54434271908832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3.65</v>
      </c>
      <c r="CT5" s="12">
        <f>IF('Données projet'!$A$140&gt;35,CT4+CS5-DB4,IF(A5&lt;'Données projet'!$A$140,$CQ$205^A5,IF(A5='Données projet'!$A$140,'Données projet'!$B$140,CT4+CS5-DB4)))</f>
        <v>1.5357915933617867</v>
      </c>
      <c r="CU5" s="17">
        <f>CT5*VLOOKUP('Données projet'!$B$13,Paramètres!$A$1:$I$89,3,0)*VLOOKUP('Données projet'!$B$13,Paramètres!$A$1:$I$89,5,0)</f>
        <v>1.3895842336737447</v>
      </c>
      <c r="CV5" s="13">
        <f t="shared" ref="CV5:CV68" si="41">EXP(-1.0587+0.8836*LN(CU5)+0.284)</f>
        <v>0.61631841327304715</v>
      </c>
      <c r="CW5" s="20">
        <f t="shared" si="13"/>
        <v>3.4936137767656628</v>
      </c>
      <c r="CX5" s="59">
        <f t="shared" si="14"/>
        <v>262.60472488787678</v>
      </c>
      <c r="CY5" s="59">
        <f ca="1">AVERAGE(OFFSET($CX$3,0,0,'Données projet'!$E$13+1,1))-AVERAGE(OFFSET($H$3,0,0,'Données projet'!$E$13+1,1))</f>
        <v>439.19854273764042</v>
      </c>
      <c r="CZ5" s="59">
        <f t="shared" ref="CZ5:CZ68" si="42">$CZ$3</f>
        <v>278.21741231699929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3.65</v>
      </c>
      <c r="DO5" s="12">
        <f>IF('Données projet'!$A$166&gt;35,DO4+DN5-DW4,IF(A5&lt;'Données projet'!$A$166,$DL$205^A5,IF(A5='Données projet'!$A$166,'Données projet'!$B$166,DO4+DN5-DW4)))</f>
        <v>1.5357915933617867</v>
      </c>
      <c r="DP5" s="17">
        <f>DO5*VLOOKUP('Données projet'!$B$14,Paramètres!$A$1:$I$89,3,0)*VLOOKUP('Données projet'!$B$14,Paramètres!$A$1:$I$89,5,0)</f>
        <v>1.2937508382479692</v>
      </c>
      <c r="DQ5" s="13">
        <f t="shared" ref="DQ5:DQ68" si="43">EXP(-1.0587+0.8836*LN(DP5)+0.284)</f>
        <v>0.57860648124254321</v>
      </c>
      <c r="DR5" s="20">
        <f t="shared" si="16"/>
        <v>3.2610223314459752</v>
      </c>
      <c r="DS5" s="59">
        <f t="shared" si="17"/>
        <v>262.37213344255713</v>
      </c>
      <c r="DT5" s="59">
        <f ca="1">AVERAGE(OFFSET($DS$3,0,0,'Données projet'!$E$14+1,1))-AVERAGE(OFFSET($H$3,0,0,'Données projet'!$E$14+1,1))</f>
        <v>411.72284844766</v>
      </c>
      <c r="DU5" s="59">
        <f t="shared" ref="DU5:DU68" si="44">$DU$3</f>
        <v>261.95434270986397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8.526315789473685</v>
      </c>
      <c r="EJ5" s="12">
        <f>IF('Données projet'!$A$192&gt;35,EJ4+EI5-ER4,IF(A5&lt;'Données projet'!$A$192,$EG$205^A5,IF(A5='Données projet'!$A$192,'Données projet'!$B$192,EJ4+EI5-ER4)))</f>
        <v>1.708364459422701</v>
      </c>
      <c r="EK5" s="17">
        <f>EJ5*VLOOKUP('Données projet'!$B$15,Paramètres!$A$1:$I$89,3,0)*VLOOKUP('Données projet'!$B$15,Paramètres!$A$1:$I$89,5,0)</f>
        <v>0.95497573281728976</v>
      </c>
      <c r="EL5" s="13">
        <f t="shared" ref="EL5:EL68" si="45">EXP(-1.0587+0.8836*LN(EK5)+0.284)</f>
        <v>0.44245926414263009</v>
      </c>
      <c r="EM5" s="20">
        <f t="shared" si="19"/>
        <v>2.4338659530385267</v>
      </c>
      <c r="EN5" s="59">
        <f t="shared" si="20"/>
        <v>261.54497706414969</v>
      </c>
      <c r="EO5" s="59">
        <f ca="1">AVERAGE(OFFSET($EN$3,0,0,'Données projet'!$E$15+1,1))-AVERAGE(OFFSET($H$3,0,0,'Données projet'!$E$15+1,1))</f>
        <v>443.34220761968419</v>
      </c>
      <c r="EP5" s="59">
        <f t="shared" ref="EP5:EP68" si="46">$EP$3</f>
        <v>546.58234447298014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7.1333333333333337</v>
      </c>
      <c r="N6" s="13">
        <f>IF('Données projet'!$A$36&gt;35,N5+M6-V5,IF(A6&lt;'Données projet'!$A$36,$K$205^A6,IF(A6='Données projet'!$A$36,'Données projet'!$B$36,N5+M6-V5)))</f>
        <v>2.5461076134379645</v>
      </c>
      <c r="O6" s="13">
        <f>N6*VLOOKUP('Données projet'!$B$9,Paramètres!$A$1:$I$89,3,0)*VLOOKUP('Données projet'!$B$9,Paramètres!$A$1:$I$89,5,0)</f>
        <v>2.2242796110994063</v>
      </c>
      <c r="P6" s="13">
        <f t="shared" si="33"/>
        <v>0.93396069963909534</v>
      </c>
      <c r="Q6" s="20">
        <f t="shared" si="2"/>
        <v>5.5006018745362235</v>
      </c>
      <c r="R6" s="59">
        <f t="shared" si="0"/>
        <v>265.83393520786956</v>
      </c>
      <c r="S6" s="59">
        <f ca="1">AVERAGE(OFFSET($R$3,0,0,'Données projet'!$E$9+1,1))-AVERAGE(OFFSET($H$3,0,0,'Données projet'!$E$9+1,1))</f>
        <v>304.32767345253382</v>
      </c>
      <c r="T6" s="59">
        <f t="shared" si="34"/>
        <v>427.16091343339173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1.9</v>
      </c>
      <c r="AI6" s="13">
        <f>IF('Données projet'!$A$62&gt;35,AI5+AH6-AQ5,IF(A6&lt;'Données projet'!$A$62,$AF$205^A6,IF(A6='Données projet'!$A$62,'Données projet'!$B$62,AI5+AH6-AQ5)))</f>
        <v>2.4189454814875879</v>
      </c>
      <c r="AJ6" s="13">
        <f>AI6*VLOOKUP('Données projet'!$B$10,Paramètres!$A$1:$I$89,3,0)*VLOOKUP('Données projet'!$B$10,Paramètres!$A$1:$I$89,5,0)</f>
        <v>1.9245130250715252</v>
      </c>
      <c r="AK6" s="13">
        <f t="shared" si="35"/>
        <v>0.82182239561499026</v>
      </c>
      <c r="AL6" s="20">
        <f t="shared" si="4"/>
        <v>4.7832008576956815</v>
      </c>
      <c r="AM6" s="59">
        <f t="shared" si="5"/>
        <v>265.11653419102902</v>
      </c>
      <c r="AN6" s="59">
        <f ca="1">AVERAGE(OFFSET($AM$3,0,0,'Données projet'!$E$10+1,1))-AVERAGE(OFFSET($H$3,0,0,'Données projet'!$E$10+1,1))</f>
        <v>405.40026823646758</v>
      </c>
      <c r="AO6" s="59">
        <f t="shared" si="36"/>
        <v>393.0787141050053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10.8</v>
      </c>
      <c r="BD6" s="12">
        <f>IF('Données projet'!$A$88&gt;35,BD5+BC6-BL5,IF(A6&lt;'Données projet'!$A$88,$BA$205^A6,IF(A6='Données projet'!$A$88,'Données projet'!$B$88,BD5+BC6-BL5)))</f>
        <v>2.7663237344451828</v>
      </c>
      <c r="BE6" s="13">
        <f>BD6*VLOOKUP('Données projet'!$B$11,Paramètres!$A$1:$I$89,3,0)*VLOOKUP('Données projet'!$B$11,Paramètres!$A$1:$I$89,5,0)</f>
        <v>1.5463749675548573</v>
      </c>
      <c r="BF6" s="13">
        <f t="shared" si="37"/>
        <v>0.6773772891448272</v>
      </c>
      <c r="BG6" s="20">
        <f t="shared" si="7"/>
        <v>3.8730351804186167</v>
      </c>
      <c r="BH6" s="59">
        <f t="shared" si="8"/>
        <v>264.20636851375195</v>
      </c>
      <c r="BI6" s="59">
        <f ca="1">AVERAGE(OFFSET($BH$3,0,0,'Données projet'!$E$11+1,1))-AVERAGE(OFFSET($H$3,0,0,'Données projet'!$E$11+1,1))</f>
        <v>555.15881087162279</v>
      </c>
      <c r="BJ6" s="59">
        <f t="shared" si="38"/>
        <v>668.20427590250733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1.9</v>
      </c>
      <c r="BY6" s="12">
        <f>IF('Données projet'!$A$114&gt;35,BY5+BX6-CG5,IF(A6&lt;'Données projet'!$A$114,$BV$205^A6,IF(A6='Données projet'!$A$114,'Données projet'!$B$114,BY5+BX6-CG5)))</f>
        <v>2.4189454814875879</v>
      </c>
      <c r="BZ6" s="13">
        <f>BY6*VLOOKUP('Données projet'!$B$12,Paramètres!$A$1:$I$89,3,0)*VLOOKUP('Données projet'!$B$12,Paramètres!$A$1:$I$89,5,0)</f>
        <v>1.5848930794706675</v>
      </c>
      <c r="CA6" s="13">
        <f t="shared" si="39"/>
        <v>0.69226446234125116</v>
      </c>
      <c r="CB6" s="20">
        <f t="shared" si="10"/>
        <v>3.966049385322425</v>
      </c>
      <c r="CC6" s="59">
        <f t="shared" si="11"/>
        <v>264.29938271865575</v>
      </c>
      <c r="CD6" s="59">
        <f ca="1">AVERAGE(OFFSET($CC$3,0,0,'Données projet'!$E$12+1,1))-AVERAGE(OFFSET($H$3,0,0,'Données projet'!$E$12+1,1))</f>
        <v>340.49092994349405</v>
      </c>
      <c r="CE6" s="59">
        <f t="shared" si="40"/>
        <v>331.54434271908832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3.65</v>
      </c>
      <c r="CT6" s="12">
        <f>IF('Données projet'!$A$140&gt;35,CT5+CS6-DB5,IF(A6&lt;'Données projet'!$A$140,$CQ$205^A6,IF(A6='Données projet'!$A$140,'Données projet'!$B$140,CT5+CS6-DB5)))</f>
        <v>1.9032613528593461</v>
      </c>
      <c r="CU6" s="17">
        <f>CT6*VLOOKUP('Données projet'!$B$13,Paramètres!$A$1:$I$89,3,0)*VLOOKUP('Données projet'!$B$13,Paramètres!$A$1:$I$89,5,0)</f>
        <v>1.7220708720671365</v>
      </c>
      <c r="CV6" s="13">
        <f t="shared" si="41"/>
        <v>0.74494935243383209</v>
      </c>
      <c r="CW6" s="20">
        <f t="shared" si="13"/>
        <v>4.2967268910058536</v>
      </c>
      <c r="CX6" s="59">
        <f t="shared" si="14"/>
        <v>264.63006022433916</v>
      </c>
      <c r="CY6" s="59">
        <f ca="1">AVERAGE(OFFSET($CX$3,0,0,'Données projet'!$E$13+1,1))-AVERAGE(OFFSET($H$3,0,0,'Données projet'!$E$13+1,1))</f>
        <v>439.19854273764042</v>
      </c>
      <c r="CZ6" s="59">
        <f t="shared" si="42"/>
        <v>278.21741231699929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3.65</v>
      </c>
      <c r="DO6" s="12">
        <f>IF('Données projet'!$A$166&gt;35,DO5+DN6-DW5,IF(A6&lt;'Données projet'!$A$166,$DL$205^A6,IF(A6='Données projet'!$A$166,'Données projet'!$B$166,DO5+DN6-DW5)))</f>
        <v>1.9032613528593461</v>
      </c>
      <c r="DP6" s="17">
        <f>DO6*VLOOKUP('Données projet'!$B$14,Paramètres!$A$1:$I$89,3,0)*VLOOKUP('Données projet'!$B$14,Paramètres!$A$1:$I$89,5,0)</f>
        <v>1.6033073636487132</v>
      </c>
      <c r="DQ6" s="13">
        <f t="shared" si="43"/>
        <v>0.69936661672428513</v>
      </c>
      <c r="DR6" s="20">
        <f t="shared" si="16"/>
        <v>4.0104905158163051</v>
      </c>
      <c r="DS6" s="59">
        <f t="shared" si="17"/>
        <v>264.3438238491496</v>
      </c>
      <c r="DT6" s="59">
        <f ca="1">AVERAGE(OFFSET($DS$3,0,0,'Données projet'!$E$14+1,1))-AVERAGE(OFFSET($H$3,0,0,'Données projet'!$E$14+1,1))</f>
        <v>411.72284844766</v>
      </c>
      <c r="DU6" s="59">
        <f t="shared" si="44"/>
        <v>261.95434270986397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8.526315789473685</v>
      </c>
      <c r="EJ6" s="12">
        <f>IF('Données projet'!$A$192&gt;35,EJ5+EI6-ER5,IF(A6&lt;'Données projet'!$A$192,$EG$205^A6,IF(A6='Données projet'!$A$192,'Données projet'!$B$192,EJ5+EI6-ER5)))</f>
        <v>2.2329078050230127</v>
      </c>
      <c r="EK6" s="17">
        <f>EJ6*VLOOKUP('Données projet'!$B$15,Paramètres!$A$1:$I$89,3,0)*VLOOKUP('Données projet'!$B$15,Paramètres!$A$1:$I$89,5,0)</f>
        <v>1.248195463007864</v>
      </c>
      <c r="EL6" s="13">
        <f t="shared" si="45"/>
        <v>0.56056679634040518</v>
      </c>
      <c r="EM6" s="20">
        <f t="shared" si="19"/>
        <v>3.1502609350315693</v>
      </c>
      <c r="EN6" s="59">
        <f t="shared" si="20"/>
        <v>263.48359426836487</v>
      </c>
      <c r="EO6" s="59">
        <f ca="1">AVERAGE(OFFSET($EN$3,0,0,'Données projet'!$E$15+1,1))-AVERAGE(OFFSET($H$3,0,0,'Données projet'!$E$15+1,1))</f>
        <v>443.34220761968419</v>
      </c>
      <c r="EP6" s="59">
        <f t="shared" si="46"/>
        <v>546.58234447298014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7.1333333333333337</v>
      </c>
      <c r="N7" s="13">
        <f>IF('Données projet'!$A$36&gt;35,N6+M7-V6,IF(A7&lt;'Données projet'!$A$36,$K$205^A7,IF(A7='Données projet'!$A$36,'Données projet'!$B$36,N6+M7-V6)))</f>
        <v>3.4767143280787458</v>
      </c>
      <c r="O7" s="13">
        <f>N7*VLOOKUP('Données projet'!$B$9,Paramètres!$A$1:$I$89,3,0)*VLOOKUP('Données projet'!$B$9,Paramètres!$A$1:$I$89,5,0)</f>
        <v>3.0372576370095925</v>
      </c>
      <c r="P7" s="13">
        <f t="shared" si="33"/>
        <v>1.2299085923119242</v>
      </c>
      <c r="Q7" s="20">
        <f t="shared" si="2"/>
        <v>7.4319811827349751</v>
      </c>
      <c r="R7" s="59">
        <f t="shared" si="0"/>
        <v>268.98753673829054</v>
      </c>
      <c r="S7" s="59">
        <f ca="1">AVERAGE(OFFSET($R$3,0,0,'Données projet'!$E$9+1,1))-AVERAGE(OFFSET($H$3,0,0,'Données projet'!$E$9+1,1))</f>
        <v>304.32767345253382</v>
      </c>
      <c r="T7" s="59">
        <f t="shared" si="34"/>
        <v>427.16091343339173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1.9</v>
      </c>
      <c r="AI7" s="13">
        <f>IF('Données projet'!$A$62&gt;35,AI6+AH7-AQ6,IF(A7&lt;'Données projet'!$A$62,$AF$205^A7,IF(A7='Données projet'!$A$62,'Données projet'!$B$62,AI6+AH7-AQ6)))</f>
        <v>3.247143191135669</v>
      </c>
      <c r="AJ7" s="13">
        <f>AI7*VLOOKUP('Données projet'!$B$10,Paramètres!$A$1:$I$89,3,0)*VLOOKUP('Données projet'!$B$10,Paramètres!$A$1:$I$89,5,0)</f>
        <v>2.5834271228675387</v>
      </c>
      <c r="AK7" s="13">
        <f t="shared" si="35"/>
        <v>1.066028069701316</v>
      </c>
      <c r="AL7" s="20">
        <f t="shared" si="4"/>
        <v>6.3561344603907548</v>
      </c>
      <c r="AM7" s="59">
        <f t="shared" si="5"/>
        <v>267.91169001594631</v>
      </c>
      <c r="AN7" s="59">
        <f ca="1">AVERAGE(OFFSET($AM$3,0,0,'Données projet'!$E$10+1,1))-AVERAGE(OFFSET($H$3,0,0,'Données projet'!$E$10+1,1))</f>
        <v>405.40026823646758</v>
      </c>
      <c r="AO7" s="59">
        <f t="shared" si="36"/>
        <v>393.0787141050053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10.8</v>
      </c>
      <c r="BD7" s="12">
        <f>IF('Données projet'!$A$88&gt;35,BD6+BC7-BL6,IF(A7&lt;'Données projet'!$A$88,$BA$205^A7,IF(A7='Données projet'!$A$88,'Données projet'!$B$88,BD6+BC7-BL6)))</f>
        <v>3.8833273713275762</v>
      </c>
      <c r="BE7" s="13">
        <f>BD7*VLOOKUP('Données projet'!$B$11,Paramètres!$A$1:$I$89,3,0)*VLOOKUP('Données projet'!$B$11,Paramètres!$A$1:$I$89,5,0)</f>
        <v>2.170780000572115</v>
      </c>
      <c r="BF7" s="13">
        <f t="shared" si="37"/>
        <v>0.91408334535022773</v>
      </c>
      <c r="BG7" s="20">
        <f t="shared" si="7"/>
        <v>5.3728036608147471</v>
      </c>
      <c r="BH7" s="59">
        <f t="shared" si="8"/>
        <v>266.92835921637027</v>
      </c>
      <c r="BI7" s="59">
        <f ca="1">AVERAGE(OFFSET($BH$3,0,0,'Données projet'!$E$11+1,1))-AVERAGE(OFFSET($H$3,0,0,'Données projet'!$E$11+1,1))</f>
        <v>555.15881087162279</v>
      </c>
      <c r="BJ7" s="59">
        <f t="shared" si="38"/>
        <v>668.20427590250733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1.9</v>
      </c>
      <c r="BY7" s="12">
        <f>IF('Données projet'!$A$114&gt;35,BY6+BX7-CG6,IF(A7&lt;'Données projet'!$A$114,$BV$205^A7,IF(A7='Données projet'!$A$114,'Données projet'!$B$114,BY6+BX7-CG6)))</f>
        <v>3.247143191135669</v>
      </c>
      <c r="BZ7" s="13">
        <f>BY7*VLOOKUP('Données projet'!$B$12,Paramètres!$A$1:$I$89,3,0)*VLOOKUP('Données projet'!$B$12,Paramètres!$A$1:$I$89,5,0)</f>
        <v>2.1275282188320901</v>
      </c>
      <c r="CA7" s="13">
        <f t="shared" si="39"/>
        <v>0.89797181538259174</v>
      </c>
      <c r="CB7" s="20">
        <f t="shared" si="10"/>
        <v>5.2694125595905703</v>
      </c>
      <c r="CC7" s="59">
        <f t="shared" si="11"/>
        <v>266.82496811514613</v>
      </c>
      <c r="CD7" s="59">
        <f ca="1">AVERAGE(OFFSET($CC$3,0,0,'Données projet'!$E$12+1,1))-AVERAGE(OFFSET($H$3,0,0,'Données projet'!$E$12+1,1))</f>
        <v>340.49092994349405</v>
      </c>
      <c r="CE7" s="59">
        <f t="shared" si="40"/>
        <v>331.54434271908832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3.65</v>
      </c>
      <c r="CT7" s="12">
        <f>IF('Données projet'!$A$140&gt;35,CT6+CS7-DB6,IF(A7&lt;'Données projet'!$A$140,$CQ$205^A7,IF(A7='Données projet'!$A$140,'Données projet'!$B$140,CT6+CS7-DB6)))</f>
        <v>2.3586558182407358</v>
      </c>
      <c r="CU7" s="17">
        <f>CT7*VLOOKUP('Données projet'!$B$13,Paramètres!$A$1:$I$89,3,0)*VLOOKUP('Données projet'!$B$13,Paramètres!$A$1:$I$89,5,0)</f>
        <v>2.1341117843442179</v>
      </c>
      <c r="CV7" s="13">
        <f t="shared" si="41"/>
        <v>0.90042667189585779</v>
      </c>
      <c r="CW7" s="20">
        <f t="shared" si="13"/>
        <v>5.2851544779514645</v>
      </c>
      <c r="CX7" s="59">
        <f t="shared" si="14"/>
        <v>266.84071003350698</v>
      </c>
      <c r="CY7" s="59">
        <f ca="1">AVERAGE(OFFSET($CX$3,0,0,'Données projet'!$E$13+1,1))-AVERAGE(OFFSET($H$3,0,0,'Données projet'!$E$13+1,1))</f>
        <v>439.19854273764042</v>
      </c>
      <c r="CZ7" s="59">
        <f t="shared" si="42"/>
        <v>278.21741231699929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3.65</v>
      </c>
      <c r="DO7" s="12">
        <f>IF('Données projet'!$A$166&gt;35,DO6+DN7-DW6,IF(A7&lt;'Données projet'!$A$166,$DL$205^A7,IF(A7='Données projet'!$A$166,'Données projet'!$B$166,DO6+DN7-DW6)))</f>
        <v>2.3586558182407358</v>
      </c>
      <c r="DP7" s="17">
        <f>DO7*VLOOKUP('Données projet'!$B$14,Paramètres!$A$1:$I$89,3,0)*VLOOKUP('Données projet'!$B$14,Paramètres!$A$1:$I$89,5,0)</f>
        <v>1.9869316612859962</v>
      </c>
      <c r="DQ7" s="13">
        <f t="shared" si="43"/>
        <v>0.84533042826968274</v>
      </c>
      <c r="DR7" s="20">
        <f t="shared" si="16"/>
        <v>4.9328564726428068</v>
      </c>
      <c r="DS7" s="59">
        <f t="shared" si="17"/>
        <v>266.48841202819835</v>
      </c>
      <c r="DT7" s="59">
        <f ca="1">AVERAGE(OFFSET($DS$3,0,0,'Données projet'!$E$14+1,1))-AVERAGE(OFFSET($H$3,0,0,'Données projet'!$E$14+1,1))</f>
        <v>411.72284844766</v>
      </c>
      <c r="DU7" s="59">
        <f t="shared" si="44"/>
        <v>261.95434270986397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8.526315789473685</v>
      </c>
      <c r="EJ7" s="12">
        <f>IF('Données projet'!$A$192&gt;35,EJ6+EI7-ER6,IF(A7&lt;'Données projet'!$A$192,$EG$205^A7,IF(A7='Données projet'!$A$192,'Données projet'!$B$192,EJ6+EI7-ER6)))</f>
        <v>2.9185091262186176</v>
      </c>
      <c r="EK7" s="17">
        <f>EJ7*VLOOKUP('Données projet'!$B$15,Paramètres!$A$1:$I$89,3,0)*VLOOKUP('Données projet'!$B$15,Paramètres!$A$1:$I$89,5,0)</f>
        <v>1.6314466015562072</v>
      </c>
      <c r="EL7" s="13">
        <f t="shared" si="45"/>
        <v>0.71020127416305878</v>
      </c>
      <c r="EM7" s="20">
        <f t="shared" si="19"/>
        <v>4.0783700502110554</v>
      </c>
      <c r="EN7" s="59">
        <f t="shared" si="20"/>
        <v>265.63392560576659</v>
      </c>
      <c r="EO7" s="59">
        <f ca="1">AVERAGE(OFFSET($EN$3,0,0,'Données projet'!$E$15+1,1))-AVERAGE(OFFSET($H$3,0,0,'Données projet'!$E$15+1,1))</f>
        <v>443.34220761968419</v>
      </c>
      <c r="EP7" s="59">
        <f t="shared" si="46"/>
        <v>546.58234447298014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7.1333333333333337</v>
      </c>
      <c r="N8" s="13">
        <f>IF('Données projet'!$A$36&gt;35,N7+M8-V7,IF(A8&lt;'Données projet'!$A$36,$K$205^A8,IF(A8='Données projet'!$A$36,'Données projet'!$B$36,N7+M8-V7)))</f>
        <v>4.7474593985233984</v>
      </c>
      <c r="O8" s="13">
        <f>N8*VLOOKUP('Données projet'!$B$9,Paramètres!$A$1:$I$89,3,0)*VLOOKUP('Données projet'!$B$9,Paramètres!$A$1:$I$89,5,0)</f>
        <v>4.1473805305500413</v>
      </c>
      <c r="P8" s="13">
        <f t="shared" si="33"/>
        <v>1.6196346870133109</v>
      </c>
      <c r="Q8" s="20">
        <f t="shared" si="2"/>
        <v>10.044218170589504</v>
      </c>
      <c r="R8" s="59">
        <f t="shared" si="0"/>
        <v>272.82199594836726</v>
      </c>
      <c r="S8" s="59">
        <f ca="1">AVERAGE(OFFSET($R$3,0,0,'Données projet'!$E$9+1,1))-AVERAGE(OFFSET($H$3,0,0,'Données projet'!$E$9+1,1))</f>
        <v>304.32767345253382</v>
      </c>
      <c r="T8" s="59">
        <f t="shared" si="34"/>
        <v>427.16091343339173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1.9</v>
      </c>
      <c r="AI8" s="13">
        <f>IF('Données projet'!$A$62&gt;35,AI7+AH8-AQ7,IF(A8&lt;'Données projet'!$A$62,$AF$205^A8,IF(A8='Données projet'!$A$62,'Données projet'!$B$62,AI7+AH8-AQ7)))</f>
        <v>4.3588989435406749</v>
      </c>
      <c r="AJ8" s="13">
        <f>AI8*VLOOKUP('Données projet'!$B$10,Paramètres!$A$1:$I$89,3,0)*VLOOKUP('Données projet'!$B$10,Paramètres!$A$1:$I$89,5,0)</f>
        <v>3.467939999480961</v>
      </c>
      <c r="AK8" s="13">
        <f t="shared" si="35"/>
        <v>1.382799801337496</v>
      </c>
      <c r="AL8" s="20">
        <f t="shared" si="4"/>
        <v>8.4483718197588118</v>
      </c>
      <c r="AM8" s="59">
        <f t="shared" si="5"/>
        <v>271.22614959753656</v>
      </c>
      <c r="AN8" s="59">
        <f ca="1">AVERAGE(OFFSET($AM$3,0,0,'Données projet'!$E$10+1,1))-AVERAGE(OFFSET($H$3,0,0,'Données projet'!$E$10+1,1))</f>
        <v>405.40026823646758</v>
      </c>
      <c r="AO8" s="59">
        <f t="shared" si="36"/>
        <v>393.0787141050053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10.8</v>
      </c>
      <c r="BD8" s="12">
        <f>IF('Données projet'!$A$88&gt;35,BD7+BC8-BL7,IF(A8&lt;'Données projet'!$A$88,$BA$205^A8,IF(A8='Données projet'!$A$88,'Données projet'!$B$88,BD7+BC8-BL7)))</f>
        <v>5.451361778496417</v>
      </c>
      <c r="BE8" s="13">
        <f>BD8*VLOOKUP('Données projet'!$B$11,Paramètres!$A$1:$I$89,3,0)*VLOOKUP('Données projet'!$B$11,Paramètres!$A$1:$I$89,5,0)</f>
        <v>3.0473112341794972</v>
      </c>
      <c r="BF8" s="13">
        <f t="shared" si="37"/>
        <v>1.2335051316844765</v>
      </c>
      <c r="BG8" s="20">
        <f t="shared" si="7"/>
        <v>7.4557551705464205</v>
      </c>
      <c r="BH8" s="59">
        <f t="shared" si="8"/>
        <v>270.23353294832418</v>
      </c>
      <c r="BI8" s="59">
        <f ca="1">AVERAGE(OFFSET($BH$3,0,0,'Données projet'!$E$11+1,1))-AVERAGE(OFFSET($H$3,0,0,'Données projet'!$E$11+1,1))</f>
        <v>555.15881087162279</v>
      </c>
      <c r="BJ8" s="59">
        <f t="shared" si="38"/>
        <v>668.20427590250733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1.9</v>
      </c>
      <c r="BY8" s="12">
        <f>IF('Données projet'!$A$114&gt;35,BY7+BX8-CG7,IF(A8&lt;'Données projet'!$A$114,$BV$205^A8,IF(A8='Données projet'!$A$114,'Données projet'!$B$114,BY7+BX8-CG7)))</f>
        <v>4.3588989435406749</v>
      </c>
      <c r="BZ8" s="13">
        <f>BY8*VLOOKUP('Données projet'!$B$12,Paramètres!$A$1:$I$89,3,0)*VLOOKUP('Données projet'!$B$12,Paramètres!$A$1:$I$89,5,0)</f>
        <v>2.8559505878078499</v>
      </c>
      <c r="CA8" s="13">
        <f t="shared" si="39"/>
        <v>1.1648053960395504</v>
      </c>
      <c r="CB8" s="20">
        <f t="shared" si="10"/>
        <v>7.0028166718675555</v>
      </c>
      <c r="CC8" s="59">
        <f t="shared" si="11"/>
        <v>269.78059444964532</v>
      </c>
      <c r="CD8" s="59">
        <f ca="1">AVERAGE(OFFSET($CC$3,0,0,'Données projet'!$E$12+1,1))-AVERAGE(OFFSET($H$3,0,0,'Données projet'!$E$12+1,1))</f>
        <v>340.49092994349405</v>
      </c>
      <c r="CE8" s="59">
        <f t="shared" si="40"/>
        <v>331.54434271908832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3.65</v>
      </c>
      <c r="CT8" s="12">
        <f>IF('Données projet'!$A$140&gt;35,CT7+CS8-DB7,IF(A8&lt;'Données projet'!$A$140,$CQ$205^A8,IF(A8='Données projet'!$A$140,'Données projet'!$B$140,CT7+CS8-DB7)))</f>
        <v>2.9230127856917649</v>
      </c>
      <c r="CU8" s="17">
        <f>CT8*VLOOKUP('Données projet'!$B$13,Paramètres!$A$1:$I$89,3,0)*VLOOKUP('Données projet'!$B$13,Paramètres!$A$1:$I$89,5,0)</f>
        <v>2.6447419684939089</v>
      </c>
      <c r="CV8" s="13">
        <f t="shared" si="41"/>
        <v>1.0883534414958294</v>
      </c>
      <c r="CW8" s="20">
        <f t="shared" si="13"/>
        <v>6.5018078390654601</v>
      </c>
      <c r="CX8" s="59">
        <f t="shared" si="14"/>
        <v>269.27958561684324</v>
      </c>
      <c r="CY8" s="59">
        <f ca="1">AVERAGE(OFFSET($CX$3,0,0,'Données projet'!$E$13+1,1))-AVERAGE(OFFSET($H$3,0,0,'Données projet'!$E$13+1,1))</f>
        <v>439.19854273764042</v>
      </c>
      <c r="CZ8" s="59">
        <f t="shared" si="42"/>
        <v>278.21741231699929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3.65</v>
      </c>
      <c r="DO8" s="12">
        <f>IF('Données projet'!$A$166&gt;35,DO7+DN8-DW7,IF(A8&lt;'Données projet'!$A$166,$DL$205^A8,IF(A8='Données projet'!$A$166,'Données projet'!$B$166,DO7+DN8-DW7)))</f>
        <v>2.9230127856917649</v>
      </c>
      <c r="DP8" s="17">
        <f>DO8*VLOOKUP('Données projet'!$B$14,Paramètres!$A$1:$I$89,3,0)*VLOOKUP('Données projet'!$B$14,Paramètres!$A$1:$I$89,5,0)</f>
        <v>2.462345970666743</v>
      </c>
      <c r="DQ8" s="13">
        <f t="shared" si="43"/>
        <v>1.021758139251189</v>
      </c>
      <c r="DR8" s="20">
        <f t="shared" si="16"/>
        <v>6.068147991440398</v>
      </c>
      <c r="DS8" s="59">
        <f t="shared" si="17"/>
        <v>268.84592576921818</v>
      </c>
      <c r="DT8" s="59">
        <f ca="1">AVERAGE(OFFSET($DS$3,0,0,'Données projet'!$E$14+1,1))-AVERAGE(OFFSET($H$3,0,0,'Données projet'!$E$14+1,1))</f>
        <v>411.72284844766</v>
      </c>
      <c r="DU8" s="59">
        <f t="shared" si="44"/>
        <v>261.95434270986397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8.526315789473685</v>
      </c>
      <c r="EJ8" s="12">
        <f>IF('Données projet'!$A$192&gt;35,EJ7+EI8-ER7,IF(A8&lt;'Données projet'!$A$192,$EG$205^A8,IF(A8='Données projet'!$A$192,'Données projet'!$B$192,EJ7+EI8-ER7)))</f>
        <v>3.8146203352688688</v>
      </c>
      <c r="EK8" s="17">
        <f>EJ8*VLOOKUP('Données projet'!$B$15,Paramètres!$A$1:$I$89,3,0)*VLOOKUP('Données projet'!$B$15,Paramètres!$A$1:$I$89,5,0)</f>
        <v>2.1323727674152977</v>
      </c>
      <c r="EL8" s="13">
        <f t="shared" si="45"/>
        <v>0.89977831922200224</v>
      </c>
      <c r="EM8" s="20">
        <f t="shared" si="19"/>
        <v>5.2809964758932972</v>
      </c>
      <c r="EN8" s="59">
        <f t="shared" si="20"/>
        <v>268.05877425367106</v>
      </c>
      <c r="EO8" s="59">
        <f ca="1">AVERAGE(OFFSET($EN$3,0,0,'Données projet'!$E$15+1,1))-AVERAGE(OFFSET($H$3,0,0,'Données projet'!$E$15+1,1))</f>
        <v>443.34220761968419</v>
      </c>
      <c r="EP8" s="59">
        <f t="shared" si="46"/>
        <v>546.58234447298014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7.1333333333333337</v>
      </c>
      <c r="N9" s="13">
        <f>IF('Données projet'!$A$36&gt;35,N8+M9-V8,IF(A9&lt;'Données projet'!$A$36,$K$205^A9,IF(A9='Données projet'!$A$36,'Données projet'!$B$36,N8+M9-V8)))</f>
        <v>6.4826639792067677</v>
      </c>
      <c r="O9" s="13">
        <f>N9*VLOOKUP('Données projet'!$B$9,Paramètres!$A$1:$I$89,3,0)*VLOOKUP('Données projet'!$B$9,Paramètres!$A$1:$I$89,5,0)</f>
        <v>5.6632552522350332</v>
      </c>
      <c r="P9" s="13">
        <f t="shared" si="33"/>
        <v>2.1328548607386395</v>
      </c>
      <c r="Q9" s="20">
        <f t="shared" si="2"/>
        <v>13.578225113429147</v>
      </c>
      <c r="R9" s="59">
        <f t="shared" si="0"/>
        <v>277.57822511342914</v>
      </c>
      <c r="S9" s="59">
        <f ca="1">AVERAGE(OFFSET($R$3,0,0,'Données projet'!$E$9+1,1))-AVERAGE(OFFSET($H$3,0,0,'Données projet'!$E$9+1,1))</f>
        <v>304.32767345253382</v>
      </c>
      <c r="T9" s="59">
        <f t="shared" si="34"/>
        <v>427.16091343339173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1.9</v>
      </c>
      <c r="AI9" s="13">
        <f>IF('Données projet'!$A$62&gt;35,AI8+AH9-AQ8,IF(A9&lt;'Données projet'!$A$62,$AF$205^A9,IF(A9='Données projet'!$A$62,'Données projet'!$B$62,AI8+AH9-AQ8)))</f>
        <v>5.8512972424092187</v>
      </c>
      <c r="AJ9" s="13">
        <f>AI9*VLOOKUP('Données projet'!$B$10,Paramètres!$A$1:$I$89,3,0)*VLOOKUP('Données projet'!$B$10,Paramètres!$A$1:$I$89,5,0)</f>
        <v>4.6552920860607747</v>
      </c>
      <c r="AK9" s="13">
        <f t="shared" si="35"/>
        <v>1.7937006960002178</v>
      </c>
      <c r="AL9" s="20">
        <f t="shared" si="4"/>
        <v>11.231995762089561</v>
      </c>
      <c r="AM9" s="59">
        <f t="shared" si="5"/>
        <v>275.23199576208958</v>
      </c>
      <c r="AN9" s="59">
        <f ca="1">AVERAGE(OFFSET($AM$3,0,0,'Données projet'!$E$10+1,1))-AVERAGE(OFFSET($H$3,0,0,'Données projet'!$E$10+1,1))</f>
        <v>405.40026823646758</v>
      </c>
      <c r="AO9" s="59">
        <f t="shared" si="36"/>
        <v>393.0787141050053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10.8</v>
      </c>
      <c r="BD9" s="12">
        <f>IF('Données projet'!$A$88&gt;35,BD8+BC9-BL8,IF(A9&lt;'Données projet'!$A$88,$BA$205^A9,IF(A9='Données projet'!$A$88,'Données projet'!$B$88,BD8+BC9-BL8)))</f>
        <v>7.6525470037547425</v>
      </c>
      <c r="BE9" s="13">
        <f>BD9*VLOOKUP('Données projet'!$B$11,Paramètres!$A$1:$I$89,3,0)*VLOOKUP('Données projet'!$B$11,Paramètres!$A$1:$I$89,5,0)</f>
        <v>4.2777737750989013</v>
      </c>
      <c r="BF9" s="13">
        <f t="shared" si="37"/>
        <v>1.6645472402836166</v>
      </c>
      <c r="BG9" s="20">
        <f t="shared" si="7"/>
        <v>10.349542435124553</v>
      </c>
      <c r="BH9" s="59">
        <f t="shared" si="8"/>
        <v>274.34954243512453</v>
      </c>
      <c r="BI9" s="59">
        <f ca="1">AVERAGE(OFFSET($BH$3,0,0,'Données projet'!$E$11+1,1))-AVERAGE(OFFSET($H$3,0,0,'Données projet'!$E$11+1,1))</f>
        <v>555.15881087162279</v>
      </c>
      <c r="BJ9" s="59">
        <f t="shared" si="38"/>
        <v>668.20427590250733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1.9</v>
      </c>
      <c r="BY9" s="12">
        <f>IF('Données projet'!$A$114&gt;35,BY8+BX9-CG8,IF(A9&lt;'Données projet'!$A$114,$BV$205^A9,IF(A9='Données projet'!$A$114,'Données projet'!$B$114,BY8+BX9-CG8)))</f>
        <v>5.8512972424092187</v>
      </c>
      <c r="BZ9" s="13">
        <f>BY9*VLOOKUP('Données projet'!$B$12,Paramètres!$A$1:$I$89,3,0)*VLOOKUP('Données projet'!$B$12,Paramètres!$A$1:$I$89,5,0)</f>
        <v>3.8337699532265201</v>
      </c>
      <c r="CA9" s="13">
        <f t="shared" si="39"/>
        <v>1.510928948326496</v>
      </c>
      <c r="CB9" s="20">
        <f t="shared" si="10"/>
        <v>9.308683920204837</v>
      </c>
      <c r="CC9" s="59">
        <f t="shared" si="11"/>
        <v>273.30868392020483</v>
      </c>
      <c r="CD9" s="59">
        <f ca="1">AVERAGE(OFFSET($CC$3,0,0,'Données projet'!$E$12+1,1))-AVERAGE(OFFSET($H$3,0,0,'Données projet'!$E$12+1,1))</f>
        <v>340.49092994349405</v>
      </c>
      <c r="CE9" s="59">
        <f t="shared" si="40"/>
        <v>331.54434271908832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3.65</v>
      </c>
      <c r="CT9" s="12">
        <f>IF('Données projet'!$A$140&gt;35,CT8+CS9-DB8,IF(A9&lt;'Données projet'!$A$140,$CQ$205^A9,IF(A9='Données projet'!$A$140,'Données projet'!$B$140,CT8+CS9-DB8)))</f>
        <v>3.6224037772879885</v>
      </c>
      <c r="CU9" s="17">
        <f>CT9*VLOOKUP('Données projet'!$B$13,Paramètres!$A$1:$I$89,3,0)*VLOOKUP('Données projet'!$B$13,Paramètres!$A$1:$I$89,5,0)</f>
        <v>3.2775509376901719</v>
      </c>
      <c r="CV9" s="13">
        <f t="shared" si="41"/>
        <v>1.315502139804245</v>
      </c>
      <c r="CW9" s="20">
        <f t="shared" si="13"/>
        <v>7.9995674433027766</v>
      </c>
      <c r="CX9" s="59">
        <f t="shared" si="14"/>
        <v>271.99956744330279</v>
      </c>
      <c r="CY9" s="59">
        <f ca="1">AVERAGE(OFFSET($CX$3,0,0,'Données projet'!$E$13+1,1))-AVERAGE(OFFSET($H$3,0,0,'Données projet'!$E$13+1,1))</f>
        <v>439.19854273764042</v>
      </c>
      <c r="CZ9" s="59">
        <f t="shared" si="42"/>
        <v>278.21741231699929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3.65</v>
      </c>
      <c r="DO9" s="12">
        <f>IF('Données projet'!$A$166&gt;35,DO8+DN9-DW8,IF(A9&lt;'Données projet'!$A$166,$DL$205^A9,IF(A9='Données projet'!$A$166,'Données projet'!$B$166,DO8+DN9-DW8)))</f>
        <v>3.6224037772879885</v>
      </c>
      <c r="DP9" s="17">
        <f>DO9*VLOOKUP('Données projet'!$B$14,Paramètres!$A$1:$I$89,3,0)*VLOOKUP('Données projet'!$B$14,Paramètres!$A$1:$I$89,5,0)</f>
        <v>3.0515129419874016</v>
      </c>
      <c r="DQ9" s="13">
        <f t="shared" si="43"/>
        <v>1.2350078267772846</v>
      </c>
      <c r="DR9" s="20">
        <f t="shared" si="16"/>
        <v>7.4656903389318279</v>
      </c>
      <c r="DS9" s="59">
        <f t="shared" si="17"/>
        <v>271.46569033893184</v>
      </c>
      <c r="DT9" s="59">
        <f ca="1">AVERAGE(OFFSET($DS$3,0,0,'Données projet'!$E$14+1,1))-AVERAGE(OFFSET($H$3,0,0,'Données projet'!$E$14+1,1))</f>
        <v>411.72284844766</v>
      </c>
      <c r="DU9" s="59">
        <f t="shared" si="44"/>
        <v>261.95434270986397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8.526315789473685</v>
      </c>
      <c r="EJ9" s="12">
        <f>IF('Données projet'!$A$192&gt;35,EJ8+EI9-ER8,IF(A9&lt;'Données projet'!$A$192,$EG$205^A9,IF(A9='Données projet'!$A$192,'Données projet'!$B$192,EJ8+EI9-ER8)))</f>
        <v>4.9858772657326877</v>
      </c>
      <c r="EK9" s="17">
        <f>EJ9*VLOOKUP('Données projet'!$B$15,Paramètres!$A$1:$I$89,3,0)*VLOOKUP('Données projet'!$B$15,Paramètres!$A$1:$I$89,5,0)</f>
        <v>2.7871053915445723</v>
      </c>
      <c r="EL9" s="13">
        <f t="shared" si="45"/>
        <v>1.1399599707787778</v>
      </c>
      <c r="EM9" s="20">
        <f t="shared" si="19"/>
        <v>6.839638839379834</v>
      </c>
      <c r="EN9" s="59">
        <f t="shared" si="20"/>
        <v>270.83963883937986</v>
      </c>
      <c r="EO9" s="59">
        <f ca="1">AVERAGE(OFFSET($EN$3,0,0,'Données projet'!$E$15+1,1))-AVERAGE(OFFSET($H$3,0,0,'Données projet'!$E$15+1,1))</f>
        <v>443.34220761968419</v>
      </c>
      <c r="EP9" s="59">
        <f t="shared" si="46"/>
        <v>546.58234447298014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7.1333333333333337</v>
      </c>
      <c r="N10" s="13">
        <f>IF('Données projet'!$A$36&gt;35,N9+M10-V9,IF(A10&lt;'Données projet'!$A$36,$K$205^A10,IF(A10='Données projet'!$A$36,'Données projet'!$B$36,N9+M10-V9)))</f>
        <v>8.8520888204701524</v>
      </c>
      <c r="O10" s="13">
        <f>N10*VLOOKUP('Données projet'!$B$9,Paramètres!$A$1:$I$89,3,0)*VLOOKUP('Données projet'!$B$9,Paramètres!$A$1:$I$89,5,0)</f>
        <v>7.7331847935627263</v>
      </c>
      <c r="P10" s="13">
        <f t="shared" si="33"/>
        <v>2.8087011802427866</v>
      </c>
      <c r="Q10" s="20">
        <f t="shared" si="2"/>
        <v>18.360451404377937</v>
      </c>
      <c r="R10" s="59">
        <f t="shared" si="0"/>
        <v>283.58267362660018</v>
      </c>
      <c r="S10" s="59">
        <f ca="1">AVERAGE(OFFSET($R$3,0,0,'Données projet'!$E$9+1,1))-AVERAGE(OFFSET($H$3,0,0,'Données projet'!$E$9+1,1))</f>
        <v>304.32767345253382</v>
      </c>
      <c r="T10" s="59">
        <f t="shared" si="34"/>
        <v>427.16091343339173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1.9</v>
      </c>
      <c r="AI10" s="13">
        <f>IF('Données projet'!$A$62&gt;35,AI9+AH10-AQ9,IF(A10&lt;'Données projet'!$A$62,$AF$205^A10,IF(A10='Données projet'!$A$62,'Données projet'!$B$62,AI9+AH10-AQ9)))</f>
        <v>7.8546623499408135</v>
      </c>
      <c r="AJ10" s="13">
        <f>AI10*VLOOKUP('Données projet'!$B$10,Paramètres!$A$1:$I$89,3,0)*VLOOKUP('Données projet'!$B$10,Paramètres!$A$1:$I$89,5,0)</f>
        <v>6.2491693656129108</v>
      </c>
      <c r="AK10" s="13">
        <f t="shared" si="35"/>
        <v>2.326701366112224</v>
      </c>
      <c r="AL10" s="20">
        <f t="shared" si="4"/>
        <v>14.936308191087944</v>
      </c>
      <c r="AM10" s="59">
        <f t="shared" si="5"/>
        <v>280.15853041331019</v>
      </c>
      <c r="AN10" s="59">
        <f ca="1">AVERAGE(OFFSET($AM$3,0,0,'Données projet'!$E$10+1,1))-AVERAGE(OFFSET($H$3,0,0,'Données projet'!$E$10+1,1))</f>
        <v>405.40026823646758</v>
      </c>
      <c r="AO10" s="59">
        <f t="shared" si="36"/>
        <v>393.0787141050053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10.8</v>
      </c>
      <c r="BD10" s="12">
        <f>IF('Données projet'!$A$88&gt;35,BD9+BC10-BL9,IF(A10&lt;'Données projet'!$A$88,$BA$205^A10,IF(A10='Données projet'!$A$88,'Données projet'!$B$88,BD9+BC10-BL9)))</f>
        <v>10.742540675924095</v>
      </c>
      <c r="BE10" s="13">
        <f>BD10*VLOOKUP('Données projet'!$B$11,Paramètres!$A$1:$I$89,3,0)*VLOOKUP('Données projet'!$B$11,Paramètres!$A$1:$I$89,5,0)</f>
        <v>6.0050802378415691</v>
      </c>
      <c r="BF10" s="13">
        <f t="shared" si="37"/>
        <v>2.2462148263235089</v>
      </c>
      <c r="BG10" s="20">
        <f t="shared" si="7"/>
        <v>14.37100557008751</v>
      </c>
      <c r="BH10" s="59">
        <f t="shared" si="8"/>
        <v>279.59322779230973</v>
      </c>
      <c r="BI10" s="59">
        <f ca="1">AVERAGE(OFFSET($BH$3,0,0,'Données projet'!$E$11+1,1))-AVERAGE(OFFSET($H$3,0,0,'Données projet'!$E$11+1,1))</f>
        <v>555.15881087162279</v>
      </c>
      <c r="BJ10" s="59">
        <f t="shared" si="38"/>
        <v>668.20427590250733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1.9</v>
      </c>
      <c r="BY10" s="12">
        <f>IF('Données projet'!$A$114&gt;35,BY9+BX10-CG9,IF(A10&lt;'Données projet'!$A$114,$BV$205^A10,IF(A10='Données projet'!$A$114,'Données projet'!$B$114,BY9+BX10-CG9)))</f>
        <v>7.8546623499408135</v>
      </c>
      <c r="BZ10" s="13">
        <f>BY10*VLOOKUP('Données projet'!$B$12,Paramètres!$A$1:$I$89,3,0)*VLOOKUP('Données projet'!$B$12,Paramètres!$A$1:$I$89,5,0)</f>
        <v>5.1463747716812209</v>
      </c>
      <c r="CA10" s="13">
        <f t="shared" si="39"/>
        <v>1.9599035981916897</v>
      </c>
      <c r="CB10" s="20">
        <f t="shared" si="10"/>
        <v>12.376768160861985</v>
      </c>
      <c r="CC10" s="59">
        <f t="shared" si="11"/>
        <v>277.59899038308424</v>
      </c>
      <c r="CD10" s="59">
        <f ca="1">AVERAGE(OFFSET($CC$3,0,0,'Données projet'!$E$12+1,1))-AVERAGE(OFFSET($H$3,0,0,'Données projet'!$E$12+1,1))</f>
        <v>340.49092994349405</v>
      </c>
      <c r="CE10" s="59">
        <f t="shared" si="40"/>
        <v>331.54434271908832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3.65</v>
      </c>
      <c r="CT10" s="12">
        <f>IF('Données projet'!$A$140&gt;35,CT9+CS10-DB9,IF(A10&lt;'Données projet'!$A$140,$CQ$205^A10,IF(A10='Données projet'!$A$140,'Données projet'!$B$140,CT9+CS10-DB9)))</f>
        <v>4.4891384635544309</v>
      </c>
      <c r="CU10" s="17">
        <f>CT10*VLOOKUP('Données projet'!$B$13,Paramètres!$A$1:$I$89,3,0)*VLOOKUP('Données projet'!$B$13,Paramètres!$A$1:$I$89,5,0)</f>
        <v>4.0617724818240486</v>
      </c>
      <c r="CV10" s="13">
        <f t="shared" si="41"/>
        <v>1.590058719758437</v>
      </c>
      <c r="CW10" s="20">
        <f t="shared" si="13"/>
        <v>9.8436060094228282</v>
      </c>
      <c r="CX10" s="59">
        <f t="shared" si="14"/>
        <v>275.06582823164507</v>
      </c>
      <c r="CY10" s="59">
        <f ca="1">AVERAGE(OFFSET($CX$3,0,0,'Données projet'!$E$13+1,1))-AVERAGE(OFFSET($H$3,0,0,'Données projet'!$E$13+1,1))</f>
        <v>439.19854273764042</v>
      </c>
      <c r="CZ10" s="59">
        <f t="shared" si="42"/>
        <v>278.21741231699929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3.65</v>
      </c>
      <c r="DO10" s="12">
        <f>IF('Données projet'!$A$166&gt;35,DO9+DN10-DW9,IF(A10&lt;'Données projet'!$A$166,$DL$205^A10,IF(A10='Données projet'!$A$166,'Données projet'!$B$166,DO9+DN10-DW9)))</f>
        <v>4.4891384635544309</v>
      </c>
      <c r="DP10" s="17">
        <f>DO10*VLOOKUP('Données projet'!$B$14,Paramètres!$A$1:$I$89,3,0)*VLOOKUP('Données projet'!$B$14,Paramètres!$A$1:$I$89,5,0)</f>
        <v>3.7816502416982529</v>
      </c>
      <c r="DQ10" s="13">
        <f t="shared" si="43"/>
        <v>1.492764553183741</v>
      </c>
      <c r="DR10" s="20">
        <f t="shared" si="16"/>
        <v>9.1862724344194735</v>
      </c>
      <c r="DS10" s="59">
        <f t="shared" si="17"/>
        <v>274.40849465664172</v>
      </c>
      <c r="DT10" s="59">
        <f ca="1">AVERAGE(OFFSET($DS$3,0,0,'Données projet'!$E$14+1,1))-AVERAGE(OFFSET($H$3,0,0,'Données projet'!$E$14+1,1))</f>
        <v>411.72284844766</v>
      </c>
      <c r="DU10" s="59">
        <f t="shared" si="44"/>
        <v>261.95434270986397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8.526315789473685</v>
      </c>
      <c r="EJ10" s="12">
        <f>IF('Données projet'!$A$192&gt;35,EJ9+EI10-ER9,IF(A10&lt;'Données projet'!$A$192,$EG$205^A10,IF(A10='Données projet'!$A$192,'Données projet'!$B$192,EJ9+EI10-ER9)))</f>
        <v>6.5167618069644444</v>
      </c>
      <c r="EK10" s="17">
        <f>EJ10*VLOOKUP('Données projet'!$B$15,Paramètres!$A$1:$I$89,3,0)*VLOOKUP('Données projet'!$B$15,Paramètres!$A$1:$I$89,5,0)</f>
        <v>3.6428698500931249</v>
      </c>
      <c r="EL10" s="13">
        <f t="shared" si="45"/>
        <v>1.4442543315575544</v>
      </c>
      <c r="EM10" s="20">
        <f t="shared" si="19"/>
        <v>8.8600746163749324</v>
      </c>
      <c r="EN10" s="59">
        <f t="shared" si="20"/>
        <v>274.08229683859719</v>
      </c>
      <c r="EO10" s="59">
        <f ca="1">AVERAGE(OFFSET($EN$3,0,0,'Données projet'!$E$15+1,1))-AVERAGE(OFFSET($H$3,0,0,'Données projet'!$E$15+1,1))</f>
        <v>443.34220761968419</v>
      </c>
      <c r="EP10" s="59">
        <f t="shared" si="46"/>
        <v>546.58234447298014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7.1333333333333337</v>
      </c>
      <c r="N11" s="13">
        <f>IF('Données projet'!$A$36&gt;35,N10+M11-V10,IF(A11&lt;'Données projet'!$A$36,$K$205^A11,IF(A11='Données projet'!$A$36,'Données projet'!$B$36,N10+M11-V10)))</f>
        <v>12.087542519068045</v>
      </c>
      <c r="O11" s="13">
        <f>N11*VLOOKUP('Données projet'!$B$9,Paramètres!$A$1:$I$89,3,0)*VLOOKUP('Données projet'!$B$9,Paramètres!$A$1:$I$89,5,0)</f>
        <v>10.559677144657845</v>
      </c>
      <c r="P11" s="13">
        <f t="shared" si="33"/>
        <v>3.6987056480557761</v>
      </c>
      <c r="Q11" s="20">
        <f t="shared" si="2"/>
        <v>24.83335003064289</v>
      </c>
      <c r="R11" s="59">
        <f t="shared" si="0"/>
        <v>291.27779447508738</v>
      </c>
      <c r="S11" s="59">
        <f ca="1">AVERAGE(OFFSET($R$3,0,0,'Données projet'!$E$9+1,1))-AVERAGE(OFFSET($H$3,0,0,'Données projet'!$E$9+1,1))</f>
        <v>304.32767345253382</v>
      </c>
      <c r="T11" s="59">
        <f t="shared" si="34"/>
        <v>427.16091343339173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1.9</v>
      </c>
      <c r="AI11" s="13">
        <f>IF('Données projet'!$A$62&gt;35,AI10+AH11-AQ10,IF(A11&lt;'Données projet'!$A$62,$AF$205^A11,IF(A11='Données projet'!$A$62,'Données projet'!$B$62,AI10+AH11-AQ10)))</f>
        <v>10.543938903738736</v>
      </c>
      <c r="AJ11" s="13">
        <f>AI11*VLOOKUP('Données projet'!$B$10,Paramètres!$A$1:$I$89,3,0)*VLOOKUP('Données projet'!$B$10,Paramètres!$A$1:$I$89,5,0)</f>
        <v>8.3887577918145393</v>
      </c>
      <c r="AK11" s="13">
        <f t="shared" si="35"/>
        <v>3.0180839306915423</v>
      </c>
      <c r="AL11" s="20">
        <f t="shared" si="4"/>
        <v>19.866916000031427</v>
      </c>
      <c r="AM11" s="59">
        <f t="shared" si="5"/>
        <v>286.31136044447589</v>
      </c>
      <c r="AN11" s="59">
        <f ca="1">AVERAGE(OFFSET($AM$3,0,0,'Données projet'!$E$10+1,1))-AVERAGE(OFFSET($H$3,0,0,'Données projet'!$E$10+1,1))</f>
        <v>405.40026823646758</v>
      </c>
      <c r="AO11" s="59">
        <f t="shared" si="36"/>
        <v>393.0787141050053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10.8</v>
      </c>
      <c r="BD11" s="12">
        <f>IF('Données projet'!$A$88&gt;35,BD10+BC11-BL10,IF(A11&lt;'Données projet'!$A$88,$BA$205^A11,IF(A11='Données projet'!$A$88,'Données projet'!$B$88,BD10+BC11-BL10)))</f>
        <v>15.080231472901943</v>
      </c>
      <c r="BE11" s="13">
        <f>BD11*VLOOKUP('Données projet'!$B$11,Paramètres!$A$1:$I$89,3,0)*VLOOKUP('Données projet'!$B$11,Paramètres!$A$1:$I$89,5,0)</f>
        <v>8.4298493933521872</v>
      </c>
      <c r="BF11" s="13">
        <f t="shared" si="37"/>
        <v>3.0311431985167756</v>
      </c>
      <c r="BG11" s="20">
        <f t="shared" si="7"/>
        <v>19.961228764171775</v>
      </c>
      <c r="BH11" s="59">
        <f t="shared" si="8"/>
        <v>286.40567320861624</v>
      </c>
      <c r="BI11" s="59">
        <f ca="1">AVERAGE(OFFSET($BH$3,0,0,'Données projet'!$E$11+1,1))-AVERAGE(OFFSET($H$3,0,0,'Données projet'!$E$11+1,1))</f>
        <v>555.15881087162279</v>
      </c>
      <c r="BJ11" s="59">
        <f t="shared" si="38"/>
        <v>668.20427590250733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1.9</v>
      </c>
      <c r="BY11" s="12">
        <f>IF('Données projet'!$A$114&gt;35,BY10+BX11-CG10,IF(A11&lt;'Données projet'!$A$114,$BV$205^A11,IF(A11='Données projet'!$A$114,'Données projet'!$B$114,BY10+BX11-CG10)))</f>
        <v>10.543938903738736</v>
      </c>
      <c r="BZ11" s="13">
        <f>BY11*VLOOKUP('Données projet'!$B$12,Paramètres!$A$1:$I$89,3,0)*VLOOKUP('Données projet'!$B$12,Paramètres!$A$1:$I$89,5,0)</f>
        <v>6.90838876972962</v>
      </c>
      <c r="CA11" s="13">
        <f t="shared" si="39"/>
        <v>2.5422916931065935</v>
      </c>
      <c r="CB11" s="20">
        <f t="shared" si="10"/>
        <v>16.45993513943974</v>
      </c>
      <c r="CC11" s="59">
        <f t="shared" si="11"/>
        <v>282.90437958388418</v>
      </c>
      <c r="CD11" s="59">
        <f ca="1">AVERAGE(OFFSET($CC$3,0,0,'Données projet'!$E$12+1,1))-AVERAGE(OFFSET($H$3,0,0,'Données projet'!$E$12+1,1))</f>
        <v>340.49092994349405</v>
      </c>
      <c r="CE11" s="59">
        <f t="shared" si="40"/>
        <v>331.54434271908832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3.65</v>
      </c>
      <c r="CT11" s="12">
        <f>IF('Données projet'!$A$140&gt;35,CT10+CS11-DB10,IF(A11&lt;'Données projet'!$A$140,$CQ$205^A11,IF(A11='Données projet'!$A$140,'Données projet'!$B$140,CT10+CS11-DB10)))</f>
        <v>5.563257268920875</v>
      </c>
      <c r="CU11" s="17">
        <f>CT11*VLOOKUP('Données projet'!$B$13,Paramètres!$A$1:$I$89,3,0)*VLOOKUP('Données projet'!$B$13,Paramètres!$A$1:$I$89,5,0)</f>
        <v>5.0336351769196082</v>
      </c>
      <c r="CV11" s="13">
        <f t="shared" si="41"/>
        <v>1.9219176128866391</v>
      </c>
      <c r="CW11" s="20">
        <f t="shared" si="13"/>
        <v>12.11425444224588</v>
      </c>
      <c r="CX11" s="59">
        <f t="shared" si="14"/>
        <v>278.55869888669031</v>
      </c>
      <c r="CY11" s="59">
        <f ca="1">AVERAGE(OFFSET($CX$3,0,0,'Données projet'!$E$13+1,1))-AVERAGE(OFFSET($H$3,0,0,'Données projet'!$E$13+1,1))</f>
        <v>439.19854273764042</v>
      </c>
      <c r="CZ11" s="59">
        <f t="shared" si="42"/>
        <v>278.21741231699929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3.65</v>
      </c>
      <c r="DO11" s="12">
        <f>IF('Données projet'!$A$166&gt;35,DO10+DN11-DW10,IF(A11&lt;'Données projet'!$A$166,$DL$205^A11,IF(A11='Données projet'!$A$166,'Données projet'!$B$166,DO10+DN11-DW10)))</f>
        <v>5.563257268920875</v>
      </c>
      <c r="DP11" s="17">
        <f>DO11*VLOOKUP('Données projet'!$B$14,Paramètres!$A$1:$I$89,3,0)*VLOOKUP('Données projet'!$B$14,Paramètres!$A$1:$I$89,5,0)</f>
        <v>4.6864879233389463</v>
      </c>
      <c r="DQ11" s="13">
        <f t="shared" si="43"/>
        <v>1.8043173192324258</v>
      </c>
      <c r="DR11" s="20">
        <f t="shared" si="16"/>
        <v>11.304819130811806</v>
      </c>
      <c r="DS11" s="59">
        <f t="shared" si="17"/>
        <v>277.74926357525624</v>
      </c>
      <c r="DT11" s="59">
        <f ca="1">AVERAGE(OFFSET($DS$3,0,0,'Données projet'!$E$14+1,1))-AVERAGE(OFFSET($H$3,0,0,'Données projet'!$E$14+1,1))</f>
        <v>411.72284844766</v>
      </c>
      <c r="DU11" s="59">
        <f t="shared" si="44"/>
        <v>261.95434270986397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8.526315789473685</v>
      </c>
      <c r="EJ11" s="12">
        <f>IF('Données projet'!$A$192&gt;35,EJ10+EI11-ER10,IF(A11&lt;'Données projet'!$A$192,$EG$205^A11,IF(A11='Données projet'!$A$192,'Données projet'!$B$192,EJ10+EI11-ER10)))</f>
        <v>8.5176955198213591</v>
      </c>
      <c r="EK11" s="17">
        <f>EJ11*VLOOKUP('Données projet'!$B$15,Paramètres!$A$1:$I$89,3,0)*VLOOKUP('Données projet'!$B$15,Paramètres!$A$1:$I$89,5,0)</f>
        <v>4.7613917955801393</v>
      </c>
      <c r="EL11" s="13">
        <f t="shared" si="45"/>
        <v>1.8297752795633417</v>
      </c>
      <c r="EM11" s="20">
        <f t="shared" si="19"/>
        <v>11.479615989208229</v>
      </c>
      <c r="EN11" s="59">
        <f t="shared" si="20"/>
        <v>277.9240604336527</v>
      </c>
      <c r="EO11" s="59">
        <f ca="1">AVERAGE(OFFSET($EN$3,0,0,'Données projet'!$E$15+1,1))-AVERAGE(OFFSET($H$3,0,0,'Données projet'!$E$15+1,1))</f>
        <v>443.34220761968419</v>
      </c>
      <c r="EP11" s="59">
        <f t="shared" si="46"/>
        <v>546.58234447298014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7.1333333333333337</v>
      </c>
      <c r="N12" s="13">
        <f>IF('Données projet'!$A$36&gt;35,N11+M12-V11,IF(A12&lt;'Données projet'!$A$36,$K$205^A12,IF(A12='Données projet'!$A$36,'Données projet'!$B$36,N11+M12-V11)))</f>
        <v>16.505560112818404</v>
      </c>
      <c r="O12" s="13">
        <f>N12*VLOOKUP('Données projet'!$B$9,Paramètres!$A$1:$I$89,3,0)*VLOOKUP('Données projet'!$B$9,Paramètres!$A$1:$I$89,5,0)</f>
        <v>14.419257314558161</v>
      </c>
      <c r="P12" s="13">
        <f t="shared" si="33"/>
        <v>4.870729420129039</v>
      </c>
      <c r="Q12" s="20">
        <f t="shared" si="2"/>
        <v>33.596726896246878</v>
      </c>
      <c r="R12" s="59">
        <f t="shared" si="0"/>
        <v>301.26339356291356</v>
      </c>
      <c r="S12" s="59">
        <f ca="1">AVERAGE(OFFSET($R$3,0,0,'Données projet'!$E$9+1,1))-AVERAGE(OFFSET($H$3,0,0,'Données projet'!$E$9+1,1))</f>
        <v>304.32767345253382</v>
      </c>
      <c r="T12" s="59">
        <f t="shared" si="34"/>
        <v>427.16091343339173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1.9</v>
      </c>
      <c r="AI12" s="13">
        <f>IF('Données projet'!$A$62&gt;35,AI11+AH12-AQ11,IF(A12&lt;'Données projet'!$A$62,$AF$205^A12,IF(A12='Données projet'!$A$62,'Données projet'!$B$62,AI11+AH12-AQ11)))</f>
        <v>14.153969025366564</v>
      </c>
      <c r="AJ12" s="13">
        <f>AI12*VLOOKUP('Données projet'!$B$10,Paramètres!$A$1:$I$89,3,0)*VLOOKUP('Données projet'!$B$10,Paramètres!$A$1:$I$89,5,0)</f>
        <v>11.260897756581638</v>
      </c>
      <c r="AK12" s="13">
        <f t="shared" si="35"/>
        <v>3.9149117911590028</v>
      </c>
      <c r="AL12" s="20">
        <f t="shared" si="4"/>
        <v>26.431201628981615</v>
      </c>
      <c r="AM12" s="59">
        <f t="shared" si="5"/>
        <v>294.09786829564831</v>
      </c>
      <c r="AN12" s="59">
        <f ca="1">AVERAGE(OFFSET($AM$3,0,0,'Données projet'!$E$10+1,1))-AVERAGE(OFFSET($H$3,0,0,'Données projet'!$E$10+1,1))</f>
        <v>405.40026823646758</v>
      </c>
      <c r="AO12" s="59">
        <f t="shared" si="36"/>
        <v>393.0787141050053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10.8</v>
      </c>
      <c r="BD12" s="12">
        <f>IF('Données projet'!$A$88&gt;35,BD11+BC12-BL11,IF(A12&lt;'Données projet'!$A$88,$BA$205^A12,IF(A12='Données projet'!$A$88,'Données projet'!$B$88,BD11+BC12-BL11)))</f>
        <v>21.169422405444113</v>
      </c>
      <c r="BE12" s="13">
        <f>BD12*VLOOKUP('Données projet'!$B$11,Paramètres!$A$1:$I$89,3,0)*VLOOKUP('Données projet'!$B$11,Paramètres!$A$1:$I$89,5,0)</f>
        <v>11.83370712464326</v>
      </c>
      <c r="BF12" s="13">
        <f t="shared" si="37"/>
        <v>4.0903608070972819</v>
      </c>
      <c r="BG12" s="20">
        <f t="shared" si="7"/>
        <v>27.734418314448106</v>
      </c>
      <c r="BH12" s="59">
        <f t="shared" si="8"/>
        <v>295.40108498111476</v>
      </c>
      <c r="BI12" s="59">
        <f ca="1">AVERAGE(OFFSET($BH$3,0,0,'Données projet'!$E$11+1,1))-AVERAGE(OFFSET($H$3,0,0,'Données projet'!$E$11+1,1))</f>
        <v>555.15881087162279</v>
      </c>
      <c r="BJ12" s="59">
        <f t="shared" si="38"/>
        <v>668.20427590250733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1.9</v>
      </c>
      <c r="BY12" s="12">
        <f>IF('Données projet'!$A$114&gt;35,BY11+BX12-CG11,IF(A12&lt;'Données projet'!$A$114,$BV$205^A12,IF(A12='Données projet'!$A$114,'Données projet'!$B$114,BY11+BX12-CG11)))</f>
        <v>14.153969025366564</v>
      </c>
      <c r="BZ12" s="13">
        <f>BY12*VLOOKUP('Données projet'!$B$12,Paramètres!$A$1:$I$89,3,0)*VLOOKUP('Données projet'!$B$12,Paramètres!$A$1:$I$89,5,0)</f>
        <v>9.2736805054201739</v>
      </c>
      <c r="CA12" s="13">
        <f t="shared" si="39"/>
        <v>3.2977372248319372</v>
      </c>
      <c r="CB12" s="20">
        <f t="shared" si="10"/>
        <v>21.895219213522427</v>
      </c>
      <c r="CC12" s="59">
        <f t="shared" si="11"/>
        <v>289.5618858801891</v>
      </c>
      <c r="CD12" s="59">
        <f ca="1">AVERAGE(OFFSET($CC$3,0,0,'Données projet'!$E$12+1,1))-AVERAGE(OFFSET($H$3,0,0,'Données projet'!$E$12+1,1))</f>
        <v>340.49092994349405</v>
      </c>
      <c r="CE12" s="59">
        <f t="shared" si="40"/>
        <v>331.54434271908832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3.65</v>
      </c>
      <c r="CT12" s="12">
        <f>IF('Données projet'!$A$140&gt;35,CT11+CS12-DB11,IF(A12&lt;'Données projet'!$A$140,$CQ$205^A12,IF(A12='Données projet'!$A$140,'Données projet'!$B$140,CT11+CS12-DB11)))</f>
        <v>6.8943811137639424</v>
      </c>
      <c r="CU12" s="17">
        <f>CT12*VLOOKUP('Données projet'!$B$13,Paramètres!$A$1:$I$89,3,0)*VLOOKUP('Données projet'!$B$13,Paramètres!$A$1:$I$89,5,0)</f>
        <v>6.2380360317336141</v>
      </c>
      <c r="CV12" s="13">
        <f t="shared" si="41"/>
        <v>2.3230383034439352</v>
      </c>
      <c r="CW12" s="20">
        <f t="shared" si="13"/>
        <v>14.910537800434229</v>
      </c>
      <c r="CX12" s="59">
        <f t="shared" si="14"/>
        <v>282.5772044671009</v>
      </c>
      <c r="CY12" s="59">
        <f ca="1">AVERAGE(OFFSET($CX$3,0,0,'Données projet'!$E$13+1,1))-AVERAGE(OFFSET($H$3,0,0,'Données projet'!$E$13+1,1))</f>
        <v>439.19854273764042</v>
      </c>
      <c r="CZ12" s="59">
        <f t="shared" si="42"/>
        <v>278.21741231699929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3.65</v>
      </c>
      <c r="DO12" s="12">
        <f>IF('Données projet'!$A$166&gt;35,DO11+DN12-DW11,IF(A12&lt;'Données projet'!$A$166,$DL$205^A12,IF(A12='Données projet'!$A$166,'Données projet'!$B$166,DO11+DN12-DW11)))</f>
        <v>6.8943811137639424</v>
      </c>
      <c r="DP12" s="17">
        <f>DO12*VLOOKUP('Données projet'!$B$14,Paramètres!$A$1:$I$89,3,0)*VLOOKUP('Données projet'!$B$14,Paramètres!$A$1:$I$89,5,0)</f>
        <v>5.8078266502347455</v>
      </c>
      <c r="DQ12" s="13">
        <f t="shared" si="43"/>
        <v>2.1808938198181922</v>
      </c>
      <c r="DR12" s="20">
        <f t="shared" si="16"/>
        <v>13.913688152008866</v>
      </c>
      <c r="DS12" s="59">
        <f t="shared" si="17"/>
        <v>281.58035481867557</v>
      </c>
      <c r="DT12" s="59">
        <f ca="1">AVERAGE(OFFSET($DS$3,0,0,'Données projet'!$E$14+1,1))-AVERAGE(OFFSET($H$3,0,0,'Données projet'!$E$14+1,1))</f>
        <v>411.72284844766</v>
      </c>
      <c r="DU12" s="59">
        <f t="shared" si="44"/>
        <v>261.95434270986397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8.526315789473685</v>
      </c>
      <c r="EJ12" s="12">
        <f>IF('Données projet'!$A$192&gt;35,EJ11+EI12-ER11,IF(A12&lt;'Données projet'!$A$192,$EG$205^A12,IF(A12='Données projet'!$A$192,'Données projet'!$B$192,EJ11+EI12-ER11)))</f>
        <v>11.133004261541316</v>
      </c>
      <c r="EK12" s="17">
        <f>EJ12*VLOOKUP('Données projet'!$B$15,Paramètres!$A$1:$I$89,3,0)*VLOOKUP('Données projet'!$B$15,Paramètres!$A$1:$I$89,5,0)</f>
        <v>6.2233493822015964</v>
      </c>
      <c r="EL12" s="13">
        <f t="shared" si="45"/>
        <v>2.3182049730052579</v>
      </c>
      <c r="EM12" s="20">
        <f t="shared" si="19"/>
        <v>14.87654050198527</v>
      </c>
      <c r="EN12" s="59">
        <f t="shared" si="20"/>
        <v>282.54320716865197</v>
      </c>
      <c r="EO12" s="59">
        <f ca="1">AVERAGE(OFFSET($EN$3,0,0,'Données projet'!$E$15+1,1))-AVERAGE(OFFSET($H$3,0,0,'Données projet'!$E$15+1,1))</f>
        <v>443.34220761968419</v>
      </c>
      <c r="EP12" s="59">
        <f t="shared" si="46"/>
        <v>546.58234447298014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7.1333333333333337</v>
      </c>
      <c r="N13" s="13">
        <f>IF('Données projet'!$A$36&gt;35,N12+M13-V12,IF(A13&lt;'Données projet'!$A$36,$K$205^A13,IF(A13='Données projet'!$A$36,'Données projet'!$B$36,N12+M13-V12)))</f>
        <v>22.538370740628146</v>
      </c>
      <c r="O13" s="13">
        <f>N13*VLOOKUP('Données projet'!$B$9,Paramètres!$A$1:$I$89,3,0)*VLOOKUP('Données projet'!$B$9,Paramètres!$A$1:$I$89,5,0)</f>
        <v>19.689520679012752</v>
      </c>
      <c r="P13" s="13">
        <f t="shared" si="33"/>
        <v>6.414137090520053</v>
      </c>
      <c r="Q13" s="20">
        <f t="shared" si="2"/>
        <v>45.463870615269634</v>
      </c>
      <c r="R13" s="59">
        <f t="shared" si="0"/>
        <v>314.35275950415848</v>
      </c>
      <c r="S13" s="59">
        <f ca="1">AVERAGE(OFFSET($R$3,0,0,'Données projet'!$E$9+1,1))-AVERAGE(OFFSET($H$3,0,0,'Données projet'!$E$9+1,1))</f>
        <v>304.32767345253382</v>
      </c>
      <c r="T13" s="59">
        <f t="shared" si="34"/>
        <v>427.16091343339173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19</v>
      </c>
      <c r="AG13" s="12">
        <f>VLOOKUP(A13,'Données projet'!$A$61:$I$81,9,0)</f>
        <v>1.9</v>
      </c>
      <c r="AH13" s="12">
        <f t="array" ref="AH13">INDEX(AG:AG,MIN(IF(ISNUMBER(AG13:AG209),ROW(AG13:AG209),"")))</f>
        <v>1.9</v>
      </c>
      <c r="AI13" s="13">
        <f>IF('Données projet'!$A$62&gt;35,AI12+AH13-AQ12,IF(A13&lt;'Données projet'!$A$62,$AF$205^A13,IF(A13='Données projet'!$A$62,'Données projet'!$B$62,AI12+AH13-AQ12)))</f>
        <v>19</v>
      </c>
      <c r="AJ13" s="13">
        <f>AI13*VLOOKUP('Données projet'!$B$10,Paramètres!$A$1:$I$89,3,0)*VLOOKUP('Données projet'!$B$10,Paramètres!$A$1:$I$89,5,0)</f>
        <v>15.116400000000001</v>
      </c>
      <c r="AK13" s="13">
        <f t="shared" si="35"/>
        <v>5.0782333044806913</v>
      </c>
      <c r="AL13" s="20">
        <f t="shared" si="4"/>
        <v>35.172319671970541</v>
      </c>
      <c r="AM13" s="59">
        <f t="shared" si="5"/>
        <v>304.06120856085943</v>
      </c>
      <c r="AN13" s="59">
        <f ca="1">AVERAGE(OFFSET($AM$3,0,0,'Données projet'!$E$10+1,1))-AVERAGE(OFFSET($H$3,0,0,'Données projet'!$E$10+1,1))</f>
        <v>405.40026823646758</v>
      </c>
      <c r="AO13" s="59">
        <f t="shared" si="36"/>
        <v>393.0787141050053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7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10.8</v>
      </c>
      <c r="BD13" s="12">
        <f>IF('Données projet'!$A$88&gt;35,BD12+BC13-BL12,IF(A13&lt;'Données projet'!$A$88,$BA$205^A13,IF(A13='Données projet'!$A$88,'Données projet'!$B$88,BD12+BC13-BL12)))</f>
        <v>29.717345240051621</v>
      </c>
      <c r="BE13" s="13">
        <f>BD13*VLOOKUP('Données projet'!$B$11,Paramètres!$A$1:$I$89,3,0)*VLOOKUP('Données projet'!$B$11,Paramètres!$A$1:$I$89,5,0)</f>
        <v>16.611995989188856</v>
      </c>
      <c r="BF13" s="13">
        <f t="shared" si="37"/>
        <v>5.5197166337850669</v>
      </c>
      <c r="BG13" s="20">
        <f t="shared" si="7"/>
        <v>38.546066151679575</v>
      </c>
      <c r="BH13" s="59">
        <f t="shared" si="8"/>
        <v>307.43495504056841</v>
      </c>
      <c r="BI13" s="59">
        <f ca="1">AVERAGE(OFFSET($BH$3,0,0,'Données projet'!$E$11+1,1))-AVERAGE(OFFSET($H$3,0,0,'Données projet'!$E$11+1,1))</f>
        <v>555.15881087162279</v>
      </c>
      <c r="BJ13" s="59">
        <f t="shared" si="38"/>
        <v>668.20427590250733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19</v>
      </c>
      <c r="BW13" s="12">
        <f>VLOOKUP(A13,'Données projet'!$A$113:$I$133,9,0)</f>
        <v>1.9</v>
      </c>
      <c r="BX13" s="12">
        <f t="array" ref="BX13">INDEX(BW:BW,MIN(IF(ISNUMBER(BW13:BW209),ROW(BW13:BW209),"")))</f>
        <v>1.9</v>
      </c>
      <c r="BY13" s="12">
        <f>IF('Données projet'!$A$114&gt;35,BY12+BX13-CG12,IF(A13&lt;'Données projet'!$A$114,$BV$205^A13,IF(A13='Données projet'!$A$114,'Données projet'!$B$114,BY12+BX13-CG12)))</f>
        <v>19</v>
      </c>
      <c r="BZ13" s="13">
        <f>BY13*VLOOKUP('Données projet'!$B$12,Paramètres!$A$1:$I$89,3,0)*VLOOKUP('Données projet'!$B$12,Paramètres!$A$1:$I$89,5,0)</f>
        <v>12.4488</v>
      </c>
      <c r="CA13" s="13">
        <f t="shared" si="39"/>
        <v>4.2776644527179633</v>
      </c>
      <c r="CB13" s="20">
        <f t="shared" si="10"/>
        <v>29.131925588483782</v>
      </c>
      <c r="CC13" s="59">
        <f t="shared" si="11"/>
        <v>298.02081447737265</v>
      </c>
      <c r="CD13" s="59">
        <f ca="1">AVERAGE(OFFSET($CC$3,0,0,'Données projet'!$E$12+1,1))-AVERAGE(OFFSET($H$3,0,0,'Données projet'!$E$12+1,1))</f>
        <v>340.49092994349405</v>
      </c>
      <c r="CE13" s="59">
        <f t="shared" si="40"/>
        <v>331.54434271908832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7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3.65</v>
      </c>
      <c r="CT13" s="12">
        <f>IF('Données projet'!$A$140&gt;35,CT12+CS13-DB12,IF(A13&lt;'Données projet'!$A$140,$CQ$205^A13,IF(A13='Données projet'!$A$140,'Données projet'!$B$140,CT12+CS13-DB12)))</f>
        <v>8.5440037453175322</v>
      </c>
      <c r="CU13" s="17">
        <f>CT13*VLOOKUP('Données projet'!$B$13,Paramètres!$A$1:$I$89,3,0)*VLOOKUP('Données projet'!$B$13,Paramètres!$A$1:$I$89,5,0)</f>
        <v>7.7306145887633031</v>
      </c>
      <c r="CV13" s="13">
        <f t="shared" si="41"/>
        <v>2.8078763226288115</v>
      </c>
      <c r="CW13" s="20">
        <f t="shared" si="13"/>
        <v>18.354538337341264</v>
      </c>
      <c r="CX13" s="59">
        <f t="shared" si="14"/>
        <v>287.2434272262301</v>
      </c>
      <c r="CY13" s="59">
        <f ca="1">AVERAGE(OFFSET($CX$3,0,0,'Données projet'!$E$13+1,1))-AVERAGE(OFFSET($H$3,0,0,'Données projet'!$E$13+1,1))</f>
        <v>439.19854273764042</v>
      </c>
      <c r="CZ13" s="59">
        <f t="shared" si="42"/>
        <v>278.21741231699929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3.65</v>
      </c>
      <c r="DO13" s="12">
        <f>IF('Données projet'!$A$166&gt;35,DO12+DN13-DW12,IF(A13&lt;'Données projet'!$A$166,$DL$205^A13,IF(A13='Données projet'!$A$166,'Données projet'!$B$166,DO12+DN13-DW12)))</f>
        <v>8.5440037453175322</v>
      </c>
      <c r="DP13" s="17">
        <f>DO13*VLOOKUP('Données projet'!$B$14,Paramètres!$A$1:$I$89,3,0)*VLOOKUP('Données projet'!$B$14,Paramètres!$A$1:$I$89,5,0)</f>
        <v>7.1974687550554899</v>
      </c>
      <c r="DQ13" s="13">
        <f t="shared" si="43"/>
        <v>2.6360650660630816</v>
      </c>
      <c r="DR13" s="20">
        <f t="shared" si="16"/>
        <v>17.126738071781514</v>
      </c>
      <c r="DS13" s="59">
        <f t="shared" si="17"/>
        <v>286.01562696067037</v>
      </c>
      <c r="DT13" s="59">
        <f ca="1">AVERAGE(OFFSET($DS$3,0,0,'Données projet'!$E$14+1,1))-AVERAGE(OFFSET($H$3,0,0,'Données projet'!$E$14+1,1))</f>
        <v>411.72284844766</v>
      </c>
      <c r="DU13" s="59">
        <f t="shared" si="44"/>
        <v>261.95434270986397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8.526315789473685</v>
      </c>
      <c r="EJ13" s="12">
        <f>IF('Données projet'!$A$192&gt;35,EJ12+EI13-ER12,IF(A13&lt;'Données projet'!$A$192,$EG$205^A13,IF(A13='Données projet'!$A$192,'Données projet'!$B$192,EJ12+EI13-ER12)))</f>
        <v>14.551328302246779</v>
      </c>
      <c r="EK13" s="17">
        <f>EJ13*VLOOKUP('Données projet'!$B$15,Paramètres!$A$1:$I$89,3,0)*VLOOKUP('Données projet'!$B$15,Paramètres!$A$1:$I$89,5,0)</f>
        <v>8.1341925209559491</v>
      </c>
      <c r="EL13" s="13">
        <f t="shared" si="45"/>
        <v>2.9370132807503975</v>
      </c>
      <c r="EM13" s="20">
        <f t="shared" si="19"/>
        <v>19.282350104638549</v>
      </c>
      <c r="EN13" s="59">
        <f t="shared" si="20"/>
        <v>288.17123899352742</v>
      </c>
      <c r="EO13" s="59">
        <f ca="1">AVERAGE(OFFSET($EN$3,0,0,'Données projet'!$E$15+1,1))-AVERAGE(OFFSET($H$3,0,0,'Données projet'!$E$15+1,1))</f>
        <v>443.34220761968419</v>
      </c>
      <c r="EP13" s="59">
        <f t="shared" si="46"/>
        <v>546.58234447298014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7.1333333333333337</v>
      </c>
      <c r="N14" s="13">
        <f>IF('Données projet'!$A$36&gt;35,N13+M14-V13,IF(A14&lt;'Données projet'!$A$36,$K$205^A14,IF(A14='Données projet'!$A$36,'Données projet'!$B$36,N13+M14-V13)))</f>
        <v>30.776184035554262</v>
      </c>
      <c r="O14" s="13">
        <f>N14*VLOOKUP('Données projet'!$B$9,Paramètres!$A$1:$I$89,3,0)*VLOOKUP('Données projet'!$B$9,Paramètres!$A$1:$I$89,5,0)</f>
        <v>26.886074373460207</v>
      </c>
      <c r="P14" s="13">
        <f t="shared" si="33"/>
        <v>8.4466105725279856</v>
      </c>
      <c r="Q14" s="20">
        <f t="shared" si="2"/>
        <v>61.537759614262761</v>
      </c>
      <c r="R14" s="59">
        <f t="shared" si="0"/>
        <v>331.64887072537391</v>
      </c>
      <c r="S14" s="59">
        <f ca="1">AVERAGE(OFFSET($R$3,0,0,'Données projet'!$E$9+1,1))-AVERAGE(OFFSET($H$3,0,0,'Données projet'!$E$9+1,1))</f>
        <v>304.32767345253382</v>
      </c>
      <c r="T14" s="59">
        <f t="shared" si="34"/>
        <v>427.16091343339173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14.6</v>
      </c>
      <c r="AI14" s="13">
        <f>IF('Données projet'!$A$62&gt;35,AI13+AH14-AQ13,IF(A14&lt;'Données projet'!$A$62,$AF$205^A14,IF(A14='Données projet'!$A$62,'Données projet'!$B$62,AI13+AH14-AQ13)))</f>
        <v>26.6</v>
      </c>
      <c r="AJ14" s="13">
        <f>AI14*VLOOKUP('Données projet'!$B$10,Paramètres!$A$1:$I$89,3,0)*VLOOKUP('Données projet'!$B$10,Paramètres!$A$1:$I$89,5,0)</f>
        <v>21.162960000000002</v>
      </c>
      <c r="AK14" s="13">
        <f t="shared" si="35"/>
        <v>6.8364616466980515</v>
      </c>
      <c r="AL14" s="20">
        <f t="shared" si="4"/>
        <v>48.765659367999113</v>
      </c>
      <c r="AM14" s="59">
        <f t="shared" si="5"/>
        <v>318.87677047911023</v>
      </c>
      <c r="AN14" s="59">
        <f ca="1">AVERAGE(OFFSET($AM$3,0,0,'Données projet'!$E$10+1,1))-AVERAGE(OFFSET($H$3,0,0,'Données projet'!$E$10+1,1))</f>
        <v>405.40026823646758</v>
      </c>
      <c r="AO14" s="59">
        <f t="shared" si="36"/>
        <v>393.0787141050053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10.8</v>
      </c>
      <c r="BD14" s="12">
        <f>IF('Données projet'!$A$88&gt;35,BD13+BC14-BL13,IF(A14&lt;'Données projet'!$A$88,$BA$205^A14,IF(A14='Données projet'!$A$88,'Données projet'!$B$88,BD13+BC14-BL13)))</f>
        <v>41.716802244415881</v>
      </c>
      <c r="BE14" s="13">
        <f>BD14*VLOOKUP('Données projet'!$B$11,Paramètres!$A$1:$I$89,3,0)*VLOOKUP('Données projet'!$B$11,Paramètres!$A$1:$I$89,5,0)</f>
        <v>23.319692454628481</v>
      </c>
      <c r="BF14" s="13">
        <f t="shared" si="37"/>
        <v>7.4485536005574575</v>
      </c>
      <c r="BG14" s="20">
        <f t="shared" si="7"/>
        <v>53.58802854611551</v>
      </c>
      <c r="BH14" s="59">
        <f t="shared" si="8"/>
        <v>323.69913965722662</v>
      </c>
      <c r="BI14" s="59">
        <f ca="1">AVERAGE(OFFSET($BH$3,0,0,'Données projet'!$E$11+1,1))-AVERAGE(OFFSET($H$3,0,0,'Données projet'!$E$11+1,1))</f>
        <v>555.15881087162279</v>
      </c>
      <c r="BJ14" s="59">
        <f t="shared" si="38"/>
        <v>668.20427590250733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14.6</v>
      </c>
      <c r="BY14" s="12">
        <f>IF('Données projet'!$A$114&gt;35,BY13+BX14-CG13,IF(A14&lt;'Données projet'!$A$114,$BV$205^A14,IF(A14='Données projet'!$A$114,'Données projet'!$B$114,BY13+BX14-CG13)))</f>
        <v>26.6</v>
      </c>
      <c r="BZ14" s="13">
        <f>BY14*VLOOKUP('Données projet'!$B$12,Paramètres!$A$1:$I$89,3,0)*VLOOKUP('Données projet'!$B$12,Paramètres!$A$1:$I$89,5,0)</f>
        <v>17.428320000000003</v>
      </c>
      <c r="CA14" s="13">
        <f t="shared" si="39"/>
        <v>5.7587131616514986</v>
      </c>
      <c r="CB14" s="20">
        <f t="shared" si="10"/>
        <v>40.38408275654303</v>
      </c>
      <c r="CC14" s="59">
        <f t="shared" si="11"/>
        <v>310.49519386765417</v>
      </c>
      <c r="CD14" s="59">
        <f ca="1">AVERAGE(OFFSET($CC$3,0,0,'Données projet'!$E$12+1,1))-AVERAGE(OFFSET($H$3,0,0,'Données projet'!$E$12+1,1))</f>
        <v>340.49092994349405</v>
      </c>
      <c r="CE14" s="59">
        <f t="shared" si="40"/>
        <v>331.54434271908832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3.65</v>
      </c>
      <c r="CT14" s="12">
        <f>IF('Données projet'!$A$140&gt;35,CT13+CS14-DB13,IF(A14&lt;'Données projet'!$A$140,$CQ$205^A14,IF(A14='Données projet'!$A$140,'Données projet'!$B$140,CT13+CS14-DB13)))</f>
        <v>10.588332555950936</v>
      </c>
      <c r="CU14" s="17">
        <f>CT14*VLOOKUP('Données projet'!$B$13,Paramètres!$A$1:$I$89,3,0)*VLOOKUP('Données projet'!$B$13,Paramètres!$A$1:$I$89,5,0)</f>
        <v>9.5803232966244067</v>
      </c>
      <c r="CV14" s="13">
        <f t="shared" si="41"/>
        <v>3.3939041949894282</v>
      </c>
      <c r="CW14" s="20">
        <f t="shared" si="13"/>
        <v>22.596779547894098</v>
      </c>
      <c r="CX14" s="59">
        <f t="shared" si="14"/>
        <v>292.70789065900522</v>
      </c>
      <c r="CY14" s="59">
        <f ca="1">AVERAGE(OFFSET($CX$3,0,0,'Données projet'!$E$13+1,1))-AVERAGE(OFFSET($H$3,0,0,'Données projet'!$E$13+1,1))</f>
        <v>439.19854273764042</v>
      </c>
      <c r="CZ14" s="59">
        <f t="shared" si="42"/>
        <v>278.21741231699929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3.65</v>
      </c>
      <c r="DO14" s="12">
        <f>IF('Données projet'!$A$166&gt;35,DO13+DN14-DW13,IF(A14&lt;'Données projet'!$A$166,$DL$205^A14,IF(A14='Données projet'!$A$166,'Données projet'!$B$166,DO13+DN14-DW13)))</f>
        <v>10.588332555950936</v>
      </c>
      <c r="DP14" s="17">
        <f>DO14*VLOOKUP('Données projet'!$B$14,Paramètres!$A$1:$I$89,3,0)*VLOOKUP('Données projet'!$B$14,Paramètres!$A$1:$I$89,5,0)</f>
        <v>8.9196113451330703</v>
      </c>
      <c r="DQ14" s="13">
        <f t="shared" si="43"/>
        <v>3.186234455512118</v>
      </c>
      <c r="DR14" s="20">
        <f t="shared" si="16"/>
        <v>21.084348102790369</v>
      </c>
      <c r="DS14" s="59">
        <f t="shared" si="17"/>
        <v>291.19545921390153</v>
      </c>
      <c r="DT14" s="59">
        <f ca="1">AVERAGE(OFFSET($DS$3,0,0,'Données projet'!$E$14+1,1))-AVERAGE(OFFSET($H$3,0,0,'Données projet'!$E$14+1,1))</f>
        <v>411.72284844766</v>
      </c>
      <c r="DU14" s="59">
        <f t="shared" si="44"/>
        <v>261.95434270986397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8.526315789473685</v>
      </c>
      <c r="EJ14" s="12">
        <f>IF('Données projet'!$A$192&gt;35,EJ13+EI14-ER13,IF(A14&lt;'Données projet'!$A$192,$EG$205^A14,IF(A14='Données projet'!$A$192,'Données projet'!$B$192,EJ13+EI14-ER13)))</f>
        <v>19.01922880701866</v>
      </c>
      <c r="EK14" s="17">
        <f>EJ14*VLOOKUP('Données projet'!$B$15,Paramètres!$A$1:$I$89,3,0)*VLOOKUP('Données projet'!$B$15,Paramètres!$A$1:$I$89,5,0)</f>
        <v>10.631748903123432</v>
      </c>
      <c r="EL14" s="13">
        <f t="shared" si="45"/>
        <v>3.7210027205323613</v>
      </c>
      <c r="EM14" s="20">
        <f t="shared" si="19"/>
        <v>24.997709077867171</v>
      </c>
      <c r="EN14" s="59">
        <f t="shared" si="20"/>
        <v>295.10882018897831</v>
      </c>
      <c r="EO14" s="59">
        <f ca="1">AVERAGE(OFFSET($EN$3,0,0,'Données projet'!$E$15+1,1))-AVERAGE(OFFSET($H$3,0,0,'Données projet'!$E$15+1,1))</f>
        <v>443.34220761968419</v>
      </c>
      <c r="EP14" s="59">
        <f t="shared" si="46"/>
        <v>546.58234447298014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7.1333333333333337</v>
      </c>
      <c r="N15" s="13">
        <f>IF('Données projet'!$A$36&gt;35,N14+M15-V14,IF(A15&lt;'Données projet'!$A$36,$K$205^A15,IF(A15='Données projet'!$A$36,'Données projet'!$B$36,N14+M15-V14)))</f>
        <v>42.024932267304926</v>
      </c>
      <c r="O15" s="13">
        <f>N15*VLOOKUP('Données projet'!$B$9,Paramètres!$A$1:$I$89,3,0)*VLOOKUP('Données projet'!$B$9,Paramètres!$A$1:$I$89,5,0)</f>
        <v>36.71298082871759</v>
      </c>
      <c r="P15" s="13">
        <f t="shared" si="33"/>
        <v>11.123122121818724</v>
      </c>
      <c r="Q15" s="20">
        <f t="shared" si="2"/>
        <v>83.314545972184078</v>
      </c>
      <c r="R15" s="59">
        <f t="shared" si="0"/>
        <v>354.64787930551739</v>
      </c>
      <c r="S15" s="59">
        <f ca="1">AVERAGE(OFFSET($R$3,0,0,'Données projet'!$E$9+1,1))-AVERAGE(OFFSET($H$3,0,0,'Données projet'!$E$9+1,1))</f>
        <v>304.32767345253382</v>
      </c>
      <c r="T15" s="59">
        <f t="shared" si="34"/>
        <v>427.16091343339173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14.6</v>
      </c>
      <c r="AI15" s="13">
        <f>IF('Données projet'!$A$62&gt;35,AI14+AH15-AQ14,IF(A15&lt;'Données projet'!$A$62,$AF$205^A15,IF(A15='Données projet'!$A$62,'Données projet'!$B$62,AI14+AH15-AQ14)))</f>
        <v>41.2</v>
      </c>
      <c r="AJ15" s="13">
        <f>AI15*VLOOKUP('Données projet'!$B$10,Paramètres!$A$1:$I$89,3,0)*VLOOKUP('Données projet'!$B$10,Paramètres!$A$1:$I$89,5,0)</f>
        <v>32.77872</v>
      </c>
      <c r="AK15" s="13">
        <f t="shared" si="35"/>
        <v>10.063038810723747</v>
      </c>
      <c r="AL15" s="20">
        <f t="shared" si="4"/>
        <v>74.616063262010528</v>
      </c>
      <c r="AM15" s="59">
        <f t="shared" si="5"/>
        <v>345.94939659534384</v>
      </c>
      <c r="AN15" s="59">
        <f ca="1">AVERAGE(OFFSET($AM$3,0,0,'Données projet'!$E$10+1,1))-AVERAGE(OFFSET($H$3,0,0,'Données projet'!$E$10+1,1))</f>
        <v>405.40026823646758</v>
      </c>
      <c r="AO15" s="59">
        <f t="shared" si="36"/>
        <v>393.0787141050053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10.8</v>
      </c>
      <c r="BD15" s="12">
        <f>IF('Données projet'!$A$88&gt;35,BD14+BC15-BL14,IF(A15&lt;'Données projet'!$A$88,$BA$205^A15,IF(A15='Données projet'!$A$88,'Données projet'!$B$88,BD14+BC15-BL14)))</f>
        <v>58.561475644675681</v>
      </c>
      <c r="BE15" s="13">
        <f>BD15*VLOOKUP('Données projet'!$B$11,Paramètres!$A$1:$I$89,3,0)*VLOOKUP('Données projet'!$B$11,Paramètres!$A$1:$I$89,5,0)</f>
        <v>32.735864885373708</v>
      </c>
      <c r="BF15" s="13">
        <f t="shared" si="37"/>
        <v>10.051412857100269</v>
      </c>
      <c r="BG15" s="20">
        <f t="shared" si="7"/>
        <v>74.521175401475503</v>
      </c>
      <c r="BH15" s="59">
        <f t="shared" si="8"/>
        <v>345.8545087348088</v>
      </c>
      <c r="BI15" s="59">
        <f ca="1">AVERAGE(OFFSET($BH$3,0,0,'Données projet'!$E$11+1,1))-AVERAGE(OFFSET($H$3,0,0,'Données projet'!$E$11+1,1))</f>
        <v>555.15881087162279</v>
      </c>
      <c r="BJ15" s="59">
        <f t="shared" si="38"/>
        <v>668.20427590250733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14.6</v>
      </c>
      <c r="BY15" s="12">
        <f>IF('Données projet'!$A$114&gt;35,BY14+BX15-CG14,IF(A15&lt;'Données projet'!$A$114,$BV$205^A15,IF(A15='Données projet'!$A$114,'Données projet'!$B$114,BY14+BX15-CG14)))</f>
        <v>41.2</v>
      </c>
      <c r="BZ15" s="13">
        <f>BY15*VLOOKUP('Données projet'!$B$12,Paramètres!$A$1:$I$89,3,0)*VLOOKUP('Données projet'!$B$12,Paramètres!$A$1:$I$89,5,0)</f>
        <v>26.994240000000005</v>
      </c>
      <c r="CA15" s="13">
        <f t="shared" si="39"/>
        <v>8.4766297304562706</v>
      </c>
      <c r="CB15" s="20">
        <f t="shared" si="10"/>
        <v>61.778431447211325</v>
      </c>
      <c r="CC15" s="59">
        <f t="shared" si="11"/>
        <v>333.11176478054466</v>
      </c>
      <c r="CD15" s="59">
        <f ca="1">AVERAGE(OFFSET($CC$3,0,0,'Données projet'!$E$12+1,1))-AVERAGE(OFFSET($H$3,0,0,'Données projet'!$E$12+1,1))</f>
        <v>340.49092994349405</v>
      </c>
      <c r="CE15" s="59">
        <f t="shared" si="40"/>
        <v>331.54434271908832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3.65</v>
      </c>
      <c r="CT15" s="12">
        <f>IF('Données projet'!$A$140&gt;35,CT14+CS15-DB14,IF(A15&lt;'Données projet'!$A$140,$CQ$205^A15,IF(A15='Données projet'!$A$140,'Données projet'!$B$140,CT14+CS15-DB14)))</f>
        <v>13.121809125710287</v>
      </c>
      <c r="CU15" s="17">
        <f>CT15*VLOOKUP('Données projet'!$B$13,Paramètres!$A$1:$I$89,3,0)*VLOOKUP('Données projet'!$B$13,Paramètres!$A$1:$I$89,5,0)</f>
        <v>11.872612896942668</v>
      </c>
      <c r="CV15" s="13">
        <f t="shared" si="41"/>
        <v>4.1022411108131784</v>
      </c>
      <c r="CW15" s="20">
        <f t="shared" si="13"/>
        <v>27.822870730174767</v>
      </c>
      <c r="CX15" s="59">
        <f t="shared" si="14"/>
        <v>299.15620406350808</v>
      </c>
      <c r="CY15" s="59">
        <f ca="1">AVERAGE(OFFSET($CX$3,0,0,'Données projet'!$E$13+1,1))-AVERAGE(OFFSET($H$3,0,0,'Données projet'!$E$13+1,1))</f>
        <v>439.19854273764042</v>
      </c>
      <c r="CZ15" s="59">
        <f t="shared" si="42"/>
        <v>278.21741231699929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3.65</v>
      </c>
      <c r="DO15" s="12">
        <f>IF('Données projet'!$A$166&gt;35,DO14+DN15-DW14,IF(A15&lt;'Données projet'!$A$166,$DL$205^A15,IF(A15='Données projet'!$A$166,'Données projet'!$B$166,DO14+DN15-DW14)))</f>
        <v>13.121809125710287</v>
      </c>
      <c r="DP15" s="17">
        <f>DO15*VLOOKUP('Données projet'!$B$14,Paramètres!$A$1:$I$89,3,0)*VLOOKUP('Données projet'!$B$14,Paramètres!$A$1:$I$89,5,0)</f>
        <v>11.053812007498347</v>
      </c>
      <c r="DQ15" s="13">
        <f t="shared" si="43"/>
        <v>3.8512289154738402</v>
      </c>
      <c r="DR15" s="20">
        <f t="shared" si="16"/>
        <v>25.959612940843225</v>
      </c>
      <c r="DS15" s="59">
        <f t="shared" si="17"/>
        <v>297.29294627417653</v>
      </c>
      <c r="DT15" s="59">
        <f ca="1">AVERAGE(OFFSET($DS$3,0,0,'Données projet'!$E$14+1,1))-AVERAGE(OFFSET($H$3,0,0,'Données projet'!$E$14+1,1))</f>
        <v>411.72284844766</v>
      </c>
      <c r="DU15" s="59">
        <f t="shared" si="44"/>
        <v>261.95434270986397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8.526315789473685</v>
      </c>
      <c r="EJ15" s="12">
        <f>IF('Données projet'!$A$192&gt;35,EJ14+EI15-ER14,IF(A15&lt;'Données projet'!$A$192,$EG$205^A15,IF(A15='Données projet'!$A$192,'Données projet'!$B$192,EJ14+EI15-ER14)))</f>
        <v>24.85897210895007</v>
      </c>
      <c r="EK15" s="17">
        <f>EJ15*VLOOKUP('Données projet'!$B$15,Paramètres!$A$1:$I$89,3,0)*VLOOKUP('Données projet'!$B$15,Paramètres!$A$1:$I$89,5,0)</f>
        <v>13.896165408903089</v>
      </c>
      <c r="EL15" s="13">
        <f t="shared" si="45"/>
        <v>4.7142657940830492</v>
      </c>
      <c r="EM15" s="20">
        <f t="shared" si="19"/>
        <v>32.413167678534187</v>
      </c>
      <c r="EN15" s="59">
        <f t="shared" si="20"/>
        <v>303.74650101186751</v>
      </c>
      <c r="EO15" s="59">
        <f ca="1">AVERAGE(OFFSET($EN$3,0,0,'Données projet'!$E$15+1,1))-AVERAGE(OFFSET($H$3,0,0,'Données projet'!$E$15+1,1))</f>
        <v>443.34220761968419</v>
      </c>
      <c r="EP15" s="59">
        <f t="shared" si="46"/>
        <v>546.58234447298014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7.1333333333333337</v>
      </c>
      <c r="N16" s="13">
        <f>IF('Données projet'!$A$36&gt;35,N15+M16-V15,IF(A16&lt;'Données projet'!$A$36,$K$205^A16,IF(A16='Données projet'!$A$36,'Données projet'!$B$36,N15+M16-V15)))</f>
        <v>57.385117337200782</v>
      </c>
      <c r="O16" s="13">
        <f>N16*VLOOKUP('Données projet'!$B$9,Paramètres!$A$1:$I$89,3,0)*VLOOKUP('Données projet'!$B$9,Paramètres!$A$1:$I$89,5,0)</f>
        <v>50.131638505778611</v>
      </c>
      <c r="P16" s="13">
        <f t="shared" si="33"/>
        <v>14.647750677567194</v>
      </c>
      <c r="Q16" s="20">
        <f t="shared" si="2"/>
        <v>112.82410282766058</v>
      </c>
      <c r="R16" s="59">
        <f t="shared" si="0"/>
        <v>385.37965838321611</v>
      </c>
      <c r="S16" s="59">
        <f ca="1">AVERAGE(OFFSET($R$3,0,0,'Données projet'!$E$9+1,1))-AVERAGE(OFFSET($H$3,0,0,'Données projet'!$E$9+1,1))</f>
        <v>304.32767345253382</v>
      </c>
      <c r="T16" s="59">
        <f t="shared" si="34"/>
        <v>427.16091343339173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14.6</v>
      </c>
      <c r="AI16" s="13">
        <f>IF('Données projet'!$A$62&gt;35,AI15+AH16-AQ15,IF(A16&lt;'Données projet'!$A$62,$AF$205^A16,IF(A16='Données projet'!$A$62,'Données projet'!$B$62,AI15+AH16-AQ15)))</f>
        <v>55.800000000000004</v>
      </c>
      <c r="AJ16" s="13">
        <f>AI16*VLOOKUP('Données projet'!$B$10,Paramètres!$A$1:$I$89,3,0)*VLOOKUP('Données projet'!$B$10,Paramètres!$A$1:$I$89,5,0)</f>
        <v>44.394480000000001</v>
      </c>
      <c r="AK16" s="13">
        <f t="shared" si="35"/>
        <v>13.1562447968447</v>
      </c>
      <c r="AL16" s="20">
        <f t="shared" si="4"/>
        <v>100.2341790211712</v>
      </c>
      <c r="AM16" s="59">
        <f t="shared" si="5"/>
        <v>372.78973457672674</v>
      </c>
      <c r="AN16" s="59">
        <f ca="1">AVERAGE(OFFSET($AM$3,0,0,'Données projet'!$E$10+1,1))-AVERAGE(OFFSET($H$3,0,0,'Données projet'!$E$10+1,1))</f>
        <v>405.40026823646758</v>
      </c>
      <c r="AO16" s="59">
        <f t="shared" si="36"/>
        <v>393.0787141050053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10.8</v>
      </c>
      <c r="BD16" s="12">
        <f>IF('Données projet'!$A$88&gt;35,BD15+BC16-BL15,IF(A16&lt;'Données projet'!$A$88,$BA$205^A16,IF(A16='Données projet'!$A$88,'Données projet'!$B$88,BD15+BC16-BL15)))</f>
        <v>82.20779746225638</v>
      </c>
      <c r="BE16" s="13">
        <f>BD16*VLOOKUP('Données projet'!$B$11,Paramètres!$A$1:$I$89,3,0)*VLOOKUP('Données projet'!$B$11,Paramètres!$A$1:$I$89,5,0)</f>
        <v>45.954158781401318</v>
      </c>
      <c r="BF16" s="13">
        <f t="shared" si="37"/>
        <v>13.563828072113143</v>
      </c>
      <c r="BG16" s="20">
        <f t="shared" si="7"/>
        <v>103.66049376987102</v>
      </c>
      <c r="BH16" s="59">
        <f t="shared" si="8"/>
        <v>376.21604932542658</v>
      </c>
      <c r="BI16" s="59">
        <f ca="1">AVERAGE(OFFSET($BH$3,0,0,'Données projet'!$E$11+1,1))-AVERAGE(OFFSET($H$3,0,0,'Données projet'!$E$11+1,1))</f>
        <v>555.15881087162279</v>
      </c>
      <c r="BJ16" s="59">
        <f t="shared" si="38"/>
        <v>668.20427590250733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14.6</v>
      </c>
      <c r="BY16" s="12">
        <f>IF('Données projet'!$A$114&gt;35,BY15+BX16-CG15,IF(A16&lt;'Données projet'!$A$114,$BV$205^A16,IF(A16='Données projet'!$A$114,'Données projet'!$B$114,BY15+BX16-CG15)))</f>
        <v>55.800000000000004</v>
      </c>
      <c r="BZ16" s="13">
        <f>BY16*VLOOKUP('Données projet'!$B$12,Paramètres!$A$1:$I$89,3,0)*VLOOKUP('Données projet'!$B$12,Paramètres!$A$1:$I$89,5,0)</f>
        <v>36.560160000000003</v>
      </c>
      <c r="CA16" s="13">
        <f t="shared" si="39"/>
        <v>11.082200703355301</v>
      </c>
      <c r="CB16" s="20">
        <f t="shared" si="10"/>
        <v>82.977111558343836</v>
      </c>
      <c r="CC16" s="59">
        <f t="shared" si="11"/>
        <v>355.53266711389938</v>
      </c>
      <c r="CD16" s="59">
        <f ca="1">AVERAGE(OFFSET($CC$3,0,0,'Données projet'!$E$12+1,1))-AVERAGE(OFFSET($H$3,0,0,'Données projet'!$E$12+1,1))</f>
        <v>340.49092994349405</v>
      </c>
      <c r="CE16" s="59">
        <f t="shared" si="40"/>
        <v>331.54434271908832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3.65</v>
      </c>
      <c r="CT16" s="12">
        <f>IF('Données projet'!$A$140&gt;35,CT15+CS16-DB15,IF(A16&lt;'Données projet'!$A$140,$CQ$205^A16,IF(A16='Données projet'!$A$140,'Données projet'!$B$140,CT15+CS16-DB15)))</f>
        <v>16.261472127148366</v>
      </c>
      <c r="CU16" s="17">
        <f>CT16*VLOOKUP('Données projet'!$B$13,Paramètres!$A$1:$I$89,3,0)*VLOOKUP('Données projet'!$B$13,Paramètres!$A$1:$I$89,5,0)</f>
        <v>14.713379980643843</v>
      </c>
      <c r="CV16" s="13">
        <f t="shared" si="41"/>
        <v>4.9584140165447881</v>
      </c>
      <c r="CW16" s="20">
        <f t="shared" si="13"/>
        <v>34.261707878436859</v>
      </c>
      <c r="CX16" s="59">
        <f t="shared" si="14"/>
        <v>306.81726343399242</v>
      </c>
      <c r="CY16" s="59">
        <f ca="1">AVERAGE(OFFSET($CX$3,0,0,'Données projet'!$E$13+1,1))-AVERAGE(OFFSET($H$3,0,0,'Données projet'!$E$13+1,1))</f>
        <v>439.19854273764042</v>
      </c>
      <c r="CZ16" s="59">
        <f t="shared" si="42"/>
        <v>278.21741231699929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3.65</v>
      </c>
      <c r="DO16" s="12">
        <f>IF('Données projet'!$A$166&gt;35,DO15+DN16-DW15,IF(A16&lt;'Données projet'!$A$166,$DL$205^A16,IF(A16='Données projet'!$A$166,'Données projet'!$B$166,DO15+DN16-DW15)))</f>
        <v>16.261472127148366</v>
      </c>
      <c r="DP16" s="17">
        <f>DO16*VLOOKUP('Données projet'!$B$14,Paramètres!$A$1:$I$89,3,0)*VLOOKUP('Données projet'!$B$14,Paramètres!$A$1:$I$89,5,0)</f>
        <v>13.698664119909786</v>
      </c>
      <c r="DQ16" s="13">
        <f t="shared" si="43"/>
        <v>4.6550134230463893</v>
      </c>
      <c r="DR16" s="20">
        <f t="shared" si="16"/>
        <v>31.965988387315338</v>
      </c>
      <c r="DS16" s="59">
        <f t="shared" si="17"/>
        <v>304.52154394287089</v>
      </c>
      <c r="DT16" s="59">
        <f ca="1">AVERAGE(OFFSET($DS$3,0,0,'Données projet'!$E$14+1,1))-AVERAGE(OFFSET($H$3,0,0,'Données projet'!$E$14+1,1))</f>
        <v>411.72284844766</v>
      </c>
      <c r="DU16" s="59">
        <f t="shared" si="44"/>
        <v>261.95434270986397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8.526315789473685</v>
      </c>
      <c r="EJ16" s="12">
        <f>IF('Données projet'!$A$192&gt;35,EJ15+EI16-ER15,IF(A16&lt;'Données projet'!$A$192,$EG$205^A16,IF(A16='Données projet'!$A$192,'Données projet'!$B$192,EJ15+EI16-ER15)))</f>
        <v>32.491774539539094</v>
      </c>
      <c r="EK16" s="17">
        <f>EJ16*VLOOKUP('Données projet'!$B$15,Paramètres!$A$1:$I$89,3,0)*VLOOKUP('Données projet'!$B$15,Paramètres!$A$1:$I$89,5,0)</f>
        <v>18.162901967602355</v>
      </c>
      <c r="EL16" s="13">
        <f t="shared" si="45"/>
        <v>5.9726648020514927</v>
      </c>
      <c r="EM16" s="20">
        <f t="shared" si="19"/>
        <v>42.036112123813787</v>
      </c>
      <c r="EN16" s="59">
        <f t="shared" si="20"/>
        <v>314.59166767936932</v>
      </c>
      <c r="EO16" s="59">
        <f ca="1">AVERAGE(OFFSET($EN$3,0,0,'Données projet'!$E$15+1,1))-AVERAGE(OFFSET($H$3,0,0,'Données projet'!$E$15+1,1))</f>
        <v>443.34220761968419</v>
      </c>
      <c r="EP16" s="59">
        <f t="shared" si="46"/>
        <v>546.58234447298014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7.1333333333333337</v>
      </c>
      <c r="N17" s="13">
        <f>IF('Données projet'!$A$36&gt;35,N16+M17-V16,IF(A17&lt;'Données projet'!$A$36,$K$205^A17,IF(A17='Données projet'!$A$36,'Données projet'!$B$36,N16+M17-V16)))</f>
        <v>78.35947648549265</v>
      </c>
      <c r="O17" s="13">
        <f>N17*VLOOKUP('Données projet'!$B$9,Paramètres!$A$1:$I$89,3,0)*VLOOKUP('Données projet'!$B$9,Paramètres!$A$1:$I$89,5,0)</f>
        <v>68.454838657726384</v>
      </c>
      <c r="P17" s="13">
        <f t="shared" si="33"/>
        <v>19.289242495261615</v>
      </c>
      <c r="Q17" s="20">
        <f t="shared" si="2"/>
        <v>152.8209413414541</v>
      </c>
      <c r="R17" s="59">
        <f t="shared" si="0"/>
        <v>426.59871911923187</v>
      </c>
      <c r="S17" s="59">
        <f ca="1">AVERAGE(OFFSET($R$3,0,0,'Données projet'!$E$9+1,1))-AVERAGE(OFFSET($H$3,0,0,'Données projet'!$E$9+1,1))</f>
        <v>304.32767345253382</v>
      </c>
      <c r="T17" s="59">
        <f t="shared" si="34"/>
        <v>427.16091343339173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14.6</v>
      </c>
      <c r="AI17" s="13">
        <f>IF('Données projet'!$A$62&gt;35,AI16+AH17-AQ16,IF(A17&lt;'Données projet'!$A$62,$AF$205^A17,IF(A17='Données projet'!$A$62,'Données projet'!$B$62,AI16+AH17-AQ16)))</f>
        <v>70.400000000000006</v>
      </c>
      <c r="AJ17" s="13">
        <f>AI17*VLOOKUP('Données projet'!$B$10,Paramètres!$A$1:$I$89,3,0)*VLOOKUP('Données projet'!$B$10,Paramètres!$A$1:$I$89,5,0)</f>
        <v>56.01024000000001</v>
      </c>
      <c r="AK17" s="13">
        <f t="shared" si="35"/>
        <v>16.155528478402793</v>
      </c>
      <c r="AL17" s="20">
        <f t="shared" si="4"/>
        <v>125.68871343321821</v>
      </c>
      <c r="AM17" s="59">
        <f t="shared" si="5"/>
        <v>399.46649121099597</v>
      </c>
      <c r="AN17" s="59">
        <f ca="1">AVERAGE(OFFSET($AM$3,0,0,'Données projet'!$E$10+1,1))-AVERAGE(OFFSET($H$3,0,0,'Données projet'!$E$10+1,1))</f>
        <v>405.40026823646758</v>
      </c>
      <c r="AO17" s="59">
        <f t="shared" si="36"/>
        <v>393.0787141050053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10.8</v>
      </c>
      <c r="BD17" s="12">
        <f>IF('Données projet'!$A$88&gt;35,BD16+BC17-BL16,IF(A17&lt;'Données projet'!$A$88,$BA$205^A17,IF(A17='Données projet'!$A$88,'Données projet'!$B$88,BD16+BC17-BL16)))</f>
        <v>115.40218017388374</v>
      </c>
      <c r="BE17" s="13">
        <f>BD17*VLOOKUP('Données projet'!$B$11,Paramètres!$A$1:$I$89,3,0)*VLOOKUP('Données projet'!$B$11,Paramètres!$A$1:$I$89,5,0)</f>
        <v>64.509818717201014</v>
      </c>
      <c r="BF17" s="13">
        <f t="shared" si="37"/>
        <v>18.303638959560171</v>
      </c>
      <c r="BG17" s="20">
        <f t="shared" si="7"/>
        <v>144.23343878702573</v>
      </c>
      <c r="BH17" s="59">
        <f t="shared" si="8"/>
        <v>418.01121656480348</v>
      </c>
      <c r="BI17" s="59">
        <f ca="1">AVERAGE(OFFSET($BH$3,0,0,'Données projet'!$E$11+1,1))-AVERAGE(OFFSET($H$3,0,0,'Données projet'!$E$11+1,1))</f>
        <v>555.15881087162279</v>
      </c>
      <c r="BJ17" s="59">
        <f t="shared" si="38"/>
        <v>668.20427590250733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14.6</v>
      </c>
      <c r="BY17" s="12">
        <f>IF('Données projet'!$A$114&gt;35,BY16+BX17-CG16,IF(A17&lt;'Données projet'!$A$114,$BV$205^A17,IF(A17='Données projet'!$A$114,'Données projet'!$B$114,BY16+BX17-CG16)))</f>
        <v>70.400000000000006</v>
      </c>
      <c r="BZ17" s="13">
        <f>BY17*VLOOKUP('Données projet'!$B$12,Paramètres!$A$1:$I$89,3,0)*VLOOKUP('Données projet'!$B$12,Paramètres!$A$1:$I$89,5,0)</f>
        <v>46.126080000000002</v>
      </c>
      <c r="CA17" s="13">
        <f t="shared" si="39"/>
        <v>13.608655952447116</v>
      </c>
      <c r="CB17" s="20">
        <f t="shared" si="10"/>
        <v>104.03799845051206</v>
      </c>
      <c r="CC17" s="59">
        <f t="shared" si="11"/>
        <v>377.81577622828985</v>
      </c>
      <c r="CD17" s="59">
        <f ca="1">AVERAGE(OFFSET($CC$3,0,0,'Données projet'!$E$12+1,1))-AVERAGE(OFFSET($H$3,0,0,'Données projet'!$E$12+1,1))</f>
        <v>340.49092994349405</v>
      </c>
      <c r="CE17" s="59">
        <f t="shared" si="40"/>
        <v>331.54434271908832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3.65</v>
      </c>
      <c r="CT17" s="12">
        <f>IF('Données projet'!$A$140&gt;35,CT16+CS17-DB16,IF(A17&lt;'Données projet'!$A$140,$CQ$205^A17,IF(A17='Données projet'!$A$140,'Données projet'!$B$140,CT16+CS17-DB16)))</f>
        <v>20.152364144963837</v>
      </c>
      <c r="CU17" s="17">
        <f>CT17*VLOOKUP('Données projet'!$B$13,Paramètres!$A$1:$I$89,3,0)*VLOOKUP('Données projet'!$B$13,Paramètres!$A$1:$I$89,5,0)</f>
        <v>18.233859078363277</v>
      </c>
      <c r="CV17" s="13">
        <f t="shared" si="41"/>
        <v>5.9932775513027368</v>
      </c>
      <c r="CW17" s="20">
        <f t="shared" si="13"/>
        <v>42.195596296668306</v>
      </c>
      <c r="CX17" s="59">
        <f t="shared" si="14"/>
        <v>315.9733740744461</v>
      </c>
      <c r="CY17" s="59">
        <f ca="1">AVERAGE(OFFSET($CX$3,0,0,'Données projet'!$E$13+1,1))-AVERAGE(OFFSET($H$3,0,0,'Données projet'!$E$13+1,1))</f>
        <v>439.19854273764042</v>
      </c>
      <c r="CZ17" s="59">
        <f t="shared" si="42"/>
        <v>278.21741231699929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3.65</v>
      </c>
      <c r="DO17" s="12">
        <f>IF('Données projet'!$A$166&gt;35,DO16+DN17-DW16,IF(A17&lt;'Données projet'!$A$166,$DL$205^A17,IF(A17='Données projet'!$A$166,'Données projet'!$B$166,DO16+DN17-DW16)))</f>
        <v>20.152364144963837</v>
      </c>
      <c r="DP17" s="17">
        <f>DO17*VLOOKUP('Données projet'!$B$14,Paramètres!$A$1:$I$89,3,0)*VLOOKUP('Données projet'!$B$14,Paramètres!$A$1:$I$89,5,0)</f>
        <v>16.976351555717539</v>
      </c>
      <c r="DQ17" s="13">
        <f t="shared" si="43"/>
        <v>5.6265546516016363</v>
      </c>
      <c r="DR17" s="20">
        <f t="shared" si="16"/>
        <v>39.366728311080898</v>
      </c>
      <c r="DS17" s="59">
        <f t="shared" si="17"/>
        <v>313.14450608885869</v>
      </c>
      <c r="DT17" s="59">
        <f ca="1">AVERAGE(OFFSET($DS$3,0,0,'Données projet'!$E$14+1,1))-AVERAGE(OFFSET($H$3,0,0,'Données projet'!$E$14+1,1))</f>
        <v>411.72284844766</v>
      </c>
      <c r="DU17" s="59">
        <f t="shared" si="44"/>
        <v>261.95434270986397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8.526315789473685</v>
      </c>
      <c r="EJ17" s="12">
        <f>IF('Données projet'!$A$192&gt;35,EJ16+EI17-ER16,IF(A17&lt;'Données projet'!$A$192,$EG$205^A17,IF(A17='Données projet'!$A$192,'Données projet'!$B$192,EJ16+EI17-ER16)))</f>
        <v>42.468184448710481</v>
      </c>
      <c r="EK17" s="17">
        <f>EJ17*VLOOKUP('Données projet'!$B$15,Paramètres!$A$1:$I$89,3,0)*VLOOKUP('Données projet'!$B$15,Paramètres!$A$1:$I$89,5,0)</f>
        <v>23.739715106829159</v>
      </c>
      <c r="EL17" s="13">
        <f t="shared" si="45"/>
        <v>7.5669736064602473</v>
      </c>
      <c r="EM17" s="20">
        <f t="shared" si="19"/>
        <v>54.525816175645708</v>
      </c>
      <c r="EN17" s="59">
        <f t="shared" si="20"/>
        <v>328.3035939534235</v>
      </c>
      <c r="EO17" s="59">
        <f ca="1">AVERAGE(OFFSET($EN$3,0,0,'Données projet'!$E$15+1,1))-AVERAGE(OFFSET($H$3,0,0,'Données projet'!$E$15+1,1))</f>
        <v>443.34220761968419</v>
      </c>
      <c r="EP17" s="59">
        <f t="shared" si="46"/>
        <v>546.58234447298014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107</v>
      </c>
      <c r="L18" s="12">
        <f>VLOOKUP(A18,'Données projet'!$A$35:$I$55,9,0)</f>
        <v>7.1333333333333337</v>
      </c>
      <c r="M18" s="12">
        <f t="array" ref="M18">INDEX(L:L,MIN(IF(ISNUMBER(L18:L214),ROW(L18:L214),"")))</f>
        <v>7.1333333333333337</v>
      </c>
      <c r="N18" s="13">
        <f>IF('Données projet'!$A$36&gt;35,N17+M18-V17,IF(A18&lt;'Données projet'!$A$36,$K$205^A18,IF(A18='Données projet'!$A$36,'Données projet'!$B$36,N17+M18-V17)))</f>
        <v>107</v>
      </c>
      <c r="O18" s="13">
        <f>N18*VLOOKUP('Données projet'!$B$9,Paramètres!$A$1:$I$89,3,0)*VLOOKUP('Données projet'!$B$9,Paramètres!$A$1:$I$89,5,0)</f>
        <v>93.475200000000015</v>
      </c>
      <c r="P18" s="13">
        <f t="shared" si="33"/>
        <v>25.401502539965662</v>
      </c>
      <c r="Q18" s="20">
        <f t="shared" si="2"/>
        <v>207.04359025710687</v>
      </c>
      <c r="R18" s="59">
        <f t="shared" si="0"/>
        <v>482.04359025710687</v>
      </c>
      <c r="S18" s="59">
        <f ca="1">AVERAGE(OFFSET($R$3,0,0,'Données projet'!$E$9+1,1))-AVERAGE(OFFSET($H$3,0,0,'Données projet'!$E$9+1,1))</f>
        <v>304.32767345253382</v>
      </c>
      <c r="T18" s="59">
        <f t="shared" si="34"/>
        <v>427.16091343339173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34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85</v>
      </c>
      <c r="AG18" s="12">
        <f>VLOOKUP(A18,'Données projet'!$A$61:$I$81,9,0)</f>
        <v>14.6</v>
      </c>
      <c r="AH18" s="12">
        <f t="array" ref="AH18">INDEX(AG:AG,MIN(IF(ISNUMBER(AG18:AG214),ROW(AG18:AG214),"")))</f>
        <v>14.6</v>
      </c>
      <c r="AI18" s="13">
        <f>IF('Données projet'!$A$62&gt;35,AI17+AH18-AQ17,IF(A18&lt;'Données projet'!$A$62,$AF$205^A18,IF(A18='Données projet'!$A$62,'Données projet'!$B$62,AI17+AH18-AQ17)))</f>
        <v>85</v>
      </c>
      <c r="AJ18" s="13">
        <f>AI18*VLOOKUP('Données projet'!$B$10,Paramètres!$A$1:$I$89,3,0)*VLOOKUP('Données projet'!$B$10,Paramètres!$A$1:$I$89,5,0)</f>
        <v>67.626000000000005</v>
      </c>
      <c r="AK18" s="13">
        <f t="shared" si="35"/>
        <v>19.082731089464875</v>
      </c>
      <c r="AL18" s="20">
        <f t="shared" si="4"/>
        <v>151.01770664748466</v>
      </c>
      <c r="AM18" s="59">
        <f t="shared" si="5"/>
        <v>426.01770664748466</v>
      </c>
      <c r="AN18" s="59">
        <f ca="1">AVERAGE(OFFSET($AM$3,0,0,'Données projet'!$E$10+1,1))-AVERAGE(OFFSET($H$3,0,0,'Données projet'!$E$10+1,1))</f>
        <v>405.40026823646758</v>
      </c>
      <c r="AO18" s="59">
        <f t="shared" si="36"/>
        <v>393.0787141050053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42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162</v>
      </c>
      <c r="BB18" s="12">
        <f>VLOOKUP(A18,'Données projet'!$A$87:$I$107,9,0)</f>
        <v>10.8</v>
      </c>
      <c r="BC18" s="12">
        <f t="array" ref="BC18">INDEX(BB:BB,MIN(IF(ISNUMBER(BB18:BB214),ROW(BB18:BB214),"")))</f>
        <v>10.8</v>
      </c>
      <c r="BD18" s="12">
        <f>IF('Données projet'!$A$88&gt;35,BD17+BC18-BL17,IF(A18&lt;'Données projet'!$A$88,$BA$205^A18,IF(A18='Données projet'!$A$88,'Données projet'!$B$88,BD17+BC18-BL17)))</f>
        <v>162</v>
      </c>
      <c r="BE18" s="13">
        <f>BD18*VLOOKUP('Données projet'!$B$11,Paramètres!$A$1:$I$89,3,0)*VLOOKUP('Données projet'!$B$11,Paramètres!$A$1:$I$89,5,0)</f>
        <v>90.557999999999993</v>
      </c>
      <c r="BF18" s="13">
        <f t="shared" si="37"/>
        <v>24.699752708509138</v>
      </c>
      <c r="BG18" s="20">
        <f t="shared" si="7"/>
        <v>200.74058596732007</v>
      </c>
      <c r="BH18" s="59">
        <f t="shared" si="8"/>
        <v>475.74058596732004</v>
      </c>
      <c r="BI18" s="59">
        <f ca="1">AVERAGE(OFFSET($BH$3,0,0,'Données projet'!$E$11+1,1))-AVERAGE(OFFSET($H$3,0,0,'Données projet'!$E$11+1,1))</f>
        <v>555.15881087162279</v>
      </c>
      <c r="BJ18" s="59">
        <f t="shared" si="38"/>
        <v>668.20427590250733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85</v>
      </c>
      <c r="BW18" s="12">
        <f>VLOOKUP(A18,'Données projet'!$A$113:$I$133,9,0)</f>
        <v>14.6</v>
      </c>
      <c r="BX18" s="12">
        <f t="array" ref="BX18">INDEX(BW:BW,MIN(IF(ISNUMBER(BW18:BW214),ROW(BW18:BW214),"")))</f>
        <v>14.6</v>
      </c>
      <c r="BY18" s="12">
        <f>IF('Données projet'!$A$114&gt;35,BY17+BX18-CG17,IF(A18&lt;'Données projet'!$A$114,$BV$205^A18,IF(A18='Données projet'!$A$114,'Données projet'!$B$114,BY17+BX18-CG17)))</f>
        <v>85</v>
      </c>
      <c r="BZ18" s="13">
        <f>BY18*VLOOKUP('Données projet'!$B$12,Paramètres!$A$1:$I$89,3,0)*VLOOKUP('Données projet'!$B$12,Paramètres!$A$1:$I$89,5,0)</f>
        <v>55.691999999999993</v>
      </c>
      <c r="CA18" s="13">
        <f t="shared" si="39"/>
        <v>16.074393504165204</v>
      </c>
      <c r="CB18" s="20">
        <f t="shared" si="10"/>
        <v>124.99313535308771</v>
      </c>
      <c r="CC18" s="59">
        <f t="shared" si="11"/>
        <v>399.99313535308772</v>
      </c>
      <c r="CD18" s="59">
        <f ca="1">AVERAGE(OFFSET($CC$3,0,0,'Données projet'!$E$12+1,1))-AVERAGE(OFFSET($H$3,0,0,'Données projet'!$E$12+1,1))</f>
        <v>340.49092994349405</v>
      </c>
      <c r="CE18" s="59">
        <f t="shared" si="40"/>
        <v>331.54434271908832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42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3.65</v>
      </c>
      <c r="CT18" s="12">
        <f>IF('Données projet'!$A$140&gt;35,CT17+CS18-DB17,IF(A18&lt;'Données projet'!$A$140,$CQ$205^A18,IF(A18='Données projet'!$A$140,'Données projet'!$B$140,CT17+CS18-DB17)))</f>
        <v>24.974232188561476</v>
      </c>
      <c r="CU18" s="17">
        <f>CT18*VLOOKUP('Données projet'!$B$13,Paramètres!$A$1:$I$89,3,0)*VLOOKUP('Données projet'!$B$13,Paramètres!$A$1:$I$89,5,0)</f>
        <v>22.596685284210423</v>
      </c>
      <c r="CV18" s="13">
        <f t="shared" si="41"/>
        <v>7.2441259820371586</v>
      </c>
      <c r="CW18" s="20">
        <f t="shared" si="13"/>
        <v>51.972746288714539</v>
      </c>
      <c r="CX18" s="59">
        <f t="shared" si="14"/>
        <v>326.97274628871452</v>
      </c>
      <c r="CY18" s="59">
        <f ca="1">AVERAGE(OFFSET($CX$3,0,0,'Données projet'!$E$13+1,1))-AVERAGE(OFFSET($H$3,0,0,'Données projet'!$E$13+1,1))</f>
        <v>439.19854273764042</v>
      </c>
      <c r="CZ18" s="59">
        <f t="shared" si="42"/>
        <v>278.21741231699929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3.65</v>
      </c>
      <c r="DO18" s="12">
        <f>IF('Données projet'!$A$166&gt;35,DO17+DN18-DW17,IF(A18&lt;'Données projet'!$A$166,$DL$205^A18,IF(A18='Données projet'!$A$166,'Données projet'!$B$166,DO17+DN18-DW17)))</f>
        <v>24.974232188561476</v>
      </c>
      <c r="DP18" s="17">
        <f>DO18*VLOOKUP('Données projet'!$B$14,Paramètres!$A$1:$I$89,3,0)*VLOOKUP('Données projet'!$B$14,Paramètres!$A$1:$I$89,5,0)</f>
        <v>21.03829319564419</v>
      </c>
      <c r="DQ18" s="13">
        <f t="shared" si="43"/>
        <v>6.8008648676982615</v>
      </c>
      <c r="DR18" s="20">
        <f t="shared" si="16"/>
        <v>48.486533626988098</v>
      </c>
      <c r="DS18" s="59">
        <f t="shared" si="17"/>
        <v>323.48653362698809</v>
      </c>
      <c r="DT18" s="59">
        <f ca="1">AVERAGE(OFFSET($DS$3,0,0,'Données projet'!$E$14+1,1))-AVERAGE(OFFSET($H$3,0,0,'Données projet'!$E$14+1,1))</f>
        <v>411.72284844766</v>
      </c>
      <c r="DU18" s="59">
        <f t="shared" si="44"/>
        <v>261.95434270986397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8.526315789473685</v>
      </c>
      <c r="EJ18" s="12">
        <f>IF('Données projet'!$A$192&gt;35,EJ17+EI18-ER17,IF(A18&lt;'Données projet'!$A$192,$EG$205^A18,IF(A18='Données projet'!$A$192,'Données projet'!$B$192,EJ17+EI18-ER17)))</f>
        <v>55.507792846923991</v>
      </c>
      <c r="EK18" s="17">
        <f>EJ18*VLOOKUP('Données projet'!$B$15,Paramètres!$A$1:$I$89,3,0)*VLOOKUP('Données projet'!$B$15,Paramètres!$A$1:$I$89,5,0)</f>
        <v>31.028856201430514</v>
      </c>
      <c r="EL18" s="13">
        <f t="shared" si="45"/>
        <v>9.5868580371693835</v>
      </c>
      <c r="EM18" s="20">
        <f t="shared" si="19"/>
        <v>70.739035632228152</v>
      </c>
      <c r="EN18" s="59">
        <f t="shared" si="20"/>
        <v>345.73903563222814</v>
      </c>
      <c r="EO18" s="59">
        <f ca="1">AVERAGE(OFFSET($EN$3,0,0,'Données projet'!$E$15+1,1))-AVERAGE(OFFSET($H$3,0,0,'Données projet'!$E$15+1,1))</f>
        <v>443.34220761968419</v>
      </c>
      <c r="EP18" s="59">
        <f t="shared" si="46"/>
        <v>546.58234447298014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16.2</v>
      </c>
      <c r="N19" s="13">
        <f>IF('Données projet'!$A$36&gt;35,N18+M19-V18,IF(A19&lt;'Données projet'!$A$36,$K$205^A19,IF(A19='Données projet'!$A$36,'Données projet'!$B$36,N18+M19-V18)))</f>
        <v>89.2</v>
      </c>
      <c r="O19" s="13">
        <f>N19*VLOOKUP('Données projet'!$B$9,Paramètres!$A$1:$I$89,3,0)*VLOOKUP('Données projet'!$B$9,Paramètres!$A$1:$I$89,5,0)</f>
        <v>77.925120000000007</v>
      </c>
      <c r="P19" s="13">
        <f t="shared" si="33"/>
        <v>21.629091902424182</v>
      </c>
      <c r="Q19" s="20">
        <f t="shared" si="2"/>
        <v>173.3902523967221</v>
      </c>
      <c r="R19" s="59">
        <f t="shared" si="0"/>
        <v>449.61247461894436</v>
      </c>
      <c r="S19" s="59">
        <f ca="1">AVERAGE(OFFSET($R$3,0,0,'Données projet'!$E$9+1,1))-AVERAGE(OFFSET($H$3,0,0,'Données projet'!$E$9+1,1))</f>
        <v>304.32767345253382</v>
      </c>
      <c r="T19" s="59">
        <f t="shared" si="34"/>
        <v>427.16091343339173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16</v>
      </c>
      <c r="AI19" s="13">
        <f>IF('Données projet'!$A$62&gt;35,AI18+AH19-AQ18,IF(A19&lt;'Données projet'!$A$62,$AF$205^A19,IF(A19='Données projet'!$A$62,'Données projet'!$B$62,AI18+AH19-AQ18)))</f>
        <v>59</v>
      </c>
      <c r="AJ19" s="13">
        <f>AI19*VLOOKUP('Données projet'!$B$10,Paramètres!$A$1:$I$89,3,0)*VLOOKUP('Données projet'!$B$10,Paramètres!$A$1:$I$89,5,0)</f>
        <v>46.940400000000004</v>
      </c>
      <c r="AK19" s="13">
        <f t="shared" si="35"/>
        <v>13.82072434588865</v>
      </c>
      <c r="AL19" s="20">
        <f t="shared" si="4"/>
        <v>105.82562490242275</v>
      </c>
      <c r="AM19" s="59">
        <f t="shared" si="5"/>
        <v>382.04784712464499</v>
      </c>
      <c r="AN19" s="59">
        <f ca="1">AVERAGE(OFFSET($AM$3,0,0,'Données projet'!$E$10+1,1))-AVERAGE(OFFSET($H$3,0,0,'Données projet'!$E$10+1,1))</f>
        <v>405.40026823646758</v>
      </c>
      <c r="AO19" s="59">
        <f t="shared" si="36"/>
        <v>393.0787141050053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28.2</v>
      </c>
      <c r="BD19" s="12">
        <f>IF('Données projet'!$A$88&gt;35,BD18+BC19-BL18,IF(A19&lt;'Données projet'!$A$88,$BA$205^A19,IF(A19='Données projet'!$A$88,'Données projet'!$B$88,BD18+BC19-BL18)))</f>
        <v>190.2</v>
      </c>
      <c r="BE19" s="13">
        <f>BD19*VLOOKUP('Données projet'!$B$11,Paramètres!$A$1:$I$89,3,0)*VLOOKUP('Données projet'!$B$11,Paramètres!$A$1:$I$89,5,0)</f>
        <v>106.32179999999998</v>
      </c>
      <c r="BF19" s="13">
        <f t="shared" si="37"/>
        <v>28.462664081653866</v>
      </c>
      <c r="BG19" s="20">
        <f t="shared" si="7"/>
        <v>234.7496082755471</v>
      </c>
      <c r="BH19" s="59">
        <f t="shared" si="8"/>
        <v>510.97183049776936</v>
      </c>
      <c r="BI19" s="59">
        <f ca="1">AVERAGE(OFFSET($BH$3,0,0,'Données projet'!$E$11+1,1))-AVERAGE(OFFSET($H$3,0,0,'Données projet'!$E$11+1,1))</f>
        <v>555.15881087162279</v>
      </c>
      <c r="BJ19" s="59">
        <f t="shared" si="38"/>
        <v>668.20427590250733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16</v>
      </c>
      <c r="BY19" s="12">
        <f>IF('Données projet'!$A$114&gt;35,BY18+BX19-CG18,IF(A19&lt;'Données projet'!$A$114,$BV$205^A19,IF(A19='Données projet'!$A$114,'Données projet'!$B$114,BY18+BX19-CG18)))</f>
        <v>59</v>
      </c>
      <c r="BZ19" s="13">
        <f>BY19*VLOOKUP('Données projet'!$B$12,Paramètres!$A$1:$I$89,3,0)*VLOOKUP('Données projet'!$B$12,Paramètres!$A$1:$I$89,5,0)</f>
        <v>38.656799999999997</v>
      </c>
      <c r="CA19" s="13">
        <f t="shared" si="39"/>
        <v>11.641926965635404</v>
      </c>
      <c r="CB19" s="20">
        <f t="shared" si="10"/>
        <v>87.603616131814988</v>
      </c>
      <c r="CC19" s="59">
        <f t="shared" si="11"/>
        <v>363.82583835403722</v>
      </c>
      <c r="CD19" s="59">
        <f ca="1">AVERAGE(OFFSET($CC$3,0,0,'Données projet'!$E$12+1,1))-AVERAGE(OFFSET($H$3,0,0,'Données projet'!$E$12+1,1))</f>
        <v>340.49092994349405</v>
      </c>
      <c r="CE19" s="59">
        <f t="shared" si="40"/>
        <v>331.54434271908832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3.65</v>
      </c>
      <c r="CT19" s="12">
        <f>IF('Données projet'!$A$140&gt;35,CT18+CS19-DB18,IF(A19&lt;'Données projet'!$A$140,$CQ$205^A19,IF(A19='Données projet'!$A$140,'Données projet'!$B$140,CT18+CS19-DB18)))</f>
        <v>30.949831440200953</v>
      </c>
      <c r="CU19" s="17">
        <f>CT19*VLOOKUP('Données projet'!$B$13,Paramètres!$A$1:$I$89,3,0)*VLOOKUP('Données projet'!$B$13,Paramètres!$A$1:$I$89,5,0)</f>
        <v>28.003407487093821</v>
      </c>
      <c r="CV19" s="13">
        <f t="shared" si="41"/>
        <v>8.7560372090925433</v>
      </c>
      <c r="CW19" s="20">
        <f t="shared" si="13"/>
        <v>64.022699512524582</v>
      </c>
      <c r="CX19" s="59">
        <f t="shared" si="14"/>
        <v>340.24492173474681</v>
      </c>
      <c r="CY19" s="59">
        <f ca="1">AVERAGE(OFFSET($CX$3,0,0,'Données projet'!$E$13+1,1))-AVERAGE(OFFSET($H$3,0,0,'Données projet'!$E$13+1,1))</f>
        <v>439.19854273764042</v>
      </c>
      <c r="CZ19" s="59">
        <f t="shared" si="42"/>
        <v>278.21741231699929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3.65</v>
      </c>
      <c r="DO19" s="12">
        <f>IF('Données projet'!$A$166&gt;35,DO18+DN19-DW18,IF(A19&lt;'Données projet'!$A$166,$DL$205^A19,IF(A19='Données projet'!$A$166,'Données projet'!$B$166,DO18+DN19-DW18)))</f>
        <v>30.949831440200953</v>
      </c>
      <c r="DP19" s="17">
        <f>DO19*VLOOKUP('Données projet'!$B$14,Paramètres!$A$1:$I$89,3,0)*VLOOKUP('Données projet'!$B$14,Paramètres!$A$1:$I$89,5,0)</f>
        <v>26.072138005225284</v>
      </c>
      <c r="DQ19" s="13">
        <f t="shared" si="43"/>
        <v>8.2202636982343371</v>
      </c>
      <c r="DR19" s="20">
        <f t="shared" si="16"/>
        <v>59.725932966858835</v>
      </c>
      <c r="DS19" s="59">
        <f t="shared" si="17"/>
        <v>335.94815518908104</v>
      </c>
      <c r="DT19" s="59">
        <f ca="1">AVERAGE(OFFSET($DS$3,0,0,'Données projet'!$E$14+1,1))-AVERAGE(OFFSET($H$3,0,0,'Données projet'!$E$14+1,1))</f>
        <v>411.72284844766</v>
      </c>
      <c r="DU19" s="59">
        <f t="shared" si="44"/>
        <v>261.95434270986397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8.526315789473685</v>
      </c>
      <c r="EJ19" s="12">
        <f>IF('Données projet'!$A$192&gt;35,EJ18+EI19-ER18,IF(A19&lt;'Données projet'!$A$192,$EG$205^A19,IF(A19='Données projet'!$A$192,'Données projet'!$B$192,EJ18+EI19-ER18)))</f>
        <v>72.551136968384853</v>
      </c>
      <c r="EK19" s="17">
        <f>EJ19*VLOOKUP('Données projet'!$B$15,Paramètres!$A$1:$I$89,3,0)*VLOOKUP('Données projet'!$B$15,Paramètres!$A$1:$I$89,5,0)</f>
        <v>40.55608556532713</v>
      </c>
      <c r="EL19" s="13">
        <f t="shared" si="45"/>
        <v>12.145918805157919</v>
      </c>
      <c r="EM19" s="20">
        <f t="shared" si="19"/>
        <v>91.78932427859479</v>
      </c>
      <c r="EN19" s="59">
        <f t="shared" si="20"/>
        <v>368.01154650081702</v>
      </c>
      <c r="EO19" s="59">
        <f ca="1">AVERAGE(OFFSET($EN$3,0,0,'Données projet'!$E$15+1,1))-AVERAGE(OFFSET($H$3,0,0,'Données projet'!$E$15+1,1))</f>
        <v>443.34220761968419</v>
      </c>
      <c r="EP19" s="59">
        <f t="shared" si="46"/>
        <v>546.58234447298014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16.2</v>
      </c>
      <c r="N20" s="13">
        <f>IF('Données projet'!$A$36&gt;35,N19+M20-V19,IF(A20&lt;'Données projet'!$A$36,$K$205^A20,IF(A20='Données projet'!$A$36,'Données projet'!$B$36,N19+M20-V19)))</f>
        <v>105.4</v>
      </c>
      <c r="O20" s="13">
        <f>N20*VLOOKUP('Données projet'!$B$9,Paramètres!$A$1:$I$89,3,0)*VLOOKUP('Données projet'!$B$9,Paramètres!$A$1:$I$89,5,0)</f>
        <v>92.07744000000001</v>
      </c>
      <c r="P20" s="13">
        <f t="shared" si="33"/>
        <v>25.065586122051112</v>
      </c>
      <c r="Q20" s="20">
        <f t="shared" si="2"/>
        <v>204.02410382923904</v>
      </c>
      <c r="R20" s="59">
        <f t="shared" si="0"/>
        <v>481.4685482736835</v>
      </c>
      <c r="S20" s="59">
        <f ca="1">AVERAGE(OFFSET($R$3,0,0,'Données projet'!$E$9+1,1))-AVERAGE(OFFSET($H$3,0,0,'Données projet'!$E$9+1,1))</f>
        <v>304.32767345253382</v>
      </c>
      <c r="T20" s="59">
        <f t="shared" si="34"/>
        <v>427.16091343339173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16</v>
      </c>
      <c r="AI20" s="13">
        <f>IF('Données projet'!$A$62&gt;35,AI19+AH20-AQ19,IF(A20&lt;'Données projet'!$A$62,$AF$205^A20,IF(A20='Données projet'!$A$62,'Données projet'!$B$62,AI19+AH20-AQ19)))</f>
        <v>75</v>
      </c>
      <c r="AJ20" s="13">
        <f>AI20*VLOOKUP('Données projet'!$B$10,Paramètres!$A$1:$I$89,3,0)*VLOOKUP('Données projet'!$B$10,Paramètres!$A$1:$I$89,5,0)</f>
        <v>59.67</v>
      </c>
      <c r="AK20" s="13">
        <f t="shared" si="35"/>
        <v>17.084807896591332</v>
      </c>
      <c r="AL20" s="20">
        <f t="shared" si="4"/>
        <v>133.68129041989656</v>
      </c>
      <c r="AM20" s="59">
        <f t="shared" si="5"/>
        <v>411.12573486434098</v>
      </c>
      <c r="AN20" s="59">
        <f ca="1">AVERAGE(OFFSET($AM$3,0,0,'Données projet'!$E$10+1,1))-AVERAGE(OFFSET($H$3,0,0,'Données projet'!$E$10+1,1))</f>
        <v>405.40026823646758</v>
      </c>
      <c r="AO20" s="59">
        <f t="shared" si="36"/>
        <v>393.0787141050053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28.2</v>
      </c>
      <c r="BD20" s="12">
        <f>IF('Données projet'!$A$88&gt;35,BD19+BC20-BL19,IF(A20&lt;'Données projet'!$A$88,$BA$205^A20,IF(A20='Données projet'!$A$88,'Données projet'!$B$88,BD19+BC20-BL19)))</f>
        <v>218.39999999999998</v>
      </c>
      <c r="BE20" s="13">
        <f>BD20*VLOOKUP('Données projet'!$B$11,Paramètres!$A$1:$I$89,3,0)*VLOOKUP('Données projet'!$B$11,Paramètres!$A$1:$I$89,5,0)</f>
        <v>122.0856</v>
      </c>
      <c r="BF20" s="13">
        <f t="shared" si="37"/>
        <v>32.160942364346717</v>
      </c>
      <c r="BG20" s="20">
        <f t="shared" si="7"/>
        <v>268.64606128457052</v>
      </c>
      <c r="BH20" s="59">
        <f t="shared" si="8"/>
        <v>546.09050572901492</v>
      </c>
      <c r="BI20" s="59">
        <f ca="1">AVERAGE(OFFSET($BH$3,0,0,'Données projet'!$E$11+1,1))-AVERAGE(OFFSET($H$3,0,0,'Données projet'!$E$11+1,1))</f>
        <v>555.15881087162279</v>
      </c>
      <c r="BJ20" s="59">
        <f t="shared" si="38"/>
        <v>668.20427590250733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16</v>
      </c>
      <c r="BY20" s="12">
        <f>IF('Données projet'!$A$114&gt;35,BY19+BX20-CG19,IF(A20&lt;'Données projet'!$A$114,$BV$205^A20,IF(A20='Données projet'!$A$114,'Données projet'!$B$114,BY19+BX20-CG19)))</f>
        <v>75</v>
      </c>
      <c r="BZ20" s="13">
        <f>BY20*VLOOKUP('Données projet'!$B$12,Paramètres!$A$1:$I$89,3,0)*VLOOKUP('Données projet'!$B$12,Paramètres!$A$1:$I$89,5,0)</f>
        <v>49.14</v>
      </c>
      <c r="CA20" s="13">
        <f t="shared" si="39"/>
        <v>14.391437147300868</v>
      </c>
      <c r="CB20" s="20">
        <f t="shared" si="10"/>
        <v>110.65058636488233</v>
      </c>
      <c r="CC20" s="59">
        <f t="shared" si="11"/>
        <v>388.09503080932677</v>
      </c>
      <c r="CD20" s="59">
        <f ca="1">AVERAGE(OFFSET($CC$3,0,0,'Données projet'!$E$12+1,1))-AVERAGE(OFFSET($H$3,0,0,'Données projet'!$E$12+1,1))</f>
        <v>340.49092994349405</v>
      </c>
      <c r="CE20" s="59">
        <f t="shared" si="40"/>
        <v>331.54434271908832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3.65</v>
      </c>
      <c r="CT20" s="12">
        <f>IF('Données projet'!$A$140&gt;35,CT19+CS20-DB19,IF(A20&lt;'Données projet'!$A$140,$CQ$205^A20,IF(A20='Données projet'!$A$140,'Données projet'!$B$140,CT19+CS20-DB19)))</f>
        <v>38.355215845858055</v>
      </c>
      <c r="CU20" s="17">
        <f>CT20*VLOOKUP('Données projet'!$B$13,Paramètres!$A$1:$I$89,3,0)*VLOOKUP('Données projet'!$B$13,Paramètres!$A$1:$I$89,5,0)</f>
        <v>34.703799297332367</v>
      </c>
      <c r="CV20" s="13">
        <f t="shared" si="41"/>
        <v>10.583497277259243</v>
      </c>
      <c r="CW20" s="20">
        <f t="shared" si="13"/>
        <v>78.875374867413711</v>
      </c>
      <c r="CX20" s="59">
        <f t="shared" si="14"/>
        <v>356.31981931185817</v>
      </c>
      <c r="CY20" s="59">
        <f ca="1">AVERAGE(OFFSET($CX$3,0,0,'Données projet'!$E$13+1,1))-AVERAGE(OFFSET($H$3,0,0,'Données projet'!$E$13+1,1))</f>
        <v>439.19854273764042</v>
      </c>
      <c r="CZ20" s="59">
        <f t="shared" si="42"/>
        <v>278.21741231699929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3.65</v>
      </c>
      <c r="DO20" s="12">
        <f>IF('Données projet'!$A$166&gt;35,DO19+DN20-DW19,IF(A20&lt;'Données projet'!$A$166,$DL$205^A20,IF(A20='Données projet'!$A$166,'Données projet'!$B$166,DO19+DN20-DW19)))</f>
        <v>38.355215845858055</v>
      </c>
      <c r="DP20" s="17">
        <f>DO20*VLOOKUP('Données projet'!$B$14,Paramètres!$A$1:$I$89,3,0)*VLOOKUP('Données projet'!$B$14,Paramètres!$A$1:$I$89,5,0)</f>
        <v>32.310433828550828</v>
      </c>
      <c r="DQ20" s="13">
        <f t="shared" si="43"/>
        <v>9.9359032392271498</v>
      </c>
      <c r="DR20" s="20">
        <f t="shared" si="16"/>
        <v>73.579037059713301</v>
      </c>
      <c r="DS20" s="59">
        <f t="shared" si="17"/>
        <v>351.02348150415776</v>
      </c>
      <c r="DT20" s="59">
        <f ca="1">AVERAGE(OFFSET($DS$3,0,0,'Données projet'!$E$14+1,1))-AVERAGE(OFFSET($H$3,0,0,'Données projet'!$E$14+1,1))</f>
        <v>411.72284844766</v>
      </c>
      <c r="DU20" s="59">
        <f t="shared" si="44"/>
        <v>261.95434270986397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8.526315789473685</v>
      </c>
      <c r="EJ20" s="12">
        <f>IF('Données projet'!$A$192&gt;35,EJ19+EI20-ER19,IF(A20&lt;'Données projet'!$A$192,$EG$205^A20,IF(A20='Données projet'!$A$192,'Données projet'!$B$192,EJ19+EI20-ER19)))</f>
        <v>94.827540520682575</v>
      </c>
      <c r="EK20" s="17">
        <f>EJ20*VLOOKUP('Données projet'!$B$15,Paramètres!$A$1:$I$89,3,0)*VLOOKUP('Données projet'!$B$15,Paramètres!$A$1:$I$89,5,0)</f>
        <v>53.008595151061563</v>
      </c>
      <c r="EL20" s="13">
        <f t="shared" si="45"/>
        <v>15.388080542084102</v>
      </c>
      <c r="EM20" s="20">
        <f t="shared" si="19"/>
        <v>119.12421016556203</v>
      </c>
      <c r="EN20" s="59">
        <f t="shared" si="20"/>
        <v>396.56865461000649</v>
      </c>
      <c r="EO20" s="59">
        <f ca="1">AVERAGE(OFFSET($EN$3,0,0,'Données projet'!$E$15+1,1))-AVERAGE(OFFSET($H$3,0,0,'Données projet'!$E$15+1,1))</f>
        <v>443.34220761968419</v>
      </c>
      <c r="EP20" s="59">
        <f t="shared" si="46"/>
        <v>546.58234447298014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16.2</v>
      </c>
      <c r="N21" s="13">
        <f>IF('Données projet'!$A$36&gt;35,N20+M21-V20,IF(A21&lt;'Données projet'!$A$36,$K$205^A21,IF(A21='Données projet'!$A$36,'Données projet'!$B$36,N20+M21-V20)))</f>
        <v>121.60000000000001</v>
      </c>
      <c r="O21" s="13">
        <f>N21*VLOOKUP('Données projet'!$B$9,Paramètres!$A$1:$I$89,3,0)*VLOOKUP('Données projet'!$B$9,Paramètres!$A$1:$I$89,5,0)</f>
        <v>106.22976000000003</v>
      </c>
      <c r="P21" s="13">
        <f t="shared" si="33"/>
        <v>28.440891625171492</v>
      </c>
      <c r="Q21" s="20">
        <f t="shared" si="2"/>
        <v>234.55138491384039</v>
      </c>
      <c r="R21" s="59">
        <f t="shared" si="0"/>
        <v>513.21805158050711</v>
      </c>
      <c r="S21" s="59">
        <f ca="1">AVERAGE(OFFSET($R$3,0,0,'Données projet'!$E$9+1,1))-AVERAGE(OFFSET($H$3,0,0,'Données projet'!$E$9+1,1))</f>
        <v>304.32767345253382</v>
      </c>
      <c r="T21" s="59">
        <f t="shared" si="34"/>
        <v>427.16091343339173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16</v>
      </c>
      <c r="AI21" s="13">
        <f>IF('Données projet'!$A$62&gt;35,AI20+AH21-AQ20,IF(A21&lt;'Données projet'!$A$62,$AF$205^A21,IF(A21='Données projet'!$A$62,'Données projet'!$B$62,AI20+AH21-AQ20)))</f>
        <v>91</v>
      </c>
      <c r="AJ21" s="13">
        <f>AI21*VLOOKUP('Données projet'!$B$10,Paramètres!$A$1:$I$89,3,0)*VLOOKUP('Données projet'!$B$10,Paramètres!$A$1:$I$89,5,0)</f>
        <v>72.399600000000007</v>
      </c>
      <c r="AK21" s="13">
        <f t="shared" si="35"/>
        <v>20.268188832715463</v>
      </c>
      <c r="AL21" s="20">
        <f t="shared" si="4"/>
        <v>161.39639888364613</v>
      </c>
      <c r="AM21" s="59">
        <f t="shared" si="5"/>
        <v>440.06306555031279</v>
      </c>
      <c r="AN21" s="59">
        <f ca="1">AVERAGE(OFFSET($AM$3,0,0,'Données projet'!$E$10+1,1))-AVERAGE(OFFSET($H$3,0,0,'Données projet'!$E$10+1,1))</f>
        <v>405.40026823646758</v>
      </c>
      <c r="AO21" s="59">
        <f t="shared" si="36"/>
        <v>393.0787141050053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28.2</v>
      </c>
      <c r="BD21" s="12">
        <f>IF('Données projet'!$A$88&gt;35,BD20+BC21-BL20,IF(A21&lt;'Données projet'!$A$88,$BA$205^A21,IF(A21='Données projet'!$A$88,'Données projet'!$B$88,BD20+BC21-BL20)))</f>
        <v>246.59999999999997</v>
      </c>
      <c r="BE21" s="13">
        <f>BD21*VLOOKUP('Données projet'!$B$11,Paramètres!$A$1:$I$89,3,0)*VLOOKUP('Données projet'!$B$11,Paramètres!$A$1:$I$89,5,0)</f>
        <v>137.84939999999997</v>
      </c>
      <c r="BF21" s="13">
        <f t="shared" si="37"/>
        <v>35.803890229822542</v>
      </c>
      <c r="BG21" s="20">
        <f t="shared" si="7"/>
        <v>302.44614715027416</v>
      </c>
      <c r="BH21" s="59">
        <f t="shared" si="8"/>
        <v>581.11281381694084</v>
      </c>
      <c r="BI21" s="59">
        <f ca="1">AVERAGE(OFFSET($BH$3,0,0,'Données projet'!$E$11+1,1))-AVERAGE(OFFSET($H$3,0,0,'Données projet'!$E$11+1,1))</f>
        <v>555.15881087162279</v>
      </c>
      <c r="BJ21" s="59">
        <f t="shared" si="38"/>
        <v>668.20427590250733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16</v>
      </c>
      <c r="BY21" s="12">
        <f>IF('Données projet'!$A$114&gt;35,BY20+BX21-CG20,IF(A21&lt;'Données projet'!$A$114,$BV$205^A21,IF(A21='Données projet'!$A$114,'Données projet'!$B$114,BY20+BX21-CG20)))</f>
        <v>91</v>
      </c>
      <c r="BZ21" s="13">
        <f>BY21*VLOOKUP('Données projet'!$B$12,Paramètres!$A$1:$I$89,3,0)*VLOOKUP('Données projet'!$B$12,Paramètres!$A$1:$I$89,5,0)</f>
        <v>59.623199999999997</v>
      </c>
      <c r="CA21" s="13">
        <f t="shared" si="39"/>
        <v>17.072967249098898</v>
      </c>
      <c r="CB21" s="20">
        <f t="shared" si="10"/>
        <v>133.57915795884722</v>
      </c>
      <c r="CC21" s="59">
        <f t="shared" si="11"/>
        <v>412.24582462551393</v>
      </c>
      <c r="CD21" s="59">
        <f ca="1">AVERAGE(OFFSET($CC$3,0,0,'Données projet'!$E$12+1,1))-AVERAGE(OFFSET($H$3,0,0,'Données projet'!$E$12+1,1))</f>
        <v>340.49092994349405</v>
      </c>
      <c r="CE21" s="59">
        <f t="shared" si="40"/>
        <v>331.54434271908832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3.65</v>
      </c>
      <c r="CT21" s="12">
        <f>IF('Données projet'!$A$140&gt;35,CT20+CS21-DB20,IF(A21&lt;'Données projet'!$A$140,$CQ$205^A21,IF(A21='Données projet'!$A$140,'Données projet'!$B$140,CT20+CS21-DB20)))</f>
        <v>47.532490941824946</v>
      </c>
      <c r="CU21" s="17">
        <f>CT21*VLOOKUP('Données projet'!$B$13,Paramètres!$A$1:$I$89,3,0)*VLOOKUP('Données projet'!$B$13,Paramètres!$A$1:$I$89,5,0)</f>
        <v>43.007397804163212</v>
      </c>
      <c r="CV21" s="13">
        <f t="shared" si="41"/>
        <v>12.792363936215189</v>
      </c>
      <c r="CW21" s="20">
        <f t="shared" si="13"/>
        <v>97.184585031159045</v>
      </c>
      <c r="CX21" s="59">
        <f t="shared" si="14"/>
        <v>375.85125169782572</v>
      </c>
      <c r="CY21" s="59">
        <f ca="1">AVERAGE(OFFSET($CX$3,0,0,'Données projet'!$E$13+1,1))-AVERAGE(OFFSET($H$3,0,0,'Données projet'!$E$13+1,1))</f>
        <v>439.19854273764042</v>
      </c>
      <c r="CZ21" s="59">
        <f t="shared" si="42"/>
        <v>278.21741231699929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3.65</v>
      </c>
      <c r="DO21" s="12">
        <f>IF('Données projet'!$A$166&gt;35,DO20+DN21-DW20,IF(A21&lt;'Données projet'!$A$166,$DL$205^A21,IF(A21='Données projet'!$A$166,'Données projet'!$B$166,DO20+DN21-DW20)))</f>
        <v>47.532490941824946</v>
      </c>
      <c r="DP21" s="17">
        <f>DO21*VLOOKUP('Données projet'!$B$14,Paramètres!$A$1:$I$89,3,0)*VLOOKUP('Données projet'!$B$14,Paramètres!$A$1:$I$89,5,0)</f>
        <v>40.041370369393334</v>
      </c>
      <c r="DQ21" s="13">
        <f t="shared" si="43"/>
        <v>12.009611467876571</v>
      </c>
      <c r="DR21" s="20">
        <f t="shared" si="16"/>
        <v>90.655460033245092</v>
      </c>
      <c r="DS21" s="59">
        <f t="shared" si="17"/>
        <v>369.32212669991179</v>
      </c>
      <c r="DT21" s="59">
        <f ca="1">AVERAGE(OFFSET($DS$3,0,0,'Données projet'!$E$14+1,1))-AVERAGE(OFFSET($H$3,0,0,'Données projet'!$E$14+1,1))</f>
        <v>411.72284844766</v>
      </c>
      <c r="DU21" s="59">
        <f t="shared" si="44"/>
        <v>261.95434270986397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8.526315789473685</v>
      </c>
      <c r="EJ21" s="12">
        <f>IF('Données projet'!$A$192&gt;35,EJ20+EI21-ER20,IF(A21&lt;'Données projet'!$A$192,$EG$205^A21,IF(A21='Données projet'!$A$192,'Données projet'!$B$192,EJ20+EI21-ER20)))</f>
        <v>123.94378388749713</v>
      </c>
      <c r="EK21" s="17">
        <f>EJ21*VLOOKUP('Données projet'!$B$15,Paramètres!$A$1:$I$89,3,0)*VLOOKUP('Données projet'!$B$15,Paramètres!$A$1:$I$89,5,0)</f>
        <v>69.284575193110896</v>
      </c>
      <c r="EL21" s="13">
        <f t="shared" si="45"/>
        <v>19.495686293334202</v>
      </c>
      <c r="EM21" s="20">
        <f t="shared" si="19"/>
        <v>154.62562208889187</v>
      </c>
      <c r="EN21" s="59">
        <f t="shared" si="20"/>
        <v>433.29228875555856</v>
      </c>
      <c r="EO21" s="59">
        <f ca="1">AVERAGE(OFFSET($EN$3,0,0,'Données projet'!$E$15+1,1))-AVERAGE(OFFSET($H$3,0,0,'Données projet'!$E$15+1,1))</f>
        <v>443.34220761968419</v>
      </c>
      <c r="EP21" s="59">
        <f t="shared" si="46"/>
        <v>546.58234447298014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16.2</v>
      </c>
      <c r="N22" s="13">
        <f>IF('Données projet'!$A$36&gt;35,N21+M22-V21,IF(A22&lt;'Données projet'!$A$36,$K$205^A22,IF(A22='Données projet'!$A$36,'Données projet'!$B$36,N21+M22-V21)))</f>
        <v>137.80000000000001</v>
      </c>
      <c r="O22" s="13">
        <f>N22*VLOOKUP('Données projet'!$B$9,Paramètres!$A$1:$I$89,3,0)*VLOOKUP('Données projet'!$B$9,Paramètres!$A$1:$I$89,5,0)</f>
        <v>120.38208000000003</v>
      </c>
      <c r="P22" s="13">
        <f t="shared" si="33"/>
        <v>31.76409668560358</v>
      </c>
      <c r="Q22" s="20">
        <f t="shared" si="2"/>
        <v>264.98792439409294</v>
      </c>
      <c r="R22" s="59">
        <f t="shared" si="0"/>
        <v>544.87681328298186</v>
      </c>
      <c r="S22" s="59">
        <f ca="1">AVERAGE(OFFSET($R$3,0,0,'Données projet'!$E$9+1,1))-AVERAGE(OFFSET($H$3,0,0,'Données projet'!$E$9+1,1))</f>
        <v>304.32767345253382</v>
      </c>
      <c r="T22" s="59">
        <f t="shared" si="34"/>
        <v>427.16091343339173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16</v>
      </c>
      <c r="AI22" s="13">
        <f>IF('Données projet'!$A$62&gt;35,AI21+AH22-AQ21,IF(A22&lt;'Données projet'!$A$62,$AF$205^A22,IF(A22='Données projet'!$A$62,'Données projet'!$B$62,AI21+AH22-AQ21)))</f>
        <v>107</v>
      </c>
      <c r="AJ22" s="13">
        <f>AI22*VLOOKUP('Données projet'!$B$10,Paramètres!$A$1:$I$89,3,0)*VLOOKUP('Données projet'!$B$10,Paramètres!$A$1:$I$89,5,0)</f>
        <v>85.129199999999997</v>
      </c>
      <c r="AK22" s="13">
        <f t="shared" si="35"/>
        <v>23.386728480923388</v>
      </c>
      <c r="AL22" s="20">
        <f t="shared" si="4"/>
        <v>188.99857543760822</v>
      </c>
      <c r="AM22" s="59">
        <f t="shared" si="5"/>
        <v>468.88746432649708</v>
      </c>
      <c r="AN22" s="59">
        <f ca="1">AVERAGE(OFFSET($AM$3,0,0,'Données projet'!$E$10+1,1))-AVERAGE(OFFSET($H$3,0,0,'Données projet'!$E$10+1,1))</f>
        <v>405.40026823646758</v>
      </c>
      <c r="AO22" s="59">
        <f t="shared" si="36"/>
        <v>393.0787141050053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28.2</v>
      </c>
      <c r="BD22" s="12">
        <f>IF('Données projet'!$A$88&gt;35,BD21+BC22-BL21,IF(A22&lt;'Données projet'!$A$88,$BA$205^A22,IF(A22='Données projet'!$A$88,'Données projet'!$B$88,BD21+BC22-BL21)))</f>
        <v>274.79999999999995</v>
      </c>
      <c r="BE22" s="13">
        <f>BD22*VLOOKUP('Données projet'!$B$11,Paramètres!$A$1:$I$89,3,0)*VLOOKUP('Données projet'!$B$11,Paramètres!$A$1:$I$89,5,0)</f>
        <v>153.61319999999998</v>
      </c>
      <c r="BF22" s="13">
        <f t="shared" si="37"/>
        <v>39.398557339898318</v>
      </c>
      <c r="BG22" s="20">
        <f t="shared" si="7"/>
        <v>336.16214403365615</v>
      </c>
      <c r="BH22" s="59">
        <f t="shared" si="8"/>
        <v>616.05103292254501</v>
      </c>
      <c r="BI22" s="59">
        <f ca="1">AVERAGE(OFFSET($BH$3,0,0,'Données projet'!$E$11+1,1))-AVERAGE(OFFSET($H$3,0,0,'Données projet'!$E$11+1,1))</f>
        <v>555.15881087162279</v>
      </c>
      <c r="BJ22" s="59">
        <f t="shared" si="38"/>
        <v>668.20427590250733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16</v>
      </c>
      <c r="BY22" s="12">
        <f>IF('Données projet'!$A$114&gt;35,BY21+BX22-CG21,IF(A22&lt;'Données projet'!$A$114,$BV$205^A22,IF(A22='Données projet'!$A$114,'Données projet'!$B$114,BY21+BX22-CG21)))</f>
        <v>107</v>
      </c>
      <c r="BZ22" s="13">
        <f>BY22*VLOOKUP('Données projet'!$B$12,Paramètres!$A$1:$I$89,3,0)*VLOOKUP('Données projet'!$B$12,Paramètres!$A$1:$I$89,5,0)</f>
        <v>70.106399999999994</v>
      </c>
      <c r="CA22" s="13">
        <f t="shared" si="39"/>
        <v>19.699878105234674</v>
      </c>
      <c r="CB22" s="20">
        <f t="shared" si="10"/>
        <v>156.41260103328369</v>
      </c>
      <c r="CC22" s="59">
        <f t="shared" si="11"/>
        <v>436.30148992217255</v>
      </c>
      <c r="CD22" s="59">
        <f ca="1">AVERAGE(OFFSET($CC$3,0,0,'Données projet'!$E$12+1,1))-AVERAGE(OFFSET($H$3,0,0,'Données projet'!$E$12+1,1))</f>
        <v>340.49092994349405</v>
      </c>
      <c r="CE22" s="59">
        <f t="shared" si="40"/>
        <v>331.54434271908832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3.65</v>
      </c>
      <c r="CT22" s="12">
        <f>IF('Données projet'!$A$140&gt;35,CT21+CS22-DB21,IF(A22&lt;'Données projet'!$A$140,$CQ$205^A22,IF(A22='Données projet'!$A$140,'Données projet'!$B$140,CT21+CS22-DB21)))</f>
        <v>58.90561805764559</v>
      </c>
      <c r="CU22" s="17">
        <f>CT22*VLOOKUP('Données projet'!$B$13,Paramètres!$A$1:$I$89,3,0)*VLOOKUP('Données projet'!$B$13,Paramètres!$A$1:$I$89,5,0)</f>
        <v>53.297803218557732</v>
      </c>
      <c r="CV22" s="13">
        <f t="shared" si="41"/>
        <v>15.462240012873817</v>
      </c>
      <c r="CW22" s="20">
        <f t="shared" si="13"/>
        <v>119.75707529474329</v>
      </c>
      <c r="CX22" s="59">
        <f t="shared" si="14"/>
        <v>399.64596418363215</v>
      </c>
      <c r="CY22" s="59">
        <f ca="1">AVERAGE(OFFSET($CX$3,0,0,'Données projet'!$E$13+1,1))-AVERAGE(OFFSET($H$3,0,0,'Données projet'!$E$13+1,1))</f>
        <v>439.19854273764042</v>
      </c>
      <c r="CZ22" s="59">
        <f t="shared" si="42"/>
        <v>278.21741231699929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3.65</v>
      </c>
      <c r="DO22" s="12">
        <f>IF('Données projet'!$A$166&gt;35,DO21+DN22-DW21,IF(A22&lt;'Données projet'!$A$166,$DL$205^A22,IF(A22='Données projet'!$A$166,'Données projet'!$B$166,DO21+DN22-DW21)))</f>
        <v>58.90561805764559</v>
      </c>
      <c r="DP22" s="17">
        <f>DO22*VLOOKUP('Données projet'!$B$14,Paramètres!$A$1:$I$89,3,0)*VLOOKUP('Données projet'!$B$14,Paramètres!$A$1:$I$89,5,0)</f>
        <v>49.622092651760646</v>
      </c>
      <c r="DQ22" s="13">
        <f t="shared" si="43"/>
        <v>14.516120390537463</v>
      </c>
      <c r="DR22" s="20">
        <f t="shared" si="16"/>
        <v>111.70738771533587</v>
      </c>
      <c r="DS22" s="59">
        <f t="shared" si="17"/>
        <v>391.59627660422473</v>
      </c>
      <c r="DT22" s="59">
        <f ca="1">AVERAGE(OFFSET($DS$3,0,0,'Données projet'!$E$14+1,1))-AVERAGE(OFFSET($H$3,0,0,'Données projet'!$E$14+1,1))</f>
        <v>411.72284844766</v>
      </c>
      <c r="DU22" s="59">
        <f t="shared" si="44"/>
        <v>261.95434270986397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>
        <f>VLOOKUP(A22,'Données projet'!$A$191:$I$211,2,0)</f>
        <v>162</v>
      </c>
      <c r="EH22" s="12">
        <f>VLOOKUP(A22,'Données projet'!$A$191:$I$211,9,0)</f>
        <v>8.526315789473685</v>
      </c>
      <c r="EI22" s="12">
        <f t="array" ref="EI22">INDEX(EH:EH,MIN(IF(ISNUMBER(EH22:EH218),ROW(EH22:EH218),"")))</f>
        <v>8.526315789473685</v>
      </c>
      <c r="EJ22" s="12">
        <f>IF('Données projet'!$A$192&gt;35,EJ21+EI22-ER21,IF(A22&lt;'Données projet'!$A$192,$EG$205^A22,IF(A22='Données projet'!$A$192,'Données projet'!$B$192,EJ21+EI22-ER21)))</f>
        <v>162</v>
      </c>
      <c r="EK22" s="17">
        <f>EJ22*VLOOKUP('Données projet'!$B$15,Paramètres!$A$1:$I$89,3,0)*VLOOKUP('Données projet'!$B$15,Paramètres!$A$1:$I$89,5,0)</f>
        <v>90.557999999999993</v>
      </c>
      <c r="EL22" s="13">
        <f t="shared" si="45"/>
        <v>24.699752708509138</v>
      </c>
      <c r="EM22" s="20">
        <f t="shared" si="19"/>
        <v>200.74058596732007</v>
      </c>
      <c r="EN22" s="59">
        <f t="shared" si="20"/>
        <v>480.62947485620896</v>
      </c>
      <c r="EO22" s="59">
        <f ca="1">AVERAGE(OFFSET($EN$3,0,0,'Données projet'!$E$15+1,1))-AVERAGE(OFFSET($H$3,0,0,'Données projet'!$E$15+1,1))</f>
        <v>443.34220761968419</v>
      </c>
      <c r="EP22" s="59">
        <f t="shared" si="46"/>
        <v>546.58234447298014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154</v>
      </c>
      <c r="L23" s="12">
        <f>VLOOKUP(A23,'Données projet'!$A$35:$I$55,9,0)</f>
        <v>16.2</v>
      </c>
      <c r="M23" s="12">
        <f t="array" ref="M23">INDEX(L:L,MIN(IF(ISNUMBER(L23:L219),ROW(L23:L219),"")))</f>
        <v>16.2</v>
      </c>
      <c r="N23" s="13">
        <f>IF('Données projet'!$A$36&gt;35,N22+M23-V22,IF(A23&lt;'Données projet'!$A$36,$K$205^A23,IF(A23='Données projet'!$A$36,'Données projet'!$B$36,N22+M23-V22)))</f>
        <v>154</v>
      </c>
      <c r="O23" s="13">
        <f>N23*VLOOKUP('Données projet'!$B$9,Paramètres!$A$1:$I$89,3,0)*VLOOKUP('Données projet'!$B$9,Paramètres!$A$1:$I$89,5,0)</f>
        <v>134.53440000000001</v>
      </c>
      <c r="P23" s="13">
        <f t="shared" si="33"/>
        <v>35.042026165482234</v>
      </c>
      <c r="Q23" s="20">
        <f t="shared" si="2"/>
        <v>295.34560890488154</v>
      </c>
      <c r="R23" s="59">
        <f t="shared" si="0"/>
        <v>576.45672001599269</v>
      </c>
      <c r="S23" s="59">
        <f ca="1">AVERAGE(OFFSET($R$3,0,0,'Données projet'!$E$9+1,1))-AVERAGE(OFFSET($H$3,0,0,'Données projet'!$E$9+1,1))</f>
        <v>304.32767345253382</v>
      </c>
      <c r="T23" s="59">
        <f t="shared" si="34"/>
        <v>427.16091343339173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50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123</v>
      </c>
      <c r="AG23" s="12">
        <f>VLOOKUP(A23,'Données projet'!$A$61:$I$81,9,0)</f>
        <v>16</v>
      </c>
      <c r="AH23" s="12">
        <f t="array" ref="AH23">INDEX(AG:AG,MIN(IF(ISNUMBER(AG23:AG219),ROW(AG23:AG219),"")))</f>
        <v>16</v>
      </c>
      <c r="AI23" s="13">
        <f>IF('Données projet'!$A$62&gt;35,AI22+AH23-AQ22,IF(A23&lt;'Données projet'!$A$62,$AF$205^A23,IF(A23='Données projet'!$A$62,'Données projet'!$B$62,AI22+AH23-AQ22)))</f>
        <v>123</v>
      </c>
      <c r="AJ23" s="13">
        <f>AI23*VLOOKUP('Données projet'!$B$10,Paramètres!$A$1:$I$89,3,0)*VLOOKUP('Données projet'!$B$10,Paramètres!$A$1:$I$89,5,0)</f>
        <v>97.858800000000016</v>
      </c>
      <c r="AK23" s="13">
        <f t="shared" si="35"/>
        <v>26.45124536158788</v>
      </c>
      <c r="AL23" s="20">
        <f t="shared" si="4"/>
        <v>216.50666233809889</v>
      </c>
      <c r="AM23" s="59">
        <f t="shared" si="5"/>
        <v>497.61777344921006</v>
      </c>
      <c r="AN23" s="59">
        <f ca="1">AVERAGE(OFFSET($AM$3,0,0,'Données projet'!$E$10+1,1))-AVERAGE(OFFSET($H$3,0,0,'Données projet'!$E$10+1,1))</f>
        <v>405.40026823646758</v>
      </c>
      <c r="AO23" s="59">
        <f t="shared" si="36"/>
        <v>393.0787141050053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42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303</v>
      </c>
      <c r="BB23" s="12">
        <f>VLOOKUP(A23,'Données projet'!$A$87:$I$107,9,0)</f>
        <v>28.2</v>
      </c>
      <c r="BC23" s="12">
        <f t="array" ref="BC23">INDEX(BB:BB,MIN(IF(ISNUMBER(BB23:BB219),ROW(BB23:BB219),"")))</f>
        <v>28.2</v>
      </c>
      <c r="BD23" s="12">
        <f>IF('Données projet'!$A$88&gt;35,BD22+BC23-BL22,IF(A23&lt;'Données projet'!$A$88,$BA$205^A23,IF(A23='Données projet'!$A$88,'Données projet'!$B$88,BD22+BC23-BL22)))</f>
        <v>302.99999999999994</v>
      </c>
      <c r="BE23" s="13">
        <f>BD23*VLOOKUP('Données projet'!$B$11,Paramètres!$A$1:$I$89,3,0)*VLOOKUP('Données projet'!$B$11,Paramètres!$A$1:$I$89,5,0)</f>
        <v>169.37699999999995</v>
      </c>
      <c r="BF23" s="13">
        <f t="shared" si="37"/>
        <v>42.950462509094685</v>
      </c>
      <c r="BG23" s="20">
        <f t="shared" si="7"/>
        <v>369.80366387000646</v>
      </c>
      <c r="BH23" s="59">
        <f t="shared" si="8"/>
        <v>650.9147749811176</v>
      </c>
      <c r="BI23" s="59">
        <f ca="1">AVERAGE(OFFSET($BH$3,0,0,'Données projet'!$E$11+1,1))-AVERAGE(OFFSET($H$3,0,0,'Données projet'!$E$11+1,1))</f>
        <v>555.15881087162279</v>
      </c>
      <c r="BJ23" s="59">
        <f t="shared" si="38"/>
        <v>668.20427590250733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43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1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27.215467735643657</v>
      </c>
      <c r="BS23" s="22">
        <f t="shared" si="9"/>
        <v>27.215467735643657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123</v>
      </c>
      <c r="BW23" s="12">
        <f>VLOOKUP(A23,'Données projet'!$A$113:$I$133,9,0)</f>
        <v>16</v>
      </c>
      <c r="BX23" s="12">
        <f t="array" ref="BX23">INDEX(BW:BW,MIN(IF(ISNUMBER(BW23:BW219),ROW(BW23:BW219),"")))</f>
        <v>16</v>
      </c>
      <c r="BY23" s="12">
        <f>IF('Données projet'!$A$114&gt;35,BY22+BX23-CG22,IF(A23&lt;'Données projet'!$A$114,$BV$205^A23,IF(A23='Données projet'!$A$114,'Données projet'!$B$114,BY22+BX23-CG22)))</f>
        <v>123</v>
      </c>
      <c r="BZ23" s="13">
        <f>BY23*VLOOKUP('Données projet'!$B$12,Paramètres!$A$1:$I$89,3,0)*VLOOKUP('Données projet'!$B$12,Paramètres!$A$1:$I$89,5,0)</f>
        <v>80.589600000000004</v>
      </c>
      <c r="CA23" s="13">
        <f t="shared" si="39"/>
        <v>22.281282727508763</v>
      </c>
      <c r="CB23" s="20">
        <f t="shared" si="10"/>
        <v>179.16678741707778</v>
      </c>
      <c r="CC23" s="59">
        <f t="shared" si="11"/>
        <v>460.27789852818893</v>
      </c>
      <c r="CD23" s="59">
        <f ca="1">AVERAGE(OFFSET($CC$3,0,0,'Données projet'!$E$12+1,1))-AVERAGE(OFFSET($H$3,0,0,'Données projet'!$E$12+1,1))</f>
        <v>340.49092994349405</v>
      </c>
      <c r="CE23" s="59">
        <f t="shared" si="40"/>
        <v>331.54434271908832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42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73</v>
      </c>
      <c r="CR23" s="12">
        <f>VLOOKUP(A23,'Données projet'!$A$139:$I$159,9,0)</f>
        <v>3.65</v>
      </c>
      <c r="CS23" s="12">
        <f t="array" ref="CS23">INDEX(CR:CR,MIN(IF(ISNUMBER(CR23:CR219),ROW(CR23:CR219),"")))</f>
        <v>3.65</v>
      </c>
      <c r="CT23" s="12">
        <f>IF('Données projet'!$A$140&gt;35,CT22+CS23-DB22,IF(A23&lt;'Données projet'!$A$140,$CQ$205^A23,IF(A23='Données projet'!$A$140,'Données projet'!$B$140,CT22+CS23-DB22)))</f>
        <v>73</v>
      </c>
      <c r="CU23" s="17">
        <f>CT23*VLOOKUP('Données projet'!$B$13,Paramètres!$A$1:$I$89,3,0)*VLOOKUP('Données projet'!$B$13,Paramètres!$A$1:$I$89,5,0)</f>
        <v>66.050399999999996</v>
      </c>
      <c r="CV23" s="13">
        <f t="shared" si="41"/>
        <v>18.689342126897891</v>
      </c>
      <c r="CW23" s="20">
        <f t="shared" si="13"/>
        <v>147.58838420434714</v>
      </c>
      <c r="CX23" s="59">
        <f t="shared" si="14"/>
        <v>428.69949531545831</v>
      </c>
      <c r="CY23" s="59">
        <f ca="1">AVERAGE(OFFSET($CX$3,0,0,'Données projet'!$E$13+1,1))-AVERAGE(OFFSET($H$3,0,0,'Données projet'!$E$13+1,1))</f>
        <v>439.19854273764042</v>
      </c>
      <c r="CZ23" s="59">
        <f t="shared" si="42"/>
        <v>278.21741231699929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6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73</v>
      </c>
      <c r="DM23" s="12">
        <f>VLOOKUP(A23,'Données projet'!$A$165:$I$185,9,0)</f>
        <v>3.65</v>
      </c>
      <c r="DN23" s="12">
        <f t="array" ref="DN23">INDEX(DM:DM,MIN(IF(ISNUMBER(DM23:DM219),ROW(DM23:DM219),"")))</f>
        <v>3.65</v>
      </c>
      <c r="DO23" s="12">
        <f>IF('Données projet'!$A$166&gt;35,DO22+DN23-DW22,IF(A23&lt;'Données projet'!$A$166,$DL$205^A23,IF(A23='Données projet'!$A$166,'Données projet'!$B$166,DO22+DN23-DW22)))</f>
        <v>73</v>
      </c>
      <c r="DP23" s="17">
        <f>DO23*VLOOKUP('Données projet'!$B$14,Paramètres!$A$1:$I$89,3,0)*VLOOKUP('Données projet'!$B$14,Paramètres!$A$1:$I$89,5,0)</f>
        <v>61.495200000000004</v>
      </c>
      <c r="DQ23" s="13">
        <f t="shared" si="43"/>
        <v>17.545759224285259</v>
      </c>
      <c r="DR23" s="20">
        <f t="shared" si="16"/>
        <v>137.66300398229683</v>
      </c>
      <c r="DS23" s="59">
        <f t="shared" si="17"/>
        <v>418.774115093408</v>
      </c>
      <c r="DT23" s="59">
        <f ca="1">AVERAGE(OFFSET($DS$3,0,0,'Données projet'!$E$14+1,1))-AVERAGE(OFFSET($H$3,0,0,'Données projet'!$E$14+1,1))</f>
        <v>411.72284844766</v>
      </c>
      <c r="DU23" s="59">
        <f t="shared" si="44"/>
        <v>261.95434270986397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6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28.833333333333332</v>
      </c>
      <c r="EJ23" s="12">
        <f>IF('Données projet'!$A$192&gt;35,EJ22+EI23-ER22,IF(A23&lt;'Données projet'!$A$192,$EG$205^A23,IF(A23='Données projet'!$A$192,'Données projet'!$B$192,EJ22+EI23-ER22)))</f>
        <v>190.83333333333334</v>
      </c>
      <c r="EK23" s="17">
        <f>EJ23*VLOOKUP('Données projet'!$B$15,Paramètres!$A$1:$I$89,3,0)*VLOOKUP('Données projet'!$B$15,Paramètres!$A$1:$I$89,5,0)</f>
        <v>106.67583333333334</v>
      </c>
      <c r="EL23" s="13">
        <f t="shared" si="45"/>
        <v>28.546391754319739</v>
      </c>
      <c r="EM23" s="20">
        <f t="shared" si="19"/>
        <v>235.51204202766243</v>
      </c>
      <c r="EN23" s="59">
        <f t="shared" si="20"/>
        <v>516.62315313877355</v>
      </c>
      <c r="EO23" s="59">
        <f ca="1">AVERAGE(OFFSET($EN$3,0,0,'Données projet'!$E$15+1,1))-AVERAGE(OFFSET($H$3,0,0,'Données projet'!$E$15+1,1))</f>
        <v>443.34220761968419</v>
      </c>
      <c r="EP23" s="59">
        <f t="shared" si="46"/>
        <v>546.58234447298014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15.8</v>
      </c>
      <c r="N24" s="13">
        <f>IF('Données projet'!$A$36&gt;35,N23+M24-V23,IF(A24&lt;'Données projet'!$A$36,$K$205^A24,IF(A24='Données projet'!$A$36,'Données projet'!$B$36,N23+M24-V23)))</f>
        <v>119.80000000000001</v>
      </c>
      <c r="O24" s="13">
        <f>N24*VLOOKUP('Données projet'!$B$9,Paramètres!$A$1:$I$89,3,0)*VLOOKUP('Données projet'!$B$9,Paramètres!$A$1:$I$89,5,0)</f>
        <v>104.65728000000001</v>
      </c>
      <c r="P24" s="13">
        <f t="shared" si="33"/>
        <v>28.068573730915457</v>
      </c>
      <c r="Q24" s="20">
        <f t="shared" si="2"/>
        <v>231.16419524801108</v>
      </c>
      <c r="R24" s="59">
        <f t="shared" si="0"/>
        <v>513.49752858134434</v>
      </c>
      <c r="S24" s="59">
        <f ca="1">AVERAGE(OFFSET($R$3,0,0,'Données projet'!$E$9+1,1))-AVERAGE(OFFSET($H$3,0,0,'Données projet'!$E$9+1,1))</f>
        <v>304.32767345253382</v>
      </c>
      <c r="T24" s="59">
        <f t="shared" si="34"/>
        <v>427.16091343339173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16.8</v>
      </c>
      <c r="AI24" s="13">
        <f>IF('Données projet'!$A$62&gt;35,AI23+AH24-AQ23,IF(A24&lt;'Données projet'!$A$62,$AF$205^A24,IF(A24='Données projet'!$A$62,'Données projet'!$B$62,AI23+AH24-AQ23)))</f>
        <v>97.800000000000011</v>
      </c>
      <c r="AJ24" s="13">
        <f>AI24*VLOOKUP('Données projet'!$B$10,Paramètres!$A$1:$I$89,3,0)*VLOOKUP('Données projet'!$B$10,Paramètres!$A$1:$I$89,5,0)</f>
        <v>77.809680000000014</v>
      </c>
      <c r="AK24" s="13">
        <f t="shared" si="35"/>
        <v>21.600777311280577</v>
      </c>
      <c r="AL24" s="20">
        <f t="shared" si="4"/>
        <v>173.13987981714703</v>
      </c>
      <c r="AM24" s="59">
        <f t="shared" si="5"/>
        <v>455.47321315048032</v>
      </c>
      <c r="AN24" s="59">
        <f ca="1">AVERAGE(OFFSET($AM$3,0,0,'Données projet'!$E$10+1,1))-AVERAGE(OFFSET($H$3,0,0,'Données projet'!$E$10+1,1))</f>
        <v>405.40026823646758</v>
      </c>
      <c r="AO24" s="59">
        <f t="shared" si="36"/>
        <v>393.0787141050053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31.8</v>
      </c>
      <c r="BD24" s="12">
        <f>IF('Données projet'!$A$88&gt;35,BD23+BC24-BL23,IF(A24&lt;'Données projet'!$A$88,$BA$205^A24,IF(A24='Données projet'!$A$88,'Données projet'!$B$88,BD23+BC24-BL23)))</f>
        <v>291.79999999999995</v>
      </c>
      <c r="BE24" s="13">
        <f>BD24*VLOOKUP('Données projet'!$B$11,Paramètres!$A$1:$I$89,3,0)*VLOOKUP('Données projet'!$B$11,Paramètres!$A$1:$I$89,5,0)</f>
        <v>163.11619999999996</v>
      </c>
      <c r="BF24" s="13">
        <f t="shared" si="37"/>
        <v>41.544592017733109</v>
      </c>
      <c r="BG24" s="20">
        <f t="shared" si="7"/>
        <v>356.4508794308851</v>
      </c>
      <c r="BH24" s="59">
        <f t="shared" si="8"/>
        <v>638.78421276421841</v>
      </c>
      <c r="BI24" s="59">
        <f ca="1">AVERAGE(OFFSET($BH$3,0,0,'Données projet'!$E$11+1,1))-AVERAGE(OFFSET($H$3,0,0,'Données projet'!$E$11+1,1))</f>
        <v>555.15881087162279</v>
      </c>
      <c r="BJ24" s="59">
        <f t="shared" si="38"/>
        <v>668.20427590250733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19.244241789037325</v>
      </c>
      <c r="BS24" s="22">
        <f t="shared" si="9"/>
        <v>19.244241789037325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16.8</v>
      </c>
      <c r="BY24" s="12">
        <f>IF('Données projet'!$A$114&gt;35,BY23+BX24-CG23,IF(A24&lt;'Données projet'!$A$114,$BV$205^A24,IF(A24='Données projet'!$A$114,'Données projet'!$B$114,BY23+BX24-CG23)))</f>
        <v>97.800000000000011</v>
      </c>
      <c r="BZ24" s="13">
        <f>BY24*VLOOKUP('Données projet'!$B$12,Paramètres!$A$1:$I$89,3,0)*VLOOKUP('Données projet'!$B$12,Paramètres!$A$1:$I$89,5,0)</f>
        <v>64.078559999999996</v>
      </c>
      <c r="CA24" s="13">
        <f t="shared" si="39"/>
        <v>18.195476992759129</v>
      </c>
      <c r="CB24" s="20">
        <f t="shared" si="10"/>
        <v>143.2939477623888</v>
      </c>
      <c r="CC24" s="59">
        <f t="shared" si="11"/>
        <v>425.62728109572208</v>
      </c>
      <c r="CD24" s="59">
        <f ca="1">AVERAGE(OFFSET($CC$3,0,0,'Données projet'!$E$12+1,1))-AVERAGE(OFFSET($H$3,0,0,'Données projet'!$E$12+1,1))</f>
        <v>340.49092994349405</v>
      </c>
      <c r="CE24" s="59">
        <f t="shared" si="40"/>
        <v>331.54434271908832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7.2</v>
      </c>
      <c r="CT24" s="12">
        <f>IF('Données projet'!$A$140&gt;35,CT23+CS24-DB23,IF(A24&lt;'Données projet'!$A$140,$CQ$205^A24,IF(A24='Données projet'!$A$140,'Données projet'!$B$140,CT23+CS24-DB23)))</f>
        <v>74.2</v>
      </c>
      <c r="CU24" s="17">
        <f>CT24*VLOOKUP('Données projet'!$B$13,Paramètres!$A$1:$I$89,3,0)*VLOOKUP('Données projet'!$B$13,Paramètres!$A$1:$I$89,5,0)</f>
        <v>67.136160000000004</v>
      </c>
      <c r="CV24" s="13">
        <f t="shared" si="41"/>
        <v>18.960545405756019</v>
      </c>
      <c r="CW24" s="20">
        <f t="shared" si="13"/>
        <v>149.95176191502506</v>
      </c>
      <c r="CX24" s="59">
        <f t="shared" si="14"/>
        <v>432.2850952483584</v>
      </c>
      <c r="CY24" s="59">
        <f ca="1">AVERAGE(OFFSET($CX$3,0,0,'Données projet'!$E$13+1,1))-AVERAGE(OFFSET($H$3,0,0,'Données projet'!$E$13+1,1))</f>
        <v>439.19854273764042</v>
      </c>
      <c r="CZ24" s="59">
        <f t="shared" si="42"/>
        <v>278.21741231699929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7.2</v>
      </c>
      <c r="DO24" s="12">
        <f>IF('Données projet'!$A$166&gt;35,DO23+DN24-DW23,IF(A24&lt;'Données projet'!$A$166,$DL$205^A24,IF(A24='Données projet'!$A$166,'Données projet'!$B$166,DO23+DN24-DW23)))</f>
        <v>74.2</v>
      </c>
      <c r="DP24" s="17">
        <f>DO24*VLOOKUP('Données projet'!$B$14,Paramètres!$A$1:$I$89,3,0)*VLOOKUP('Données projet'!$B$14,Paramètres!$A$1:$I$89,5,0)</f>
        <v>62.506080000000011</v>
      </c>
      <c r="DQ24" s="13">
        <f t="shared" si="43"/>
        <v>17.800367834870475</v>
      </c>
      <c r="DR24" s="20">
        <f t="shared" si="16"/>
        <v>139.86706331239944</v>
      </c>
      <c r="DS24" s="59">
        <f t="shared" si="17"/>
        <v>422.20039664573278</v>
      </c>
      <c r="DT24" s="59">
        <f ca="1">AVERAGE(OFFSET($DS$3,0,0,'Données projet'!$E$14+1,1))-AVERAGE(OFFSET($H$3,0,0,'Données projet'!$E$14+1,1))</f>
        <v>411.72284844766</v>
      </c>
      <c r="DU24" s="59">
        <f t="shared" si="44"/>
        <v>261.95434270986397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28.833333333333332</v>
      </c>
      <c r="EJ24" s="12">
        <f>IF('Données projet'!$A$192&gt;35,EJ23+EI24-ER23,IF(A24&lt;'Données projet'!$A$192,$EG$205^A24,IF(A24='Données projet'!$A$192,'Données projet'!$B$192,EJ23+EI24-ER23)))</f>
        <v>219.66666666666669</v>
      </c>
      <c r="EK24" s="17">
        <f>EJ24*VLOOKUP('Données projet'!$B$15,Paramètres!$A$1:$I$89,3,0)*VLOOKUP('Données projet'!$B$15,Paramètres!$A$1:$I$89,5,0)</f>
        <v>122.79366666666668</v>
      </c>
      <c r="EL24" s="13">
        <f t="shared" si="45"/>
        <v>32.32570088253398</v>
      </c>
      <c r="EM24" s="20">
        <f t="shared" si="19"/>
        <v>270.16623181485778</v>
      </c>
      <c r="EN24" s="59">
        <f t="shared" si="20"/>
        <v>552.4995651481911</v>
      </c>
      <c r="EO24" s="59">
        <f ca="1">AVERAGE(OFFSET($EN$3,0,0,'Données projet'!$E$15+1,1))-AVERAGE(OFFSET($H$3,0,0,'Données projet'!$E$15+1,1))</f>
        <v>443.34220761968419</v>
      </c>
      <c r="EP24" s="59">
        <f t="shared" si="46"/>
        <v>546.58234447298014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15.8</v>
      </c>
      <c r="N25" s="13">
        <f>IF('Données projet'!$A$36&gt;35,N24+M25-V24,IF(A25&lt;'Données projet'!$A$36,$K$205^A25,IF(A25='Données projet'!$A$36,'Données projet'!$B$36,N24+M25-V24)))</f>
        <v>135.60000000000002</v>
      </c>
      <c r="O25" s="13">
        <f>N25*VLOOKUP('Données projet'!$B$9,Paramètres!$A$1:$I$89,3,0)*VLOOKUP('Données projet'!$B$9,Paramètres!$A$1:$I$89,5,0)</f>
        <v>118.46016000000003</v>
      </c>
      <c r="P25" s="13">
        <f t="shared" si="33"/>
        <v>31.315587396029674</v>
      </c>
      <c r="Q25" s="20">
        <f t="shared" si="2"/>
        <v>260.85942671475175</v>
      </c>
      <c r="R25" s="59">
        <f t="shared" si="0"/>
        <v>544.41498227030729</v>
      </c>
      <c r="S25" s="59">
        <f ca="1">AVERAGE(OFFSET($R$3,0,0,'Données projet'!$E$9+1,1))-AVERAGE(OFFSET($H$3,0,0,'Données projet'!$E$9+1,1))</f>
        <v>304.32767345253382</v>
      </c>
      <c r="T25" s="59">
        <f t="shared" si="34"/>
        <v>427.16091343339173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16.8</v>
      </c>
      <c r="AI25" s="13">
        <f>IF('Données projet'!$A$62&gt;35,AI24+AH25-AQ24,IF(A25&lt;'Données projet'!$A$62,$AF$205^A25,IF(A25='Données projet'!$A$62,'Données projet'!$B$62,AI24+AH25-AQ24)))</f>
        <v>114.60000000000001</v>
      </c>
      <c r="AJ25" s="13">
        <f>AI25*VLOOKUP('Données projet'!$B$10,Paramètres!$A$1:$I$89,3,0)*VLOOKUP('Données projet'!$B$10,Paramètres!$A$1:$I$89,5,0)</f>
        <v>91.175760000000011</v>
      </c>
      <c r="AK25" s="13">
        <f t="shared" si="35"/>
        <v>24.848575433138123</v>
      </c>
      <c r="AL25" s="20">
        <f t="shared" si="4"/>
        <v>202.07571754604893</v>
      </c>
      <c r="AM25" s="59">
        <f t="shared" si="5"/>
        <v>485.63127310160451</v>
      </c>
      <c r="AN25" s="59">
        <f ca="1">AVERAGE(OFFSET($AM$3,0,0,'Données projet'!$E$10+1,1))-AVERAGE(OFFSET($H$3,0,0,'Données projet'!$E$10+1,1))</f>
        <v>405.40026823646758</v>
      </c>
      <c r="AO25" s="59">
        <f t="shared" si="36"/>
        <v>393.0787141050053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31.8</v>
      </c>
      <c r="BD25" s="12">
        <f>IF('Données projet'!$A$88&gt;35,BD24+BC25-BL24,IF(A25&lt;'Données projet'!$A$88,$BA$205^A25,IF(A25='Données projet'!$A$88,'Données projet'!$B$88,BD24+BC25-BL24)))</f>
        <v>323.59999999999997</v>
      </c>
      <c r="BE25" s="13">
        <f>BD25*VLOOKUP('Données projet'!$B$11,Paramètres!$A$1:$I$89,3,0)*VLOOKUP('Données projet'!$B$11,Paramètres!$A$1:$I$89,5,0)</f>
        <v>180.89240000000001</v>
      </c>
      <c r="BF25" s="13">
        <f t="shared" si="37"/>
        <v>45.520671542487669</v>
      </c>
      <c r="BG25" s="20">
        <f t="shared" si="7"/>
        <v>394.33609960316602</v>
      </c>
      <c r="BH25" s="59">
        <f t="shared" si="8"/>
        <v>677.89165515872151</v>
      </c>
      <c r="BI25" s="59">
        <f ca="1">AVERAGE(OFFSET($BH$3,0,0,'Données projet'!$E$11+1,1))-AVERAGE(OFFSET($H$3,0,0,'Données projet'!$E$11+1,1))</f>
        <v>555.15881087162279</v>
      </c>
      <c r="BJ25" s="59">
        <f t="shared" si="38"/>
        <v>668.20427590250733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13.60773386782183</v>
      </c>
      <c r="BS25" s="22">
        <f t="shared" si="9"/>
        <v>13.60773386782183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16.8</v>
      </c>
      <c r="BY25" s="12">
        <f>IF('Données projet'!$A$114&gt;35,BY24+BX25-CG24,IF(A25&lt;'Données projet'!$A$114,$BV$205^A25,IF(A25='Données projet'!$A$114,'Données projet'!$B$114,BY24+BX25-CG24)))</f>
        <v>114.60000000000001</v>
      </c>
      <c r="BZ25" s="13">
        <f>BY25*VLOOKUP('Données projet'!$B$12,Paramètres!$A$1:$I$89,3,0)*VLOOKUP('Données projet'!$B$12,Paramètres!$A$1:$I$89,5,0)</f>
        <v>75.085920000000016</v>
      </c>
      <c r="CA25" s="13">
        <f t="shared" si="39"/>
        <v>20.931269096524034</v>
      </c>
      <c r="CB25" s="20">
        <f t="shared" si="10"/>
        <v>167.22993767644604</v>
      </c>
      <c r="CC25" s="59">
        <f t="shared" si="11"/>
        <v>450.78549323200161</v>
      </c>
      <c r="CD25" s="59">
        <f ca="1">AVERAGE(OFFSET($CC$3,0,0,'Données projet'!$E$12+1,1))-AVERAGE(OFFSET($H$3,0,0,'Données projet'!$E$12+1,1))</f>
        <v>340.49092994349405</v>
      </c>
      <c r="CE25" s="59">
        <f t="shared" si="40"/>
        <v>331.54434271908832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7.2</v>
      </c>
      <c r="CT25" s="12">
        <f>IF('Données projet'!$A$140&gt;35,CT24+CS25-DB24,IF(A25&lt;'Données projet'!$A$140,$CQ$205^A25,IF(A25='Données projet'!$A$140,'Données projet'!$B$140,CT24+CS25-DB24)))</f>
        <v>81.400000000000006</v>
      </c>
      <c r="CU25" s="17">
        <f>CT25*VLOOKUP('Données projet'!$B$13,Paramètres!$A$1:$I$89,3,0)*VLOOKUP('Données projet'!$B$13,Paramètres!$A$1:$I$89,5,0)</f>
        <v>73.650720000000007</v>
      </c>
      <c r="CV25" s="13">
        <f t="shared" si="41"/>
        <v>20.577360172493922</v>
      </c>
      <c r="CW25" s="20">
        <f t="shared" si="13"/>
        <v>164.11390630042692</v>
      </c>
      <c r="CX25" s="59">
        <f t="shared" si="14"/>
        <v>447.66946185598249</v>
      </c>
      <c r="CY25" s="59">
        <f ca="1">AVERAGE(OFFSET($CX$3,0,0,'Données projet'!$E$13+1,1))-AVERAGE(OFFSET($H$3,0,0,'Données projet'!$E$13+1,1))</f>
        <v>439.19854273764042</v>
      </c>
      <c r="CZ25" s="59">
        <f t="shared" si="42"/>
        <v>278.21741231699929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7.2</v>
      </c>
      <c r="DO25" s="12">
        <f>IF('Données projet'!$A$166&gt;35,DO24+DN25-DW24,IF(A25&lt;'Données projet'!$A$166,$DL$205^A25,IF(A25='Données projet'!$A$166,'Données projet'!$B$166,DO24+DN25-DW24)))</f>
        <v>81.400000000000006</v>
      </c>
      <c r="DP25" s="17">
        <f>DO25*VLOOKUP('Données projet'!$B$14,Paramètres!$A$1:$I$89,3,0)*VLOOKUP('Données projet'!$B$14,Paramètres!$A$1:$I$89,5,0)</f>
        <v>68.571360000000013</v>
      </c>
      <c r="DQ25" s="13">
        <f t="shared" si="43"/>
        <v>19.318251258205343</v>
      </c>
      <c r="DR25" s="20">
        <f t="shared" si="16"/>
        <v>153.07440627470763</v>
      </c>
      <c r="DS25" s="59">
        <f t="shared" si="17"/>
        <v>436.62996183026314</v>
      </c>
      <c r="DT25" s="59">
        <f ca="1">AVERAGE(OFFSET($DS$3,0,0,'Données projet'!$E$14+1,1))-AVERAGE(OFFSET($H$3,0,0,'Données projet'!$E$14+1,1))</f>
        <v>411.72284844766</v>
      </c>
      <c r="DU25" s="59">
        <f t="shared" si="44"/>
        <v>261.95434270986397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28.833333333333332</v>
      </c>
      <c r="EJ25" s="12">
        <f>IF('Données projet'!$A$192&gt;35,EJ24+EI25-ER24,IF(A25&lt;'Données projet'!$A$192,$EG$205^A25,IF(A25='Données projet'!$A$192,'Données projet'!$B$192,EJ24+EI25-ER24)))</f>
        <v>248.50000000000003</v>
      </c>
      <c r="EK25" s="17">
        <f>EJ25*VLOOKUP('Données projet'!$B$15,Paramètres!$A$1:$I$89,3,0)*VLOOKUP('Données projet'!$B$15,Paramètres!$A$1:$I$89,5,0)</f>
        <v>138.91150000000002</v>
      </c>
      <c r="EL25" s="13">
        <f t="shared" si="45"/>
        <v>36.047532265727178</v>
      </c>
      <c r="EM25" s="20">
        <f t="shared" si="19"/>
        <v>304.72031452947482</v>
      </c>
      <c r="EN25" s="59">
        <f t="shared" si="20"/>
        <v>588.27587008503042</v>
      </c>
      <c r="EO25" s="59">
        <f ca="1">AVERAGE(OFFSET($EN$3,0,0,'Données projet'!$E$15+1,1))-AVERAGE(OFFSET($H$3,0,0,'Données projet'!$E$15+1,1))</f>
        <v>443.34220761968419</v>
      </c>
      <c r="EP25" s="59">
        <f t="shared" si="46"/>
        <v>546.58234447298014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15.8</v>
      </c>
      <c r="N26" s="13">
        <f>IF('Données projet'!$A$36&gt;35,N25+M26-V25,IF(A26&lt;'Données projet'!$A$36,$K$205^A26,IF(A26='Données projet'!$A$36,'Données projet'!$B$36,N25+M26-V25)))</f>
        <v>151.40000000000003</v>
      </c>
      <c r="O26" s="13">
        <f>N26*VLOOKUP('Données projet'!$B$9,Paramètres!$A$1:$I$89,3,0)*VLOOKUP('Données projet'!$B$9,Paramètres!$A$1:$I$89,5,0)</f>
        <v>132.26304000000005</v>
      </c>
      <c r="P26" s="13">
        <f t="shared" si="33"/>
        <v>34.518755036434833</v>
      </c>
      <c r="Q26" s="20">
        <f t="shared" si="2"/>
        <v>290.47829302179076</v>
      </c>
      <c r="R26" s="59">
        <f t="shared" si="0"/>
        <v>575.25607079956853</v>
      </c>
      <c r="S26" s="59">
        <f ca="1">AVERAGE(OFFSET($R$3,0,0,'Données projet'!$E$9+1,1))-AVERAGE(OFFSET($H$3,0,0,'Données projet'!$E$9+1,1))</f>
        <v>304.32767345253382</v>
      </c>
      <c r="T26" s="59">
        <f t="shared" si="34"/>
        <v>427.16091343339173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16.8</v>
      </c>
      <c r="AI26" s="13">
        <f>IF('Données projet'!$A$62&gt;35,AI25+AH26-AQ25,IF(A26&lt;'Données projet'!$A$62,$AF$205^A26,IF(A26='Données projet'!$A$62,'Données projet'!$B$62,AI25+AH26-AQ25)))</f>
        <v>131.4</v>
      </c>
      <c r="AJ26" s="13">
        <f>AI26*VLOOKUP('Données projet'!$B$10,Paramètres!$A$1:$I$89,3,0)*VLOOKUP('Données projet'!$B$10,Paramètres!$A$1:$I$89,5,0)</f>
        <v>104.54184000000002</v>
      </c>
      <c r="AK26" s="13">
        <f t="shared" si="35"/>
        <v>28.041215323191079</v>
      </c>
      <c r="AL26" s="20">
        <f t="shared" si="4"/>
        <v>230.91548802122449</v>
      </c>
      <c r="AM26" s="59">
        <f t="shared" si="5"/>
        <v>515.69326579900223</v>
      </c>
      <c r="AN26" s="59">
        <f ca="1">AVERAGE(OFFSET($AM$3,0,0,'Données projet'!$E$10+1,1))-AVERAGE(OFFSET($H$3,0,0,'Données projet'!$E$10+1,1))</f>
        <v>405.40026823646758</v>
      </c>
      <c r="AO26" s="59">
        <f t="shared" si="36"/>
        <v>393.0787141050053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31.8</v>
      </c>
      <c r="BD26" s="12">
        <f>IF('Données projet'!$A$88&gt;35,BD25+BC26-BL25,IF(A26&lt;'Données projet'!$A$88,$BA$205^A26,IF(A26='Données projet'!$A$88,'Données projet'!$B$88,BD25+BC26-BL25)))</f>
        <v>355.4</v>
      </c>
      <c r="BE26" s="13">
        <f>BD26*VLOOKUP('Données projet'!$B$11,Paramètres!$A$1:$I$89,3,0)*VLOOKUP('Données projet'!$B$11,Paramètres!$A$1:$I$89,5,0)</f>
        <v>198.66859999999997</v>
      </c>
      <c r="BF26" s="13">
        <f t="shared" si="37"/>
        <v>49.451452656287465</v>
      </c>
      <c r="BG26" s="20">
        <f t="shared" si="7"/>
        <v>432.14242504303394</v>
      </c>
      <c r="BH26" s="59">
        <f t="shared" si="8"/>
        <v>716.92020282081171</v>
      </c>
      <c r="BI26" s="59">
        <f ca="1">AVERAGE(OFFSET($BH$3,0,0,'Données projet'!$E$11+1,1))-AVERAGE(OFFSET($H$3,0,0,'Données projet'!$E$11+1,1))</f>
        <v>555.15881087162279</v>
      </c>
      <c r="BJ26" s="59">
        <f t="shared" si="38"/>
        <v>668.20427590250733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9.6221208945186643</v>
      </c>
      <c r="BS26" s="22">
        <f t="shared" si="9"/>
        <v>9.6221208945186643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16.8</v>
      </c>
      <c r="BY26" s="12">
        <f>IF('Données projet'!$A$114&gt;35,BY25+BX26-CG25,IF(A26&lt;'Données projet'!$A$114,$BV$205^A26,IF(A26='Données projet'!$A$114,'Données projet'!$B$114,BY25+BX26-CG25)))</f>
        <v>131.4</v>
      </c>
      <c r="BZ26" s="13">
        <f>BY26*VLOOKUP('Données projet'!$B$12,Paramètres!$A$1:$I$89,3,0)*VLOOKUP('Données projet'!$B$12,Paramètres!$A$1:$I$89,5,0)</f>
        <v>86.093280000000007</v>
      </c>
      <c r="CA26" s="13">
        <f t="shared" si="39"/>
        <v>23.620598504835936</v>
      </c>
      <c r="CB26" s="20">
        <f t="shared" si="10"/>
        <v>191.08500506258926</v>
      </c>
      <c r="CC26" s="59">
        <f t="shared" si="11"/>
        <v>475.862782840367</v>
      </c>
      <c r="CD26" s="59">
        <f ca="1">AVERAGE(OFFSET($CC$3,0,0,'Données projet'!$E$12+1,1))-AVERAGE(OFFSET($H$3,0,0,'Données projet'!$E$12+1,1))</f>
        <v>340.49092994349405</v>
      </c>
      <c r="CE26" s="59">
        <f t="shared" si="40"/>
        <v>331.54434271908832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7.2</v>
      </c>
      <c r="CT26" s="12">
        <f>IF('Données projet'!$A$140&gt;35,CT25+CS26-DB25,IF(A26&lt;'Données projet'!$A$140,$CQ$205^A26,IF(A26='Données projet'!$A$140,'Données projet'!$B$140,CT25+CS26-DB25)))</f>
        <v>88.600000000000009</v>
      </c>
      <c r="CU26" s="17">
        <f>CT26*VLOOKUP('Données projet'!$B$13,Paramètres!$A$1:$I$89,3,0)*VLOOKUP('Données projet'!$B$13,Paramètres!$A$1:$I$89,5,0)</f>
        <v>80.165279999999996</v>
      </c>
      <c r="CV26" s="13">
        <f t="shared" si="41"/>
        <v>22.177591092468788</v>
      </c>
      <c r="CW26" s="20">
        <f t="shared" si="13"/>
        <v>178.24716715271646</v>
      </c>
      <c r="CX26" s="59">
        <f t="shared" si="14"/>
        <v>463.02494493049426</v>
      </c>
      <c r="CY26" s="59">
        <f ca="1">AVERAGE(OFFSET($CX$3,0,0,'Données projet'!$E$13+1,1))-AVERAGE(OFFSET($H$3,0,0,'Données projet'!$E$13+1,1))</f>
        <v>439.19854273764042</v>
      </c>
      <c r="CZ26" s="59">
        <f t="shared" si="42"/>
        <v>278.21741231699929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7.2</v>
      </c>
      <c r="DO26" s="12">
        <f>IF('Données projet'!$A$166&gt;35,DO25+DN26-DW25,IF(A26&lt;'Données projet'!$A$166,$DL$205^A26,IF(A26='Données projet'!$A$166,'Données projet'!$B$166,DO25+DN26-DW25)))</f>
        <v>88.600000000000009</v>
      </c>
      <c r="DP26" s="17">
        <f>DO26*VLOOKUP('Données projet'!$B$14,Paramètres!$A$1:$I$89,3,0)*VLOOKUP('Données projet'!$B$14,Paramètres!$A$1:$I$89,5,0)</f>
        <v>74.636640000000014</v>
      </c>
      <c r="DQ26" s="13">
        <f t="shared" si="43"/>
        <v>20.82056558443978</v>
      </c>
      <c r="DR26" s="20">
        <f t="shared" si="16"/>
        <v>166.25463305956598</v>
      </c>
      <c r="DS26" s="59">
        <f t="shared" si="17"/>
        <v>451.03241083734372</v>
      </c>
      <c r="DT26" s="59">
        <f ca="1">AVERAGE(OFFSET($DS$3,0,0,'Données projet'!$E$14+1,1))-AVERAGE(OFFSET($H$3,0,0,'Données projet'!$E$14+1,1))</f>
        <v>411.72284844766</v>
      </c>
      <c r="DU26" s="59">
        <f t="shared" si="44"/>
        <v>261.95434270986397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28.833333333333332</v>
      </c>
      <c r="EJ26" s="12">
        <f>IF('Données projet'!$A$192&gt;35,EJ25+EI26-ER25,IF(A26&lt;'Données projet'!$A$192,$EG$205^A26,IF(A26='Données projet'!$A$192,'Données projet'!$B$192,EJ25+EI26-ER25)))</f>
        <v>277.33333333333337</v>
      </c>
      <c r="EK26" s="17">
        <f>EJ26*VLOOKUP('Données projet'!$B$15,Paramètres!$A$1:$I$89,3,0)*VLOOKUP('Données projet'!$B$15,Paramètres!$A$1:$I$89,5,0)</f>
        <v>155.02933333333334</v>
      </c>
      <c r="EL26" s="13">
        <f t="shared" si="45"/>
        <v>39.719316712120367</v>
      </c>
      <c r="EM26" s="20">
        <f t="shared" si="19"/>
        <v>339.1872321624985</v>
      </c>
      <c r="EN26" s="59">
        <f t="shared" si="20"/>
        <v>623.96500994027633</v>
      </c>
      <c r="EO26" s="59">
        <f ca="1">AVERAGE(OFFSET($EN$3,0,0,'Données projet'!$E$15+1,1))-AVERAGE(OFFSET($H$3,0,0,'Données projet'!$E$15+1,1))</f>
        <v>443.34220761968419</v>
      </c>
      <c r="EP26" s="59">
        <f t="shared" si="46"/>
        <v>546.58234447298014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15.8</v>
      </c>
      <c r="N27" s="13">
        <f>IF('Données projet'!$A$36&gt;35,N26+M27-V26,IF(A27&lt;'Données projet'!$A$36,$K$205^A27,IF(A27='Données projet'!$A$36,'Données projet'!$B$36,N26+M27-V26)))</f>
        <v>167.20000000000005</v>
      </c>
      <c r="O27" s="13">
        <f>N27*VLOOKUP('Données projet'!$B$9,Paramètres!$A$1:$I$89,3,0)*VLOOKUP('Données projet'!$B$9,Paramètres!$A$1:$I$89,5,0)</f>
        <v>146.06592000000006</v>
      </c>
      <c r="P27" s="13">
        <f t="shared" si="33"/>
        <v>37.683173643014399</v>
      </c>
      <c r="Q27" s="20">
        <f t="shared" si="2"/>
        <v>320.0296714282502</v>
      </c>
      <c r="R27" s="59">
        <f t="shared" si="0"/>
        <v>606.02967142825014</v>
      </c>
      <c r="S27" s="59">
        <f ca="1">AVERAGE(OFFSET($R$3,0,0,'Données projet'!$E$9+1,1))-AVERAGE(OFFSET($H$3,0,0,'Données projet'!$E$9+1,1))</f>
        <v>304.32767345253382</v>
      </c>
      <c r="T27" s="59">
        <f t="shared" si="34"/>
        <v>427.16091343339173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16.8</v>
      </c>
      <c r="AI27" s="13">
        <f>IF('Données projet'!$A$62&gt;35,AI26+AH27-AQ26,IF(A27&lt;'Données projet'!$A$62,$AF$205^A27,IF(A27='Données projet'!$A$62,'Données projet'!$B$62,AI26+AH27-AQ26)))</f>
        <v>148.20000000000002</v>
      </c>
      <c r="AJ27" s="13">
        <f>AI27*VLOOKUP('Données projet'!$B$10,Paramètres!$A$1:$I$89,3,0)*VLOOKUP('Données projet'!$B$10,Paramètres!$A$1:$I$89,5,0)</f>
        <v>117.90792000000002</v>
      </c>
      <c r="AK27" s="13">
        <f t="shared" si="35"/>
        <v>31.186557651984323</v>
      </c>
      <c r="AL27" s="20">
        <f t="shared" si="4"/>
        <v>259.67288191053939</v>
      </c>
      <c r="AM27" s="59">
        <f t="shared" si="5"/>
        <v>545.67288191053945</v>
      </c>
      <c r="AN27" s="59">
        <f ca="1">AVERAGE(OFFSET($AM$3,0,0,'Données projet'!$E$10+1,1))-AVERAGE(OFFSET($H$3,0,0,'Données projet'!$E$10+1,1))</f>
        <v>405.40026823646758</v>
      </c>
      <c r="AO27" s="59">
        <f t="shared" si="36"/>
        <v>393.0787141050053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31.8</v>
      </c>
      <c r="BD27" s="12">
        <f>IF('Données projet'!$A$88&gt;35,BD26+BC27-BL26,IF(A27&lt;'Données projet'!$A$88,$BA$205^A27,IF(A27='Données projet'!$A$88,'Données projet'!$B$88,BD26+BC27-BL26)))</f>
        <v>387.2</v>
      </c>
      <c r="BE27" s="13">
        <f>BD27*VLOOKUP('Données projet'!$B$11,Paramètres!$A$1:$I$89,3,0)*VLOOKUP('Données projet'!$B$11,Paramètres!$A$1:$I$89,5,0)</f>
        <v>216.44479999999999</v>
      </c>
      <c r="BF27" s="13">
        <f t="shared" si="37"/>
        <v>53.341449419561528</v>
      </c>
      <c r="BG27" s="20">
        <f t="shared" si="7"/>
        <v>469.87771773906962</v>
      </c>
      <c r="BH27" s="59">
        <f t="shared" si="8"/>
        <v>755.87771773906957</v>
      </c>
      <c r="BI27" s="59">
        <f ca="1">AVERAGE(OFFSET($BH$3,0,0,'Données projet'!$E$11+1,1))-AVERAGE(OFFSET($H$3,0,0,'Données projet'!$E$11+1,1))</f>
        <v>555.15881087162279</v>
      </c>
      <c r="BJ27" s="59">
        <f t="shared" si="38"/>
        <v>668.20427590250733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6.8038669339109168</v>
      </c>
      <c r="BS27" s="22">
        <f t="shared" si="9"/>
        <v>6.8038669339109168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16.8</v>
      </c>
      <c r="BY27" s="12">
        <f>IF('Données projet'!$A$114&gt;35,BY26+BX27-CG26,IF(A27&lt;'Données projet'!$A$114,$BV$205^A27,IF(A27='Données projet'!$A$114,'Données projet'!$B$114,BY26+BX27-CG26)))</f>
        <v>148.20000000000002</v>
      </c>
      <c r="BZ27" s="13">
        <f>BY27*VLOOKUP('Données projet'!$B$12,Paramètres!$A$1:$I$89,3,0)*VLOOKUP('Données projet'!$B$12,Paramètres!$A$1:$I$89,5,0)</f>
        <v>97.100640000000013</v>
      </c>
      <c r="CA27" s="13">
        <f t="shared" si="39"/>
        <v>26.270086676172319</v>
      </c>
      <c r="CB27" s="20">
        <f t="shared" si="10"/>
        <v>214.87068229433348</v>
      </c>
      <c r="CC27" s="59">
        <f t="shared" si="11"/>
        <v>500.87068229433351</v>
      </c>
      <c r="CD27" s="59">
        <f ca="1">AVERAGE(OFFSET($CC$3,0,0,'Données projet'!$E$12+1,1))-AVERAGE(OFFSET($H$3,0,0,'Données projet'!$E$12+1,1))</f>
        <v>340.49092994349405</v>
      </c>
      <c r="CE27" s="59">
        <f t="shared" si="40"/>
        <v>331.54434271908832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7.2</v>
      </c>
      <c r="CT27" s="12">
        <f>IF('Données projet'!$A$140&gt;35,CT26+CS27-DB26,IF(A27&lt;'Données projet'!$A$140,$CQ$205^A27,IF(A27='Données projet'!$A$140,'Données projet'!$B$140,CT26+CS27-DB26)))</f>
        <v>95.800000000000011</v>
      </c>
      <c r="CU27" s="17">
        <f>CT27*VLOOKUP('Données projet'!$B$13,Paramètres!$A$1:$I$89,3,0)*VLOOKUP('Données projet'!$B$13,Paramètres!$A$1:$I$89,5,0)</f>
        <v>86.679839999999999</v>
      </c>
      <c r="CV27" s="13">
        <f t="shared" si="41"/>
        <v>23.762739053789723</v>
      </c>
      <c r="CW27" s="20">
        <f t="shared" si="13"/>
        <v>192.35415851868379</v>
      </c>
      <c r="CX27" s="59">
        <f t="shared" si="14"/>
        <v>478.35415851868379</v>
      </c>
      <c r="CY27" s="59">
        <f ca="1">AVERAGE(OFFSET($CX$3,0,0,'Données projet'!$E$13+1,1))-AVERAGE(OFFSET($H$3,0,0,'Données projet'!$E$13+1,1))</f>
        <v>439.19854273764042</v>
      </c>
      <c r="CZ27" s="59">
        <f t="shared" si="42"/>
        <v>278.21741231699929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7.2</v>
      </c>
      <c r="DO27" s="12">
        <f>IF('Données projet'!$A$166&gt;35,DO26+DN27-DW26,IF(A27&lt;'Données projet'!$A$166,$DL$205^A27,IF(A27='Données projet'!$A$166,'Données projet'!$B$166,DO26+DN27-DW26)))</f>
        <v>95.800000000000011</v>
      </c>
      <c r="DP27" s="17">
        <f>DO27*VLOOKUP('Données projet'!$B$14,Paramètres!$A$1:$I$89,3,0)*VLOOKUP('Données projet'!$B$14,Paramètres!$A$1:$I$89,5,0)</f>
        <v>80.701920000000015</v>
      </c>
      <c r="DQ27" s="13">
        <f t="shared" si="43"/>
        <v>22.308719863780368</v>
      </c>
      <c r="DR27" s="20">
        <f t="shared" si="16"/>
        <v>179.41019776275084</v>
      </c>
      <c r="DS27" s="59">
        <f t="shared" si="17"/>
        <v>465.41019776275084</v>
      </c>
      <c r="DT27" s="59">
        <f ca="1">AVERAGE(OFFSET($DS$3,0,0,'Données projet'!$E$14+1,1))-AVERAGE(OFFSET($H$3,0,0,'Données projet'!$E$14+1,1))</f>
        <v>411.72284844766</v>
      </c>
      <c r="DU27" s="59">
        <f t="shared" si="44"/>
        <v>261.95434270986397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28.833333333333332</v>
      </c>
      <c r="EJ27" s="12">
        <f>IF('Données projet'!$A$192&gt;35,EJ26+EI27-ER26,IF(A27&lt;'Données projet'!$A$192,$EG$205^A27,IF(A27='Données projet'!$A$192,'Données projet'!$B$192,EJ26+EI27-ER26)))</f>
        <v>306.16666666666669</v>
      </c>
      <c r="EK27" s="17">
        <f>EJ27*VLOOKUP('Données projet'!$B$15,Paramètres!$A$1:$I$89,3,0)*VLOOKUP('Données projet'!$B$15,Paramètres!$A$1:$I$89,5,0)</f>
        <v>171.14716666666669</v>
      </c>
      <c r="EL27" s="13">
        <f t="shared" si="45"/>
        <v>43.346850105371793</v>
      </c>
      <c r="EM27" s="20">
        <f t="shared" si="19"/>
        <v>373.57707921130037</v>
      </c>
      <c r="EN27" s="59">
        <f t="shared" si="20"/>
        <v>659.57707921130032</v>
      </c>
      <c r="EO27" s="59">
        <f ca="1">AVERAGE(OFFSET($EN$3,0,0,'Données projet'!$E$15+1,1))-AVERAGE(OFFSET($H$3,0,0,'Données projet'!$E$15+1,1))</f>
        <v>443.34220761968419</v>
      </c>
      <c r="EP27" s="59">
        <f t="shared" si="46"/>
        <v>546.58234447298014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183</v>
      </c>
      <c r="L28" s="12">
        <f>VLOOKUP(A28,'Données projet'!$A$35:$I$55,9,0)</f>
        <v>15.8</v>
      </c>
      <c r="M28" s="12">
        <f t="array" ref="M28">INDEX(L:L,MIN(IF(ISNUMBER(L28:L224),ROW(L28:L224),"")))</f>
        <v>15.8</v>
      </c>
      <c r="N28" s="13">
        <f>IF('Données projet'!$A$36&gt;35,N27+M28-V27,IF(A28&lt;'Données projet'!$A$36,$K$205^A28,IF(A28='Données projet'!$A$36,'Données projet'!$B$36,N27+M28-V27)))</f>
        <v>183.00000000000006</v>
      </c>
      <c r="O28" s="13">
        <f>N28*VLOOKUP('Données projet'!$B$9,Paramètres!$A$1:$I$89,3,0)*VLOOKUP('Données projet'!$B$9,Paramètres!$A$1:$I$89,5,0)</f>
        <v>159.86880000000008</v>
      </c>
      <c r="P28" s="13">
        <f t="shared" si="33"/>
        <v>40.812921467768035</v>
      </c>
      <c r="Q28" s="20">
        <f t="shared" si="2"/>
        <v>349.52066488969609</v>
      </c>
      <c r="R28" s="59">
        <f t="shared" si="0"/>
        <v>636.74288711191832</v>
      </c>
      <c r="S28" s="59">
        <f ca="1">AVERAGE(OFFSET($R$3,0,0,'Données projet'!$E$9+1,1))-AVERAGE(OFFSET($H$3,0,0,'Données projet'!$E$9+1,1))</f>
        <v>304.32767345253382</v>
      </c>
      <c r="T28" s="59">
        <f t="shared" si="34"/>
        <v>427.16091343339173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165</v>
      </c>
      <c r="AG28" s="12">
        <f>VLOOKUP(A28,'Données projet'!$A$61:$I$81,9,0)</f>
        <v>16.8</v>
      </c>
      <c r="AH28" s="12">
        <f t="array" ref="AH28">INDEX(AG:AG,MIN(IF(ISNUMBER(AG28:AG224),ROW(AG28:AG224),"")))</f>
        <v>16.8</v>
      </c>
      <c r="AI28" s="13">
        <f>IF('Données projet'!$A$62&gt;35,AI27+AH28-AQ27,IF(A28&lt;'Données projet'!$A$62,$AF$205^A28,IF(A28='Données projet'!$A$62,'Données projet'!$B$62,AI27+AH28-AQ27)))</f>
        <v>165.00000000000003</v>
      </c>
      <c r="AJ28" s="13">
        <f>AI28*VLOOKUP('Données projet'!$B$10,Paramètres!$A$1:$I$89,3,0)*VLOOKUP('Données projet'!$B$10,Paramètres!$A$1:$I$89,5,0)</f>
        <v>131.27400000000003</v>
      </c>
      <c r="AK28" s="13">
        <f t="shared" si="35"/>
        <v>34.290576031111669</v>
      </c>
      <c r="AL28" s="20">
        <f t="shared" si="4"/>
        <v>288.35830325418618</v>
      </c>
      <c r="AM28" s="59">
        <f t="shared" si="5"/>
        <v>575.58052547640841</v>
      </c>
      <c r="AN28" s="59">
        <f ca="1">AVERAGE(OFFSET($AM$3,0,0,'Données projet'!$E$10+1,1))-AVERAGE(OFFSET($H$3,0,0,'Données projet'!$E$10+1,1))</f>
        <v>405.40026823646758</v>
      </c>
      <c r="AO28" s="59">
        <f t="shared" si="36"/>
        <v>393.0787141050053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42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419</v>
      </c>
      <c r="BB28" s="12">
        <f>VLOOKUP(A28,'Données projet'!$A$87:$I$107,9,0)</f>
        <v>31.8</v>
      </c>
      <c r="BC28" s="12">
        <f t="array" ref="BC28">INDEX(BB:BB,MIN(IF(ISNUMBER(BB28:BB224),ROW(BB28:BB224),"")))</f>
        <v>31.8</v>
      </c>
      <c r="BD28" s="12">
        <f>IF('Données projet'!$A$88&gt;35,BD27+BC28-BL27,IF(A28&lt;'Données projet'!$A$88,$BA$205^A28,IF(A28='Données projet'!$A$88,'Données projet'!$B$88,BD27+BC28-BL27)))</f>
        <v>419</v>
      </c>
      <c r="BE28" s="13">
        <f>BD28*VLOOKUP('Données projet'!$B$11,Paramètres!$A$1:$I$89,3,0)*VLOOKUP('Données projet'!$B$11,Paramètres!$A$1:$I$89,5,0)</f>
        <v>234.221</v>
      </c>
      <c r="BF28" s="13">
        <f t="shared" si="37"/>
        <v>57.194392182630075</v>
      </c>
      <c r="BG28" s="20">
        <f t="shared" si="7"/>
        <v>507.54847471808063</v>
      </c>
      <c r="BH28" s="59">
        <f t="shared" si="8"/>
        <v>794.77069694030286</v>
      </c>
      <c r="BI28" s="59">
        <f ca="1">AVERAGE(OFFSET($BH$3,0,0,'Données projet'!$E$11+1,1))-AVERAGE(OFFSET($H$3,0,0,'Données projet'!$E$11+1,1))</f>
        <v>555.15881087162279</v>
      </c>
      <c r="BJ28" s="59">
        <f t="shared" si="38"/>
        <v>668.20427590250733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60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0.55000000000000004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24.374782328696071</v>
      </c>
      <c r="BR28" s="21">
        <f>EXP(-LN(2)/2)*BR27+(1-EXP(-LN(2)/2))/(LN(2)/2)*BL28*BO28*VLOOKUP('Données projet'!$B$11,Paramètres!$A$1:$I$89,3,0)*0.475*44/12</f>
        <v>4.811060447259333</v>
      </c>
      <c r="BS28" s="22">
        <f t="shared" si="9"/>
        <v>29.185842775955404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165</v>
      </c>
      <c r="BW28" s="12">
        <f>VLOOKUP(A28,'Données projet'!$A$113:$I$133,9,0)</f>
        <v>16.8</v>
      </c>
      <c r="BX28" s="12">
        <f t="array" ref="BX28">INDEX(BW:BW,MIN(IF(ISNUMBER(BW28:BW224),ROW(BW28:BW224),"")))</f>
        <v>16.8</v>
      </c>
      <c r="BY28" s="12">
        <f>IF('Données projet'!$A$114&gt;35,BY27+BX28-CG27,IF(A28&lt;'Données projet'!$A$114,$BV$205^A28,IF(A28='Données projet'!$A$114,'Données projet'!$B$114,BY27+BX28-CG27)))</f>
        <v>165.00000000000003</v>
      </c>
      <c r="BZ28" s="13">
        <f>BY28*VLOOKUP('Données projet'!$B$12,Paramètres!$A$1:$I$89,3,0)*VLOOKUP('Données projet'!$B$12,Paramètres!$A$1:$I$89,5,0)</f>
        <v>108.10800000000002</v>
      </c>
      <c r="CA28" s="13">
        <f t="shared" si="39"/>
        <v>28.884765499467161</v>
      </c>
      <c r="CB28" s="20">
        <f t="shared" si="10"/>
        <v>238.59573324490532</v>
      </c>
      <c r="CC28" s="59">
        <f t="shared" si="11"/>
        <v>525.8179554671276</v>
      </c>
      <c r="CD28" s="59">
        <f ca="1">AVERAGE(OFFSET($CC$3,0,0,'Données projet'!$E$12+1,1))-AVERAGE(OFFSET($H$3,0,0,'Données projet'!$E$12+1,1))</f>
        <v>340.49092994349405</v>
      </c>
      <c r="CE28" s="59">
        <f t="shared" si="40"/>
        <v>331.54434271908832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42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103</v>
      </c>
      <c r="CR28" s="12">
        <f>VLOOKUP(A28,'Données projet'!$A$139:$I$159,9,0)</f>
        <v>7.2</v>
      </c>
      <c r="CS28" s="12">
        <f t="array" ref="CS28">INDEX(CR:CR,MIN(IF(ISNUMBER(CR28:CR224),ROW(CR28:CR224),"")))</f>
        <v>7.2</v>
      </c>
      <c r="CT28" s="12">
        <f>IF('Données projet'!$A$140&gt;35,CT27+CS28-DB27,IF(A28&lt;'Données projet'!$A$140,$CQ$205^A28,IF(A28='Données projet'!$A$140,'Données projet'!$B$140,CT27+CS28-DB27)))</f>
        <v>103.00000000000001</v>
      </c>
      <c r="CU28" s="17">
        <f>CT28*VLOOKUP('Données projet'!$B$13,Paramètres!$A$1:$I$89,3,0)*VLOOKUP('Données projet'!$B$13,Paramètres!$A$1:$I$89,5,0)</f>
        <v>93.194400000000002</v>
      </c>
      <c r="CV28" s="13">
        <f t="shared" si="41"/>
        <v>25.33406653691528</v>
      </c>
      <c r="CW28" s="20">
        <f t="shared" si="13"/>
        <v>206.43707921846078</v>
      </c>
      <c r="CX28" s="59">
        <f t="shared" si="14"/>
        <v>493.65930144068301</v>
      </c>
      <c r="CY28" s="59">
        <f ca="1">AVERAGE(OFFSET($CX$3,0,0,'Données projet'!$E$13+1,1))-AVERAGE(OFFSET($H$3,0,0,'Données projet'!$E$13+1,1))</f>
        <v>439.19854273764042</v>
      </c>
      <c r="CZ28" s="59">
        <f t="shared" si="42"/>
        <v>278.21741231699929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28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103</v>
      </c>
      <c r="DM28" s="12">
        <f>VLOOKUP(A28,'Données projet'!$A$165:$I$185,9,0)</f>
        <v>7.2</v>
      </c>
      <c r="DN28" s="12">
        <f t="array" ref="DN28">INDEX(DM:DM,MIN(IF(ISNUMBER(DM28:DM224),ROW(DM28:DM224),"")))</f>
        <v>7.2</v>
      </c>
      <c r="DO28" s="12">
        <f>IF('Données projet'!$A$166&gt;35,DO27+DN28-DW27,IF(A28&lt;'Données projet'!$A$166,$DL$205^A28,IF(A28='Données projet'!$A$166,'Données projet'!$B$166,DO27+DN28-DW27)))</f>
        <v>103.00000000000001</v>
      </c>
      <c r="DP28" s="17">
        <f>DO28*VLOOKUP('Données projet'!$B$14,Paramètres!$A$1:$I$89,3,0)*VLOOKUP('Données projet'!$B$14,Paramètres!$A$1:$I$89,5,0)</f>
        <v>86.767200000000017</v>
      </c>
      <c r="DQ28" s="13">
        <f t="shared" si="43"/>
        <v>23.783899326718451</v>
      </c>
      <c r="DR28" s="20">
        <f t="shared" si="16"/>
        <v>192.54316466070134</v>
      </c>
      <c r="DS28" s="59">
        <f t="shared" si="17"/>
        <v>479.76538688292356</v>
      </c>
      <c r="DT28" s="59">
        <f ca="1">AVERAGE(OFFSET($DS$3,0,0,'Données projet'!$E$14+1,1))-AVERAGE(OFFSET($H$3,0,0,'Données projet'!$E$14+1,1))</f>
        <v>411.72284844766</v>
      </c>
      <c r="DU28" s="59">
        <f t="shared" si="44"/>
        <v>261.95434270986397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28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335</v>
      </c>
      <c r="EH28" s="12">
        <f>VLOOKUP(A28,'Données projet'!$A$191:$I$211,9,0)</f>
        <v>28.833333333333332</v>
      </c>
      <c r="EI28" s="12">
        <f t="array" ref="EI28">INDEX(EH:EH,MIN(IF(ISNUMBER(EH28:EH224),ROW(EH28:EH224),"")))</f>
        <v>28.833333333333332</v>
      </c>
      <c r="EJ28" s="12">
        <f>IF('Données projet'!$A$192&gt;35,EJ27+EI28-ER27,IF(A28&lt;'Données projet'!$A$192,$EG$205^A28,IF(A28='Données projet'!$A$192,'Données projet'!$B$192,EJ27+EI28-ER27)))</f>
        <v>335</v>
      </c>
      <c r="EK28" s="17">
        <f>EJ28*VLOOKUP('Données projet'!$B$15,Paramètres!$A$1:$I$89,3,0)*VLOOKUP('Données projet'!$B$15,Paramètres!$A$1:$I$89,5,0)</f>
        <v>187.26500000000001</v>
      </c>
      <c r="EL28" s="13">
        <f t="shared" si="45"/>
        <v>46.934773872544483</v>
      </c>
      <c r="EM28" s="20">
        <f t="shared" si="19"/>
        <v>407.89793949468162</v>
      </c>
      <c r="EN28" s="59">
        <f t="shared" si="20"/>
        <v>695.12016171690379</v>
      </c>
      <c r="EO28" s="59">
        <f ca="1">AVERAGE(OFFSET($EN$3,0,0,'Données projet'!$E$15+1,1))-AVERAGE(OFFSET($H$3,0,0,'Données projet'!$E$15+1,1))</f>
        <v>443.34220761968419</v>
      </c>
      <c r="EP28" s="59">
        <f t="shared" si="46"/>
        <v>546.58234447298014</v>
      </c>
      <c r="EQ28" s="15">
        <f>IF(ISNA(VLOOKUP(A28,'Données projet'!$A$191:$I$211,3,0)),0,VLOOKUP(A28,'Données projet'!$A$191:$I$211,3,0))</f>
        <v>1</v>
      </c>
      <c r="ER28" s="15">
        <f>IF(ISNA(VLOOKUP(A28,'Données projet'!$A$191:$I$211,4,0)),0,VLOOKUP(A28,'Données projet'!$A$191:$I$211,4,0))</f>
        <v>54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1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34.177564133133899</v>
      </c>
      <c r="EY28" s="22">
        <f t="shared" si="21"/>
        <v>34.177564133133899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14.8</v>
      </c>
      <c r="N29" s="13">
        <f>IF('Données projet'!$A$36&gt;35,N28+M29-V28,IF(A29&lt;'Données projet'!$A$36,$K$205^A29,IF(A29='Données projet'!$A$36,'Données projet'!$B$36,N28+M29-V28)))</f>
        <v>145.80000000000007</v>
      </c>
      <c r="O29" s="13">
        <f>N29*VLOOKUP('Données projet'!$B$9,Paramètres!$A$1:$I$89,3,0)*VLOOKUP('Données projet'!$B$9,Paramètres!$A$1:$I$89,5,0)</f>
        <v>127.37088000000008</v>
      </c>
      <c r="P29" s="13">
        <f t="shared" si="33"/>
        <v>33.388126388800522</v>
      </c>
      <c r="Q29" s="20">
        <f t="shared" si="2"/>
        <v>279.98860279382774</v>
      </c>
      <c r="R29" s="59">
        <f t="shared" si="0"/>
        <v>568.43304723827214</v>
      </c>
      <c r="S29" s="59">
        <f ca="1">AVERAGE(OFFSET($R$3,0,0,'Données projet'!$E$9+1,1))-AVERAGE(OFFSET($H$3,0,0,'Données projet'!$E$9+1,1))</f>
        <v>304.32767345253382</v>
      </c>
      <c r="T29" s="59">
        <f t="shared" si="34"/>
        <v>427.16091343339173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16.399999999999999</v>
      </c>
      <c r="AI29" s="13">
        <f>IF('Données projet'!$A$62&gt;35,AI28+AH29-AQ28,IF(A29&lt;'Données projet'!$A$62,$AF$205^A29,IF(A29='Données projet'!$A$62,'Données projet'!$B$62,AI28+AH29-AQ28)))</f>
        <v>139.40000000000003</v>
      </c>
      <c r="AJ29" s="13">
        <f>AI29*VLOOKUP('Données projet'!$B$10,Paramètres!$A$1:$I$89,3,0)*VLOOKUP('Données projet'!$B$10,Paramètres!$A$1:$I$89,5,0)</f>
        <v>110.90664000000004</v>
      </c>
      <c r="AK29" s="13">
        <f t="shared" si="35"/>
        <v>29.544493872672952</v>
      </c>
      <c r="AL29" s="20">
        <f t="shared" si="4"/>
        <v>244.6190581615721</v>
      </c>
      <c r="AM29" s="59">
        <f t="shared" si="5"/>
        <v>533.06350260601653</v>
      </c>
      <c r="AN29" s="59">
        <f ca="1">AVERAGE(OFFSET($AM$3,0,0,'Données projet'!$E$10+1,1))-AVERAGE(OFFSET($H$3,0,0,'Données projet'!$E$10+1,1))</f>
        <v>405.40026823646758</v>
      </c>
      <c r="AO29" s="59">
        <f t="shared" si="36"/>
        <v>393.0787141050053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33</v>
      </c>
      <c r="BD29" s="12">
        <f>IF('Données projet'!$A$88&gt;35,BD28+BC29-BL28,IF(A29&lt;'Données projet'!$A$88,$BA$205^A29,IF(A29='Données projet'!$A$88,'Données projet'!$B$88,BD28+BC29-BL28)))</f>
        <v>392</v>
      </c>
      <c r="BE29" s="13">
        <f>BD29*VLOOKUP('Données projet'!$B$11,Paramètres!$A$1:$I$89,3,0)*VLOOKUP('Données projet'!$B$11,Paramètres!$A$1:$I$89,5,0)</f>
        <v>219.12800000000001</v>
      </c>
      <c r="BF29" s="13">
        <f t="shared" si="37"/>
        <v>53.925317044064428</v>
      </c>
      <c r="BG29" s="20">
        <f t="shared" si="7"/>
        <v>475.56786051841215</v>
      </c>
      <c r="BH29" s="59">
        <f t="shared" si="8"/>
        <v>764.01230496285666</v>
      </c>
      <c r="BI29" s="59">
        <f ca="1">AVERAGE(OFFSET($BH$3,0,0,'Données projet'!$E$11+1,1))-AVERAGE(OFFSET($H$3,0,0,'Données projet'!$E$11+1,1))</f>
        <v>555.15881087162279</v>
      </c>
      <c r="BJ29" s="59">
        <f t="shared" si="38"/>
        <v>668.20427590250733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23.708252624103782</v>
      </c>
      <c r="BR29" s="21">
        <f>EXP(-LN(2)/2)*BR28+(1-EXP(-LN(2)/2))/(LN(2)/2)*BL29*BO29*VLOOKUP('Données projet'!$B$11,Paramètres!$A$1:$I$89,3,0)*0.475*44/12</f>
        <v>3.4019334669554588</v>
      </c>
      <c r="BS29" s="22">
        <f t="shared" si="9"/>
        <v>27.110186091059241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16.399999999999999</v>
      </c>
      <c r="BY29" s="12">
        <f>IF('Données projet'!$A$114&gt;35,BY28+BX29-CG28,IF(A29&lt;'Données projet'!$A$114,$BV$205^A29,IF(A29='Données projet'!$A$114,'Données projet'!$B$114,BY28+BX29-CG28)))</f>
        <v>139.40000000000003</v>
      </c>
      <c r="BZ29" s="13">
        <f>BY29*VLOOKUP('Données projet'!$B$12,Paramètres!$A$1:$I$89,3,0)*VLOOKUP('Données projet'!$B$12,Paramètres!$A$1:$I$89,5,0)</f>
        <v>91.334880000000013</v>
      </c>
      <c r="CA29" s="13">
        <f t="shared" si="39"/>
        <v>24.886889521433787</v>
      </c>
      <c r="CB29" s="20">
        <f t="shared" si="10"/>
        <v>202.41958191649721</v>
      </c>
      <c r="CC29" s="59">
        <f t="shared" si="11"/>
        <v>490.86402636094169</v>
      </c>
      <c r="CD29" s="59">
        <f ca="1">AVERAGE(OFFSET($CC$3,0,0,'Données projet'!$E$12+1,1))-AVERAGE(OFFSET($H$3,0,0,'Données projet'!$E$12+1,1))</f>
        <v>340.49092994349405</v>
      </c>
      <c r="CE29" s="59">
        <f t="shared" si="40"/>
        <v>331.54434271908832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9.1999999999999993</v>
      </c>
      <c r="CT29" s="12">
        <f>IF('Données projet'!$A$140&gt;35,CT28+CS29-DB28,IF(A29&lt;'Données projet'!$A$140,$CQ$205^A29,IF(A29='Données projet'!$A$140,'Données projet'!$B$140,CT28+CS29-DB28)))</f>
        <v>84.200000000000017</v>
      </c>
      <c r="CU29" s="17">
        <f>CT29*VLOOKUP('Données projet'!$B$13,Paramètres!$A$1:$I$89,3,0)*VLOOKUP('Données projet'!$B$13,Paramètres!$A$1:$I$89,5,0)</f>
        <v>76.184160000000006</v>
      </c>
      <c r="CV29" s="13">
        <f t="shared" si="41"/>
        <v>21.201554232857223</v>
      </c>
      <c r="CW29" s="20">
        <f t="shared" si="13"/>
        <v>169.613452288893</v>
      </c>
      <c r="CX29" s="59">
        <f t="shared" si="14"/>
        <v>458.05789673333743</v>
      </c>
      <c r="CY29" s="59">
        <f ca="1">AVERAGE(OFFSET($CX$3,0,0,'Données projet'!$E$13+1,1))-AVERAGE(OFFSET($H$3,0,0,'Données projet'!$E$13+1,1))</f>
        <v>439.19854273764042</v>
      </c>
      <c r="CZ29" s="59">
        <f t="shared" si="42"/>
        <v>278.21741231699929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9.1999999999999993</v>
      </c>
      <c r="DO29" s="12">
        <f>IF('Données projet'!$A$166&gt;35,DO28+DN29-DW28,IF(A29&lt;'Données projet'!$A$166,$DL$205^A29,IF(A29='Données projet'!$A$166,'Données projet'!$B$166,DO28+DN29-DW28)))</f>
        <v>84.200000000000017</v>
      </c>
      <c r="DP29" s="17">
        <f>DO29*VLOOKUP('Données projet'!$B$14,Paramètres!$A$1:$I$89,3,0)*VLOOKUP('Données projet'!$B$14,Paramètres!$A$1:$I$89,5,0)</f>
        <v>70.930080000000018</v>
      </c>
      <c r="DQ29" s="13">
        <f t="shared" si="43"/>
        <v>19.904251483253464</v>
      </c>
      <c r="DR29" s="20">
        <f t="shared" si="16"/>
        <v>158.20312733333313</v>
      </c>
      <c r="DS29" s="59">
        <f t="shared" si="17"/>
        <v>446.64757177777756</v>
      </c>
      <c r="DT29" s="59">
        <f ca="1">AVERAGE(OFFSET($DS$3,0,0,'Données projet'!$E$14+1,1))-AVERAGE(OFFSET($H$3,0,0,'Données projet'!$E$14+1,1))</f>
        <v>411.72284844766</v>
      </c>
      <c r="DU29" s="59">
        <f t="shared" si="44"/>
        <v>261.95434270986397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28</v>
      </c>
      <c r="EJ29" s="12">
        <f>IF('Données projet'!$A$192&gt;35,EJ28+EI29-ER28,IF(A29&lt;'Données projet'!$A$192,$EG$205^A29,IF(A29='Données projet'!$A$192,'Données projet'!$B$192,EJ28+EI29-ER28)))</f>
        <v>309</v>
      </c>
      <c r="EK29" s="17">
        <f>EJ29*VLOOKUP('Données projet'!$B$15,Paramètres!$A$1:$I$89,3,0)*VLOOKUP('Données projet'!$B$15,Paramètres!$A$1:$I$89,5,0)</f>
        <v>172.73100000000002</v>
      </c>
      <c r="EL29" s="13">
        <f t="shared" si="45"/>
        <v>43.701108252019125</v>
      </c>
      <c r="EM29" s="20">
        <f t="shared" si="19"/>
        <v>376.9525885389333</v>
      </c>
      <c r="EN29" s="59">
        <f t="shared" si="20"/>
        <v>665.39703298337781</v>
      </c>
      <c r="EO29" s="59">
        <f ca="1">AVERAGE(OFFSET($EN$3,0,0,'Données projet'!$E$15+1,1))-AVERAGE(OFFSET($H$3,0,0,'Données projet'!$E$15+1,1))</f>
        <v>443.34220761968419</v>
      </c>
      <c r="EP29" s="59">
        <f t="shared" si="46"/>
        <v>546.58234447298014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24.16718736297711</v>
      </c>
      <c r="EY29" s="22">
        <f t="shared" si="21"/>
        <v>24.16718736297711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14.8</v>
      </c>
      <c r="N30" s="13">
        <f>IF('Données projet'!$A$36&gt;35,N29+M30-V29,IF(A30&lt;'Données projet'!$A$36,$K$205^A30,IF(A30='Données projet'!$A$36,'Données projet'!$B$36,N29+M30-V29)))</f>
        <v>160.60000000000008</v>
      </c>
      <c r="O30" s="13">
        <f>N30*VLOOKUP('Données projet'!$B$9,Paramètres!$A$1:$I$89,3,0)*VLOOKUP('Données projet'!$B$9,Paramètres!$A$1:$I$89,5,0)</f>
        <v>140.30016000000009</v>
      </c>
      <c r="P30" s="13">
        <f t="shared" si="33"/>
        <v>36.365759362628388</v>
      </c>
      <c r="Q30" s="20">
        <f t="shared" si="2"/>
        <v>307.69314288991126</v>
      </c>
      <c r="R30" s="59">
        <f t="shared" si="0"/>
        <v>597.35980955657794</v>
      </c>
      <c r="S30" s="59">
        <f ca="1">AVERAGE(OFFSET($R$3,0,0,'Données projet'!$E$9+1,1))-AVERAGE(OFFSET($H$3,0,0,'Données projet'!$E$9+1,1))</f>
        <v>304.32767345253382</v>
      </c>
      <c r="T30" s="59">
        <f t="shared" si="34"/>
        <v>427.16091343339173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16.399999999999999</v>
      </c>
      <c r="AI30" s="13">
        <f>IF('Données projet'!$A$62&gt;35,AI29+AH30-AQ29,IF(A30&lt;'Données projet'!$A$62,$AF$205^A30,IF(A30='Données projet'!$A$62,'Données projet'!$B$62,AI29+AH30-AQ29)))</f>
        <v>155.80000000000004</v>
      </c>
      <c r="AJ30" s="13">
        <f>AI30*VLOOKUP('Données projet'!$B$10,Paramètres!$A$1:$I$89,3,0)*VLOOKUP('Données projet'!$B$10,Paramètres!$A$1:$I$89,5,0)</f>
        <v>123.95448000000005</v>
      </c>
      <c r="AK30" s="13">
        <f t="shared" si="35"/>
        <v>32.595569202682604</v>
      </c>
      <c r="AL30" s="20">
        <f t="shared" si="4"/>
        <v>272.65800236133896</v>
      </c>
      <c r="AM30" s="59">
        <f t="shared" si="5"/>
        <v>562.3246690280057</v>
      </c>
      <c r="AN30" s="59">
        <f ca="1">AVERAGE(OFFSET($AM$3,0,0,'Données projet'!$E$10+1,1))-AVERAGE(OFFSET($H$3,0,0,'Données projet'!$E$10+1,1))</f>
        <v>405.40026823646758</v>
      </c>
      <c r="AO30" s="59">
        <f t="shared" si="36"/>
        <v>393.0787141050053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33</v>
      </c>
      <c r="BD30" s="12">
        <f>IF('Données projet'!$A$88&gt;35,BD29+BC30-BL29,IF(A30&lt;'Données projet'!$A$88,$BA$205^A30,IF(A30='Données projet'!$A$88,'Données projet'!$B$88,BD29+BC30-BL29)))</f>
        <v>425</v>
      </c>
      <c r="BE30" s="13">
        <f>BD30*VLOOKUP('Données projet'!$B$11,Paramètres!$A$1:$I$89,3,0)*VLOOKUP('Données projet'!$B$11,Paramètres!$A$1:$I$89,5,0)</f>
        <v>237.57500000000002</v>
      </c>
      <c r="BF30" s="13">
        <f t="shared" si="37"/>
        <v>57.917471937261162</v>
      </c>
      <c r="BG30" s="20">
        <f t="shared" si="7"/>
        <v>514.64938862406325</v>
      </c>
      <c r="BH30" s="59">
        <f t="shared" si="8"/>
        <v>804.31605529072999</v>
      </c>
      <c r="BI30" s="59">
        <f ca="1">AVERAGE(OFFSET($BH$3,0,0,'Données projet'!$E$11+1,1))-AVERAGE(OFFSET($H$3,0,0,'Données projet'!$E$11+1,1))</f>
        <v>555.15881087162279</v>
      </c>
      <c r="BJ30" s="59">
        <f t="shared" si="38"/>
        <v>668.20427590250733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23.059949209334846</v>
      </c>
      <c r="BR30" s="21">
        <f>EXP(-LN(2)/2)*BR29+(1-EXP(-LN(2)/2))/(LN(2)/2)*BL30*BO30*VLOOKUP('Données projet'!$B$11,Paramètres!$A$1:$I$89,3,0)*0.475*44/12</f>
        <v>2.405530223629667</v>
      </c>
      <c r="BS30" s="22">
        <f t="shared" si="9"/>
        <v>25.465479432964514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16.399999999999999</v>
      </c>
      <c r="BY30" s="12">
        <f>IF('Données projet'!$A$114&gt;35,BY29+BX30-CG29,IF(A30&lt;'Données projet'!$A$114,$BV$205^A30,IF(A30='Données projet'!$A$114,'Données projet'!$B$114,BY29+BX30-CG29)))</f>
        <v>155.80000000000004</v>
      </c>
      <c r="BZ30" s="13">
        <f>BY30*VLOOKUP('Données projet'!$B$12,Paramètres!$A$1:$I$89,3,0)*VLOOKUP('Données projet'!$B$12,Paramètres!$A$1:$I$89,5,0)</f>
        <v>102.08016000000003</v>
      </c>
      <c r="CA30" s="13">
        <f t="shared" si="39"/>
        <v>27.456971614793193</v>
      </c>
      <c r="CB30" s="20">
        <f t="shared" si="10"/>
        <v>225.61050422909818</v>
      </c>
      <c r="CC30" s="59">
        <f t="shared" si="11"/>
        <v>515.27717089576481</v>
      </c>
      <c r="CD30" s="59">
        <f ca="1">AVERAGE(OFFSET($CC$3,0,0,'Données projet'!$E$12+1,1))-AVERAGE(OFFSET($H$3,0,0,'Données projet'!$E$12+1,1))</f>
        <v>340.49092994349405</v>
      </c>
      <c r="CE30" s="59">
        <f t="shared" si="40"/>
        <v>331.54434271908832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9.1999999999999993</v>
      </c>
      <c r="CT30" s="12">
        <f>IF('Données projet'!$A$140&gt;35,CT29+CS30-DB29,IF(A30&lt;'Données projet'!$A$140,$CQ$205^A30,IF(A30='Données projet'!$A$140,'Données projet'!$B$140,CT29+CS30-DB29)))</f>
        <v>93.40000000000002</v>
      </c>
      <c r="CU30" s="17">
        <f>CT30*VLOOKUP('Données projet'!$B$13,Paramètres!$A$1:$I$89,3,0)*VLOOKUP('Données projet'!$B$13,Paramètres!$A$1:$I$89,5,0)</f>
        <v>84.508320000000026</v>
      </c>
      <c r="CV30" s="13">
        <f t="shared" si="41"/>
        <v>23.235950088324714</v>
      </c>
      <c r="CW30" s="20">
        <f t="shared" si="13"/>
        <v>187.65460373716556</v>
      </c>
      <c r="CX30" s="59">
        <f t="shared" si="14"/>
        <v>477.32127040383227</v>
      </c>
      <c r="CY30" s="59">
        <f ca="1">AVERAGE(OFFSET($CX$3,0,0,'Données projet'!$E$13+1,1))-AVERAGE(OFFSET($H$3,0,0,'Données projet'!$E$13+1,1))</f>
        <v>439.19854273764042</v>
      </c>
      <c r="CZ30" s="59">
        <f t="shared" si="42"/>
        <v>278.21741231699929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9.1999999999999993</v>
      </c>
      <c r="DO30" s="12">
        <f>IF('Données projet'!$A$166&gt;35,DO29+DN30-DW29,IF(A30&lt;'Données projet'!$A$166,$DL$205^A30,IF(A30='Données projet'!$A$166,'Données projet'!$B$166,DO29+DN30-DW29)))</f>
        <v>93.40000000000002</v>
      </c>
      <c r="DP30" s="17">
        <f>DO30*VLOOKUP('Données projet'!$B$14,Paramètres!$A$1:$I$89,3,0)*VLOOKUP('Données projet'!$B$14,Paramètres!$A$1:$I$89,5,0)</f>
        <v>78.680160000000029</v>
      </c>
      <c r="DQ30" s="13">
        <f t="shared" si="43"/>
        <v>21.814164609384523</v>
      </c>
      <c r="DR30" s="20">
        <f t="shared" si="16"/>
        <v>175.02761536134474</v>
      </c>
      <c r="DS30" s="59">
        <f t="shared" si="17"/>
        <v>464.69428202801146</v>
      </c>
      <c r="DT30" s="59">
        <f ca="1">AVERAGE(OFFSET($DS$3,0,0,'Données projet'!$E$14+1,1))-AVERAGE(OFFSET($H$3,0,0,'Données projet'!$E$14+1,1))</f>
        <v>411.72284844766</v>
      </c>
      <c r="DU30" s="59">
        <f t="shared" si="44"/>
        <v>261.95434270986397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28</v>
      </c>
      <c r="EJ30" s="12">
        <f>IF('Données projet'!$A$192&gt;35,EJ29+EI30-ER29,IF(A30&lt;'Données projet'!$A$192,$EG$205^A30,IF(A30='Données projet'!$A$192,'Données projet'!$B$192,EJ29+EI30-ER29)))</f>
        <v>337</v>
      </c>
      <c r="EK30" s="17">
        <f>EJ30*VLOOKUP('Données projet'!$B$15,Paramètres!$A$1:$I$89,3,0)*VLOOKUP('Données projet'!$B$15,Paramètres!$A$1:$I$89,5,0)</f>
        <v>188.38300000000001</v>
      </c>
      <c r="EL30" s="13">
        <f t="shared" si="45"/>
        <v>47.182279474248382</v>
      </c>
      <c r="EM30" s="20">
        <f t="shared" si="19"/>
        <v>410.27619508431599</v>
      </c>
      <c r="EN30" s="59">
        <f t="shared" si="20"/>
        <v>699.94286175098273</v>
      </c>
      <c r="EO30" s="59">
        <f ca="1">AVERAGE(OFFSET($EN$3,0,0,'Données projet'!$E$15+1,1))-AVERAGE(OFFSET($H$3,0,0,'Données projet'!$E$15+1,1))</f>
        <v>443.34220761968419</v>
      </c>
      <c r="EP30" s="59">
        <f t="shared" si="46"/>
        <v>546.58234447298014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17.088782066566953</v>
      </c>
      <c r="EY30" s="22">
        <f t="shared" si="21"/>
        <v>17.088782066566953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14.8</v>
      </c>
      <c r="N31" s="13">
        <f>IF('Données projet'!$A$36&gt;35,N30+M31-V30,IF(A31&lt;'Données projet'!$A$36,$K$205^A31,IF(A31='Données projet'!$A$36,'Données projet'!$B$36,N30+M31-V30)))</f>
        <v>175.40000000000009</v>
      </c>
      <c r="O31" s="13">
        <f>N31*VLOOKUP('Données projet'!$B$9,Paramètres!$A$1:$I$89,3,0)*VLOOKUP('Données projet'!$B$9,Paramètres!$A$1:$I$89,5,0)</f>
        <v>153.2294400000001</v>
      </c>
      <c r="P31" s="13">
        <f t="shared" si="33"/>
        <v>39.311575138468363</v>
      </c>
      <c r="Q31" s="20">
        <f t="shared" si="2"/>
        <v>335.34226803283252</v>
      </c>
      <c r="R31" s="59">
        <f t="shared" si="0"/>
        <v>626.23115692172132</v>
      </c>
      <c r="S31" s="59">
        <f ca="1">AVERAGE(OFFSET($R$3,0,0,'Données projet'!$E$9+1,1))-AVERAGE(OFFSET($H$3,0,0,'Données projet'!$E$9+1,1))</f>
        <v>304.32767345253382</v>
      </c>
      <c r="T31" s="59">
        <f t="shared" si="34"/>
        <v>427.16091343339173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16.399999999999999</v>
      </c>
      <c r="AI31" s="13">
        <f>IF('Données projet'!$A$62&gt;35,AI30+AH31-AQ30,IF(A31&lt;'Données projet'!$A$62,$AF$205^A31,IF(A31='Données projet'!$A$62,'Données projet'!$B$62,AI30+AH31-AQ30)))</f>
        <v>172.20000000000005</v>
      </c>
      <c r="AJ31" s="13">
        <f>AI31*VLOOKUP('Données projet'!$B$10,Paramètres!$A$1:$I$89,3,0)*VLOOKUP('Données projet'!$B$10,Paramètres!$A$1:$I$89,5,0)</f>
        <v>137.00232000000005</v>
      </c>
      <c r="AK31" s="13">
        <f t="shared" si="35"/>
        <v>35.609416420931346</v>
      </c>
      <c r="AL31" s="20">
        <f t="shared" si="4"/>
        <v>300.63210759978887</v>
      </c>
      <c r="AM31" s="59">
        <f t="shared" si="5"/>
        <v>591.52099648867772</v>
      </c>
      <c r="AN31" s="59">
        <f ca="1">AVERAGE(OFFSET($AM$3,0,0,'Données projet'!$E$10+1,1))-AVERAGE(OFFSET($H$3,0,0,'Données projet'!$E$10+1,1))</f>
        <v>405.40026823646758</v>
      </c>
      <c r="AO31" s="59">
        <f t="shared" si="36"/>
        <v>393.0787141050053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33</v>
      </c>
      <c r="BD31" s="12">
        <f>IF('Données projet'!$A$88&gt;35,BD30+BC31-BL30,IF(A31&lt;'Données projet'!$A$88,$BA$205^A31,IF(A31='Données projet'!$A$88,'Données projet'!$B$88,BD30+BC31-BL30)))</f>
        <v>458</v>
      </c>
      <c r="BE31" s="13">
        <f>BD31*VLOOKUP('Données projet'!$B$11,Paramètres!$A$1:$I$89,3,0)*VLOOKUP('Données projet'!$B$11,Paramètres!$A$1:$I$89,5,0)</f>
        <v>256.02199999999999</v>
      </c>
      <c r="BF31" s="13">
        <f t="shared" si="37"/>
        <v>61.873669712051253</v>
      </c>
      <c r="BG31" s="20">
        <f t="shared" si="7"/>
        <v>553.66829141515586</v>
      </c>
      <c r="BH31" s="59">
        <f t="shared" si="8"/>
        <v>844.55718030404478</v>
      </c>
      <c r="BI31" s="59">
        <f ca="1">AVERAGE(OFFSET($BH$3,0,0,'Données projet'!$E$11+1,1))-AVERAGE(OFFSET($H$3,0,0,'Données projet'!$E$11+1,1))</f>
        <v>555.15881087162279</v>
      </c>
      <c r="BJ31" s="59">
        <f t="shared" si="38"/>
        <v>668.20427590250733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22.429373685535559</v>
      </c>
      <c r="BR31" s="21">
        <f>EXP(-LN(2)/2)*BR30+(1-EXP(-LN(2)/2))/(LN(2)/2)*BL31*BO31*VLOOKUP('Données projet'!$B$11,Paramètres!$A$1:$I$89,3,0)*0.475*44/12</f>
        <v>1.7009667334777299</v>
      </c>
      <c r="BS31" s="22">
        <f t="shared" si="9"/>
        <v>24.13034041901329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16.399999999999999</v>
      </c>
      <c r="BY31" s="12">
        <f>IF('Données projet'!$A$114&gt;35,BY30+BX31-CG30,IF(A31&lt;'Données projet'!$A$114,$BV$205^A31,IF(A31='Données projet'!$A$114,'Données projet'!$B$114,BY30+BX31-CG30)))</f>
        <v>172.20000000000005</v>
      </c>
      <c r="BZ31" s="13">
        <f>BY31*VLOOKUP('Données projet'!$B$12,Paramètres!$A$1:$I$89,3,0)*VLOOKUP('Données projet'!$B$12,Paramètres!$A$1:$I$89,5,0)</f>
        <v>112.82544000000003</v>
      </c>
      <c r="CA31" s="13">
        <f t="shared" si="39"/>
        <v>29.995694500969023</v>
      </c>
      <c r="CB31" s="20">
        <f t="shared" si="10"/>
        <v>248.7468092558544</v>
      </c>
      <c r="CC31" s="59">
        <f t="shared" si="11"/>
        <v>539.63569814474329</v>
      </c>
      <c r="CD31" s="59">
        <f ca="1">AVERAGE(OFFSET($CC$3,0,0,'Données projet'!$E$12+1,1))-AVERAGE(OFFSET($H$3,0,0,'Données projet'!$E$12+1,1))</f>
        <v>340.49092994349405</v>
      </c>
      <c r="CE31" s="59">
        <f t="shared" si="40"/>
        <v>331.54434271908832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9.1999999999999993</v>
      </c>
      <c r="CT31" s="12">
        <f>IF('Données projet'!$A$140&gt;35,CT30+CS31-DB30,IF(A31&lt;'Données projet'!$A$140,$CQ$205^A31,IF(A31='Données projet'!$A$140,'Données projet'!$B$140,CT30+CS31-DB30)))</f>
        <v>102.60000000000002</v>
      </c>
      <c r="CU31" s="17">
        <f>CT31*VLOOKUP('Données projet'!$B$13,Paramètres!$A$1:$I$89,3,0)*VLOOKUP('Données projet'!$B$13,Paramètres!$A$1:$I$89,5,0)</f>
        <v>92.832480000000018</v>
      </c>
      <c r="CV31" s="13">
        <f t="shared" si="41"/>
        <v>25.247114117480137</v>
      </c>
      <c r="CW31" s="20">
        <f t="shared" si="13"/>
        <v>205.65529308794461</v>
      </c>
      <c r="CX31" s="59">
        <f t="shared" si="14"/>
        <v>496.54418197683344</v>
      </c>
      <c r="CY31" s="59">
        <f ca="1">AVERAGE(OFFSET($CX$3,0,0,'Données projet'!$E$13+1,1))-AVERAGE(OFFSET($H$3,0,0,'Données projet'!$E$13+1,1))</f>
        <v>439.19854273764042</v>
      </c>
      <c r="CZ31" s="59">
        <f t="shared" si="42"/>
        <v>278.21741231699929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9.1999999999999993</v>
      </c>
      <c r="DO31" s="12">
        <f>IF('Données projet'!$A$166&gt;35,DO30+DN31-DW30,IF(A31&lt;'Données projet'!$A$166,$DL$205^A31,IF(A31='Données projet'!$A$166,'Données projet'!$B$166,DO30+DN31-DW30)))</f>
        <v>102.60000000000002</v>
      </c>
      <c r="DP31" s="17">
        <f>DO31*VLOOKUP('Données projet'!$B$14,Paramètres!$A$1:$I$89,3,0)*VLOOKUP('Données projet'!$B$14,Paramètres!$A$1:$I$89,5,0)</f>
        <v>86.430240000000026</v>
      </c>
      <c r="DQ31" s="13">
        <f t="shared" si="43"/>
        <v>23.702267442352529</v>
      </c>
      <c r="DR31" s="20">
        <f t="shared" si="16"/>
        <v>191.81411712876402</v>
      </c>
      <c r="DS31" s="59">
        <f t="shared" si="17"/>
        <v>482.70300601765291</v>
      </c>
      <c r="DT31" s="59">
        <f ca="1">AVERAGE(OFFSET($DS$3,0,0,'Données projet'!$E$14+1,1))-AVERAGE(OFFSET($H$3,0,0,'Données projet'!$E$14+1,1))</f>
        <v>411.72284844766</v>
      </c>
      <c r="DU31" s="59">
        <f t="shared" si="44"/>
        <v>261.95434270986397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28</v>
      </c>
      <c r="EJ31" s="12">
        <f>IF('Données projet'!$A$192&gt;35,EJ30+EI31-ER30,IF(A31&lt;'Données projet'!$A$192,$EG$205^A31,IF(A31='Données projet'!$A$192,'Données projet'!$B$192,EJ30+EI31-ER30)))</f>
        <v>365</v>
      </c>
      <c r="EK31" s="17">
        <f>EJ31*VLOOKUP('Données projet'!$B$15,Paramètres!$A$1:$I$89,3,0)*VLOOKUP('Données projet'!$B$15,Paramètres!$A$1:$I$89,5,0)</f>
        <v>204.035</v>
      </c>
      <c r="EL31" s="13">
        <f t="shared" si="45"/>
        <v>50.629905099971396</v>
      </c>
      <c r="EM31" s="20">
        <f t="shared" si="19"/>
        <v>443.54137638245015</v>
      </c>
      <c r="EN31" s="59">
        <f t="shared" si="20"/>
        <v>734.43026527133907</v>
      </c>
      <c r="EO31" s="59">
        <f ca="1">AVERAGE(OFFSET($EN$3,0,0,'Données projet'!$E$15+1,1))-AVERAGE(OFFSET($H$3,0,0,'Données projet'!$E$15+1,1))</f>
        <v>443.34220761968419</v>
      </c>
      <c r="EP31" s="59">
        <f t="shared" si="46"/>
        <v>546.58234447298014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12.083593681488557</v>
      </c>
      <c r="EY31" s="22">
        <f t="shared" si="21"/>
        <v>12.083593681488557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14.8</v>
      </c>
      <c r="N32" s="13">
        <f>IF('Données projet'!$A$36&gt;35,N31+M32-V31,IF(A32&lt;'Données projet'!$A$36,$K$205^A32,IF(A32='Données projet'!$A$36,'Données projet'!$B$36,N31+M32-V31)))</f>
        <v>190.2000000000001</v>
      </c>
      <c r="O32" s="13">
        <f>N32*VLOOKUP('Données projet'!$B$9,Paramètres!$A$1:$I$89,3,0)*VLOOKUP('Données projet'!$B$9,Paramètres!$A$1:$I$89,5,0)</f>
        <v>166.15872000000013</v>
      </c>
      <c r="P32" s="13">
        <f t="shared" si="33"/>
        <v>42.228563636586422</v>
      </c>
      <c r="Q32" s="20">
        <f t="shared" si="2"/>
        <v>362.94118566705487</v>
      </c>
      <c r="R32" s="59">
        <f t="shared" si="0"/>
        <v>655.05229677816601</v>
      </c>
      <c r="S32" s="59">
        <f ca="1">AVERAGE(OFFSET($R$3,0,0,'Données projet'!$E$9+1,1))-AVERAGE(OFFSET($H$3,0,0,'Données projet'!$E$9+1,1))</f>
        <v>304.32767345253382</v>
      </c>
      <c r="T32" s="59">
        <f t="shared" si="34"/>
        <v>427.16091343339173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16.399999999999999</v>
      </c>
      <c r="AI32" s="13">
        <f>IF('Données projet'!$A$62&gt;35,AI31+AH32-AQ31,IF(A32&lt;'Données projet'!$A$62,$AF$205^A32,IF(A32='Données projet'!$A$62,'Données projet'!$B$62,AI31+AH32-AQ31)))</f>
        <v>188.60000000000005</v>
      </c>
      <c r="AJ32" s="13">
        <f>AI32*VLOOKUP('Données projet'!$B$10,Paramètres!$A$1:$I$89,3,0)*VLOOKUP('Données projet'!$B$10,Paramètres!$A$1:$I$89,5,0)</f>
        <v>150.05016000000003</v>
      </c>
      <c r="AK32" s="13">
        <f t="shared" si="35"/>
        <v>38.589984439024605</v>
      </c>
      <c r="AL32" s="20">
        <f t="shared" si="4"/>
        <v>328.5482515646346</v>
      </c>
      <c r="AM32" s="59">
        <f t="shared" si="5"/>
        <v>620.6593626757458</v>
      </c>
      <c r="AN32" s="59">
        <f ca="1">AVERAGE(OFFSET($AM$3,0,0,'Données projet'!$E$10+1,1))-AVERAGE(OFFSET($H$3,0,0,'Données projet'!$E$10+1,1))</f>
        <v>405.40026823646758</v>
      </c>
      <c r="AO32" s="59">
        <f t="shared" si="36"/>
        <v>393.0787141050053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33</v>
      </c>
      <c r="BD32" s="12">
        <f>IF('Données projet'!$A$88&gt;35,BD31+BC32-BL31,IF(A32&lt;'Données projet'!$A$88,$BA$205^A32,IF(A32='Données projet'!$A$88,'Données projet'!$B$88,BD31+BC32-BL31)))</f>
        <v>491</v>
      </c>
      <c r="BE32" s="13">
        <f>BD32*VLOOKUP('Données projet'!$B$11,Paramètres!$A$1:$I$89,3,0)*VLOOKUP('Données projet'!$B$11,Paramètres!$A$1:$I$89,5,0)</f>
        <v>274.46899999999999</v>
      </c>
      <c r="BF32" s="13">
        <f t="shared" si="37"/>
        <v>65.796795812732981</v>
      </c>
      <c r="BG32" s="20">
        <f t="shared" si="7"/>
        <v>592.62959437384313</v>
      </c>
      <c r="BH32" s="59">
        <f t="shared" si="8"/>
        <v>884.74070548495433</v>
      </c>
      <c r="BI32" s="59">
        <f ca="1">AVERAGE(OFFSET($BH$3,0,0,'Données projet'!$E$11+1,1))-AVERAGE(OFFSET($H$3,0,0,'Données projet'!$E$11+1,1))</f>
        <v>555.15881087162279</v>
      </c>
      <c r="BJ32" s="59">
        <f t="shared" si="38"/>
        <v>668.20427590250733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21.816041282595091</v>
      </c>
      <c r="BR32" s="21">
        <f>EXP(-LN(2)/2)*BR31+(1-EXP(-LN(2)/2))/(LN(2)/2)*BL32*BO32*VLOOKUP('Données projet'!$B$11,Paramètres!$A$1:$I$89,3,0)*0.475*44/12</f>
        <v>1.2027651118148337</v>
      </c>
      <c r="BS32" s="22">
        <f t="shared" si="9"/>
        <v>23.018806394409925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16.399999999999999</v>
      </c>
      <c r="BY32" s="12">
        <f>IF('Données projet'!$A$114&gt;35,BY31+BX32-CG31,IF(A32&lt;'Données projet'!$A$114,$BV$205^A32,IF(A32='Données projet'!$A$114,'Données projet'!$B$114,BY31+BX32-CG31)))</f>
        <v>188.60000000000005</v>
      </c>
      <c r="BZ32" s="13">
        <f>BY32*VLOOKUP('Données projet'!$B$12,Paramètres!$A$1:$I$89,3,0)*VLOOKUP('Données projet'!$B$12,Paramètres!$A$1:$I$89,5,0)</f>
        <v>123.57072000000004</v>
      </c>
      <c r="CA32" s="13">
        <f t="shared" si="39"/>
        <v>32.506384557027701</v>
      </c>
      <c r="CB32" s="20">
        <f t="shared" si="10"/>
        <v>271.83429043682327</v>
      </c>
      <c r="CC32" s="59">
        <f t="shared" si="11"/>
        <v>563.94540154793435</v>
      </c>
      <c r="CD32" s="59">
        <f ca="1">AVERAGE(OFFSET($CC$3,0,0,'Données projet'!$E$12+1,1))-AVERAGE(OFFSET($H$3,0,0,'Données projet'!$E$12+1,1))</f>
        <v>340.49092994349405</v>
      </c>
      <c r="CE32" s="59">
        <f t="shared" si="40"/>
        <v>331.54434271908832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9.1999999999999993</v>
      </c>
      <c r="CT32" s="12">
        <f>IF('Données projet'!$A$140&gt;35,CT31+CS32-DB31,IF(A32&lt;'Données projet'!$A$140,$CQ$205^A32,IF(A32='Données projet'!$A$140,'Données projet'!$B$140,CT31+CS32-DB31)))</f>
        <v>111.80000000000003</v>
      </c>
      <c r="CU32" s="17">
        <f>CT32*VLOOKUP('Données projet'!$B$13,Paramètres!$A$1:$I$89,3,0)*VLOOKUP('Données projet'!$B$13,Paramètres!$A$1:$I$89,5,0)</f>
        <v>101.15664000000001</v>
      </c>
      <c r="CV32" s="13">
        <f t="shared" si="41"/>
        <v>27.237366379381644</v>
      </c>
      <c r="CW32" s="20">
        <f t="shared" si="13"/>
        <v>223.61956111075639</v>
      </c>
      <c r="CX32" s="59">
        <f t="shared" si="14"/>
        <v>515.73067222186751</v>
      </c>
      <c r="CY32" s="59">
        <f ca="1">AVERAGE(OFFSET($CX$3,0,0,'Données projet'!$E$13+1,1))-AVERAGE(OFFSET($H$3,0,0,'Données projet'!$E$13+1,1))</f>
        <v>439.19854273764042</v>
      </c>
      <c r="CZ32" s="59">
        <f t="shared" si="42"/>
        <v>278.21741231699929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9.1999999999999993</v>
      </c>
      <c r="DO32" s="12">
        <f>IF('Données projet'!$A$166&gt;35,DO31+DN32-DW31,IF(A32&lt;'Données projet'!$A$166,$DL$205^A32,IF(A32='Données projet'!$A$166,'Données projet'!$B$166,DO31+DN32-DW31)))</f>
        <v>111.80000000000003</v>
      </c>
      <c r="DP32" s="17">
        <f>DO32*VLOOKUP('Données projet'!$B$14,Paramètres!$A$1:$I$89,3,0)*VLOOKUP('Données projet'!$B$14,Paramètres!$A$1:$I$89,5,0)</f>
        <v>94.180320000000037</v>
      </c>
      <c r="DQ32" s="13">
        <f t="shared" si="43"/>
        <v>25.570738079029208</v>
      </c>
      <c r="DR32" s="20">
        <f t="shared" si="16"/>
        <v>208.56642615430928</v>
      </c>
      <c r="DS32" s="59">
        <f t="shared" si="17"/>
        <v>500.67753726542043</v>
      </c>
      <c r="DT32" s="59">
        <f ca="1">AVERAGE(OFFSET($DS$3,0,0,'Données projet'!$E$14+1,1))-AVERAGE(OFFSET($H$3,0,0,'Données projet'!$E$14+1,1))</f>
        <v>411.72284844766</v>
      </c>
      <c r="DU32" s="59">
        <f t="shared" si="44"/>
        <v>261.95434270986397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28</v>
      </c>
      <c r="EJ32" s="12">
        <f>IF('Données projet'!$A$192&gt;35,EJ31+EI32-ER31,IF(A32&lt;'Données projet'!$A$192,$EG$205^A32,IF(A32='Données projet'!$A$192,'Données projet'!$B$192,EJ31+EI32-ER31)))</f>
        <v>393</v>
      </c>
      <c r="EK32" s="17">
        <f>EJ32*VLOOKUP('Données projet'!$B$15,Paramètres!$A$1:$I$89,3,0)*VLOOKUP('Données projet'!$B$15,Paramètres!$A$1:$I$89,5,0)</f>
        <v>219.68700000000001</v>
      </c>
      <c r="EL32" s="13">
        <f t="shared" si="45"/>
        <v>54.046851081096591</v>
      </c>
      <c r="EM32" s="20">
        <f t="shared" si="19"/>
        <v>476.75312396624321</v>
      </c>
      <c r="EN32" s="59">
        <f t="shared" si="20"/>
        <v>768.86423507735435</v>
      </c>
      <c r="EO32" s="59">
        <f ca="1">AVERAGE(OFFSET($EN$3,0,0,'Données projet'!$E$15+1,1))-AVERAGE(OFFSET($H$3,0,0,'Données projet'!$E$15+1,1))</f>
        <v>443.34220761968419</v>
      </c>
      <c r="EP32" s="59">
        <f t="shared" si="46"/>
        <v>546.58234447298014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8.5443910332834783</v>
      </c>
      <c r="EY32" s="22">
        <f t="shared" si="21"/>
        <v>8.5443910332834783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205</v>
      </c>
      <c r="L33" s="12">
        <f>VLOOKUP(A33,'Données projet'!$A$35:$I$55,9,0)</f>
        <v>14.8</v>
      </c>
      <c r="M33" s="12">
        <f t="array" ref="M33">INDEX(L:L,MIN(IF(ISNUMBER(L33:L229),ROW(L33:L229),"")))</f>
        <v>14.8</v>
      </c>
      <c r="N33" s="13">
        <f>IF('Données projet'!$A$36&gt;35,N32+M33-V32,IF(A33&lt;'Données projet'!$A$36,$K$205^A33,IF(A33='Données projet'!$A$36,'Données projet'!$B$36,N32+M33-V32)))</f>
        <v>205.00000000000011</v>
      </c>
      <c r="O33" s="13">
        <f>N33*VLOOKUP('Données projet'!$B$9,Paramètres!$A$1:$I$89,3,0)*VLOOKUP('Données projet'!$B$9,Paramètres!$A$1:$I$89,5,0)</f>
        <v>179.08800000000011</v>
      </c>
      <c r="P33" s="13">
        <f t="shared" si="33"/>
        <v>45.119223023956877</v>
      </c>
      <c r="Q33" s="20">
        <f t="shared" si="2"/>
        <v>390.4942467667251</v>
      </c>
      <c r="R33" s="59">
        <f t="shared" si="0"/>
        <v>683.82758010005841</v>
      </c>
      <c r="S33" s="59">
        <f ca="1">AVERAGE(OFFSET($R$3,0,0,'Données projet'!$E$9+1,1))-AVERAGE(OFFSET($H$3,0,0,'Données projet'!$E$9+1,1))</f>
        <v>304.32767345253382</v>
      </c>
      <c r="T33" s="59">
        <f t="shared" si="34"/>
        <v>427.16091343339173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51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205</v>
      </c>
      <c r="AG33" s="12">
        <f>VLOOKUP(A33,'Données projet'!$A$61:$I$81,9,0)</f>
        <v>16.399999999999999</v>
      </c>
      <c r="AH33" s="12">
        <f t="array" ref="AH33">INDEX(AG:AG,MIN(IF(ISNUMBER(AG33:AG229),ROW(AG33:AG229),"")))</f>
        <v>16.399999999999999</v>
      </c>
      <c r="AI33" s="13">
        <f>IF('Données projet'!$A$62&gt;35,AI32+AH33-AQ32,IF(A33&lt;'Données projet'!$A$62,$AF$205^A33,IF(A33='Données projet'!$A$62,'Données projet'!$B$62,AI32+AH33-AQ32)))</f>
        <v>205.00000000000006</v>
      </c>
      <c r="AJ33" s="13">
        <f>AI33*VLOOKUP('Données projet'!$B$10,Paramètres!$A$1:$I$89,3,0)*VLOOKUP('Données projet'!$B$10,Paramètres!$A$1:$I$89,5,0)</f>
        <v>163.09800000000004</v>
      </c>
      <c r="AK33" s="13">
        <f t="shared" si="35"/>
        <v>41.540496136845142</v>
      </c>
      <c r="AL33" s="20">
        <f t="shared" si="4"/>
        <v>356.41204743833867</v>
      </c>
      <c r="AM33" s="59">
        <f t="shared" si="5"/>
        <v>649.74538077167199</v>
      </c>
      <c r="AN33" s="59">
        <f ca="1">AVERAGE(OFFSET($AM$3,0,0,'Données projet'!$E$10+1,1))-AVERAGE(OFFSET($H$3,0,0,'Données projet'!$E$10+1,1))</f>
        <v>405.40026823646758</v>
      </c>
      <c r="AO33" s="59">
        <f t="shared" si="36"/>
        <v>393.0787141050053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42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524</v>
      </c>
      <c r="BB33" s="12">
        <f>VLOOKUP(A33,'Données projet'!$A$87:$I$107,9,0)</f>
        <v>33</v>
      </c>
      <c r="BC33" s="12">
        <f t="array" ref="BC33">INDEX(BB:BB,MIN(IF(ISNUMBER(BB33:BB229),ROW(BB33:BB229),"")))</f>
        <v>33</v>
      </c>
      <c r="BD33" s="12">
        <f>IF('Données projet'!$A$88&gt;35,BD32+BC33-BL32,IF(A33&lt;'Données projet'!$A$88,$BA$205^A33,IF(A33='Données projet'!$A$88,'Données projet'!$B$88,BD32+BC33-BL32)))</f>
        <v>524</v>
      </c>
      <c r="BE33" s="13">
        <f>BD33*VLOOKUP('Données projet'!$B$11,Paramètres!$A$1:$I$89,3,0)*VLOOKUP('Données projet'!$B$11,Paramètres!$A$1:$I$89,5,0)</f>
        <v>292.916</v>
      </c>
      <c r="BF33" s="13">
        <f t="shared" si="37"/>
        <v>69.68932587703776</v>
      </c>
      <c r="BG33" s="20">
        <f t="shared" si="7"/>
        <v>631.53760923584082</v>
      </c>
      <c r="BH33" s="59">
        <f t="shared" si="8"/>
        <v>924.87094256917408</v>
      </c>
      <c r="BI33" s="59">
        <f ca="1">AVERAGE(OFFSET($BH$3,0,0,'Données projet'!$E$11+1,1))-AVERAGE(OFFSET($H$3,0,0,'Données projet'!$E$11+1,1))</f>
        <v>555.15881087162279</v>
      </c>
      <c r="BJ33" s="59">
        <f t="shared" si="38"/>
        <v>668.20427590250733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90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0.55000000000000004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57.781653979510878</v>
      </c>
      <c r="BR33" s="21">
        <f>EXP(-LN(2)/2)*BR32+(1-EXP(-LN(2)/2))/(LN(2)/2)*BL33*BO33*VLOOKUP('Données projet'!$B$11,Paramètres!$A$1:$I$89,3,0)*0.475*44/12</f>
        <v>0.85048336673886504</v>
      </c>
      <c r="BS33" s="22">
        <f t="shared" si="9"/>
        <v>58.632137346249742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205</v>
      </c>
      <c r="BW33" s="12">
        <f>VLOOKUP(A33,'Données projet'!$A$113:$I$133,9,0)</f>
        <v>16.399999999999999</v>
      </c>
      <c r="BX33" s="12">
        <f t="array" ref="BX33">INDEX(BW:BW,MIN(IF(ISNUMBER(BW33:BW229),ROW(BW33:BW229),"")))</f>
        <v>16.399999999999999</v>
      </c>
      <c r="BY33" s="12">
        <f>IF('Données projet'!$A$114&gt;35,BY32+BX33-CG32,IF(A33&lt;'Données projet'!$A$114,$BV$205^A33,IF(A33='Données projet'!$A$114,'Données projet'!$B$114,BY32+BX33-CG32)))</f>
        <v>205.00000000000006</v>
      </c>
      <c r="BZ33" s="13">
        <f>BY33*VLOOKUP('Données projet'!$B$12,Paramètres!$A$1:$I$89,3,0)*VLOOKUP('Données projet'!$B$12,Paramètres!$A$1:$I$89,5,0)</f>
        <v>134.31600000000003</v>
      </c>
      <c r="CA33" s="13">
        <f t="shared" si="39"/>
        <v>34.991756585122445</v>
      </c>
      <c r="CB33" s="20">
        <f t="shared" si="10"/>
        <v>294.87767605242163</v>
      </c>
      <c r="CC33" s="59">
        <f t="shared" si="11"/>
        <v>588.21100938575501</v>
      </c>
      <c r="CD33" s="59">
        <f ca="1">AVERAGE(OFFSET($CC$3,0,0,'Données projet'!$E$12+1,1))-AVERAGE(OFFSET($H$3,0,0,'Données projet'!$E$12+1,1))</f>
        <v>340.49092994349405</v>
      </c>
      <c r="CE33" s="59">
        <f t="shared" si="40"/>
        <v>331.54434271908832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42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121</v>
      </c>
      <c r="CR33" s="12">
        <f>VLOOKUP(A33,'Données projet'!$A$139:$I$159,9,0)</f>
        <v>9.1999999999999993</v>
      </c>
      <c r="CS33" s="12">
        <f t="array" ref="CS33">INDEX(CR:CR,MIN(IF(ISNUMBER(CR33:CR229),ROW(CR33:CR229),"")))</f>
        <v>9.1999999999999993</v>
      </c>
      <c r="CT33" s="12">
        <f>IF('Données projet'!$A$140&gt;35,CT32+CS33-DB32,IF(A33&lt;'Données projet'!$A$140,$CQ$205^A33,IF(A33='Données projet'!$A$140,'Données projet'!$B$140,CT32+CS33-DB32)))</f>
        <v>121.00000000000003</v>
      </c>
      <c r="CU33" s="17">
        <f>CT33*VLOOKUP('Données projet'!$B$13,Paramètres!$A$1:$I$89,3,0)*VLOOKUP('Données projet'!$B$13,Paramètres!$A$1:$I$89,5,0)</f>
        <v>109.48080000000002</v>
      </c>
      <c r="CV33" s="13">
        <f t="shared" si="41"/>
        <v>29.208623339903898</v>
      </c>
      <c r="CW33" s="20">
        <f t="shared" si="13"/>
        <v>241.55074565033269</v>
      </c>
      <c r="CX33" s="59">
        <f t="shared" si="14"/>
        <v>534.88407898366597</v>
      </c>
      <c r="CY33" s="59">
        <f ca="1">AVERAGE(OFFSET($CX$3,0,0,'Données projet'!$E$13+1,1))-AVERAGE(OFFSET($H$3,0,0,'Données projet'!$E$13+1,1))</f>
        <v>439.19854273764042</v>
      </c>
      <c r="CZ33" s="59">
        <f t="shared" si="42"/>
        <v>278.21741231699929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28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121</v>
      </c>
      <c r="DM33" s="12">
        <f>VLOOKUP(A33,'Données projet'!$A$165:$I$185,9,0)</f>
        <v>9.1999999999999993</v>
      </c>
      <c r="DN33" s="12">
        <f t="array" ref="DN33">INDEX(DM:DM,MIN(IF(ISNUMBER(DM33:DM229),ROW(DM33:DM229),"")))</f>
        <v>9.1999999999999993</v>
      </c>
      <c r="DO33" s="12">
        <f>IF('Données projet'!$A$166&gt;35,DO32+DN33-DW32,IF(A33&lt;'Données projet'!$A$166,$DL$205^A33,IF(A33='Données projet'!$A$166,'Données projet'!$B$166,DO32+DN33-DW32)))</f>
        <v>121.00000000000003</v>
      </c>
      <c r="DP33" s="17">
        <f>DO33*VLOOKUP('Données projet'!$B$14,Paramètres!$A$1:$I$89,3,0)*VLOOKUP('Données projet'!$B$14,Paramètres!$A$1:$I$89,5,0)</f>
        <v>101.93040000000003</v>
      </c>
      <c r="DQ33" s="13">
        <f t="shared" si="43"/>
        <v>27.421375718582158</v>
      </c>
      <c r="DR33" s="20">
        <f t="shared" si="16"/>
        <v>225.28767604319731</v>
      </c>
      <c r="DS33" s="59">
        <f t="shared" si="17"/>
        <v>518.62100937653065</v>
      </c>
      <c r="DT33" s="59">
        <f ca="1">AVERAGE(OFFSET($DS$3,0,0,'Données projet'!$E$14+1,1))-AVERAGE(OFFSET($H$3,0,0,'Données projet'!$E$14+1,1))</f>
        <v>411.72284844766</v>
      </c>
      <c r="DU33" s="59">
        <f t="shared" si="44"/>
        <v>261.95434270986397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28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421</v>
      </c>
      <c r="EH33" s="12">
        <f>VLOOKUP(A33,'Données projet'!$A$191:$I$211,9,0)</f>
        <v>28</v>
      </c>
      <c r="EI33" s="12">
        <f t="array" ref="EI33">INDEX(EH:EH,MIN(IF(ISNUMBER(EH33:EH229),ROW(EH33:EH229),"")))</f>
        <v>28</v>
      </c>
      <c r="EJ33" s="12">
        <f>IF('Données projet'!$A$192&gt;35,EJ32+EI33-ER32,IF(A33&lt;'Données projet'!$A$192,$EG$205^A33,IF(A33='Données projet'!$A$192,'Données projet'!$B$192,EJ32+EI33-ER32)))</f>
        <v>421</v>
      </c>
      <c r="EK33" s="17">
        <f>EJ33*VLOOKUP('Données projet'!$B$15,Paramètres!$A$1:$I$89,3,0)*VLOOKUP('Données projet'!$B$15,Paramètres!$A$1:$I$89,5,0)</f>
        <v>235.339</v>
      </c>
      <c r="EL33" s="13">
        <f t="shared" si="45"/>
        <v>57.43555185051494</v>
      </c>
      <c r="EM33" s="20">
        <f t="shared" si="19"/>
        <v>509.91567780631357</v>
      </c>
      <c r="EN33" s="59">
        <f t="shared" si="20"/>
        <v>803.24901113964688</v>
      </c>
      <c r="EO33" s="59">
        <f ca="1">AVERAGE(OFFSET($EN$3,0,0,'Données projet'!$E$15+1,1))-AVERAGE(OFFSET($H$3,0,0,'Données projet'!$E$15+1,1))</f>
        <v>443.34220761968419</v>
      </c>
      <c r="EP33" s="59">
        <f t="shared" si="46"/>
        <v>546.58234447298014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54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0.55000000000000004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21.937304095826462</v>
      </c>
      <c r="EX33" s="21">
        <f>EXP(-LN(2)/2)*EX32+(1-EXP(-LN(2)/2))/(LN(2)/2)*ER33*EU33*VLOOKUP('Données projet'!$B$15,Paramètres!$A$1:$I$89,3,0)*0.475*44/12</f>
        <v>6.0417968407442793</v>
      </c>
      <c r="EY33" s="22">
        <f t="shared" si="21"/>
        <v>27.979100936570742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13.6</v>
      </c>
      <c r="N34" s="13">
        <f>IF('Données projet'!$A$36&gt;35,N33+M34-V33,IF(A34&lt;'Données projet'!$A$36,$K$205^A34,IF(A34='Données projet'!$A$36,'Données projet'!$B$36,N33+M34-V33)))</f>
        <v>167.60000000000011</v>
      </c>
      <c r="O34" s="13">
        <f>N34*VLOOKUP('Données projet'!$B$9,Paramètres!$A$1:$I$89,3,0)*VLOOKUP('Données projet'!$B$9,Paramètres!$A$1:$I$89,5,0)</f>
        <v>146.41536000000011</v>
      </c>
      <c r="P34" s="13">
        <f t="shared" si="33"/>
        <v>37.762820103024502</v>
      </c>
      <c r="Q34" s="20">
        <f t="shared" si="2"/>
        <v>320.77699701276782</v>
      </c>
      <c r="R34" s="59">
        <f t="shared" si="0"/>
        <v>614.11033034610114</v>
      </c>
      <c r="S34" s="59">
        <f ca="1">AVERAGE(OFFSET($R$3,0,0,'Données projet'!$E$9+1,1))-AVERAGE(OFFSET($H$3,0,0,'Données projet'!$E$9+1,1))</f>
        <v>304.32767345253382</v>
      </c>
      <c r="T34" s="59">
        <f t="shared" si="34"/>
        <v>427.16091343339173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15.2</v>
      </c>
      <c r="AI34" s="13">
        <f>IF('Données projet'!$A$62&gt;35,AI33+AH34-AQ33,IF(A34&lt;'Données projet'!$A$62,$AF$205^A34,IF(A34='Données projet'!$A$62,'Données projet'!$B$62,AI33+AH34-AQ33)))</f>
        <v>178.20000000000005</v>
      </c>
      <c r="AJ34" s="13">
        <f>AI34*VLOOKUP('Données projet'!$B$10,Paramètres!$A$1:$I$89,3,0)*VLOOKUP('Données projet'!$B$10,Paramètres!$A$1:$I$89,5,0)</f>
        <v>141.77592000000004</v>
      </c>
      <c r="AK34" s="13">
        <f t="shared" si="35"/>
        <v>36.703544878441981</v>
      </c>
      <c r="AL34" s="20">
        <f t="shared" si="4"/>
        <v>310.85173466328649</v>
      </c>
      <c r="AM34" s="59">
        <f t="shared" si="5"/>
        <v>604.18506799661986</v>
      </c>
      <c r="AN34" s="59">
        <f ca="1">AVERAGE(OFFSET($AM$3,0,0,'Données projet'!$E$10+1,1))-AVERAGE(OFFSET($H$3,0,0,'Données projet'!$E$10+1,1))</f>
        <v>405.40026823646758</v>
      </c>
      <c r="AO34" s="59">
        <f t="shared" si="36"/>
        <v>393.0787141050053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28.4</v>
      </c>
      <c r="BD34" s="12">
        <f>IF('Données projet'!$A$88&gt;35,BD33+BC34-BL33,IF(A34&lt;'Données projet'!$A$88,$BA$205^A34,IF(A34='Données projet'!$A$88,'Données projet'!$B$88,BD33+BC34-BL33)))</f>
        <v>462.4</v>
      </c>
      <c r="BE34" s="13">
        <f>BD34*VLOOKUP('Données projet'!$B$11,Paramètres!$A$1:$I$89,3,0)*VLOOKUP('Données projet'!$B$11,Paramètres!$A$1:$I$89,5,0)</f>
        <v>258.48160000000001</v>
      </c>
      <c r="BF34" s="13">
        <f t="shared" si="37"/>
        <v>62.398606187610767</v>
      </c>
      <c r="BG34" s="20">
        <f t="shared" si="7"/>
        <v>558.86635911008875</v>
      </c>
      <c r="BH34" s="59">
        <f t="shared" si="8"/>
        <v>852.19969244342201</v>
      </c>
      <c r="BI34" s="59">
        <f ca="1">AVERAGE(OFFSET($BH$3,0,0,'Données projet'!$E$11+1,1))-AVERAGE(OFFSET($H$3,0,0,'Données projet'!$E$11+1,1))</f>
        <v>555.15881087162279</v>
      </c>
      <c r="BJ34" s="59">
        <f t="shared" si="38"/>
        <v>668.20427590250733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56.201611612836032</v>
      </c>
      <c r="BR34" s="21">
        <f>EXP(-LN(2)/2)*BR33+(1-EXP(-LN(2)/2))/(LN(2)/2)*BL34*BO34*VLOOKUP('Données projet'!$B$11,Paramètres!$A$1:$I$89,3,0)*0.475*44/12</f>
        <v>0.60138255590741696</v>
      </c>
      <c r="BS34" s="22">
        <f t="shared" si="9"/>
        <v>56.802994168743446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15.2</v>
      </c>
      <c r="BY34" s="12">
        <f>IF('Données projet'!$A$114&gt;35,BY33+BX34-CG33,IF(A34&lt;'Données projet'!$A$114,$BV$205^A34,IF(A34='Données projet'!$A$114,'Données projet'!$B$114,BY33+BX34-CG33)))</f>
        <v>178.20000000000005</v>
      </c>
      <c r="BZ34" s="13">
        <f>BY34*VLOOKUP('Données projet'!$B$12,Paramètres!$A$1:$I$89,3,0)*VLOOKUP('Données projet'!$B$12,Paramètres!$A$1:$I$89,5,0)</f>
        <v>116.75664000000003</v>
      </c>
      <c r="CA34" s="13">
        <f t="shared" si="39"/>
        <v>30.91733675897062</v>
      </c>
      <c r="CB34" s="20">
        <f t="shared" si="10"/>
        <v>257.19884285520715</v>
      </c>
      <c r="CC34" s="59">
        <f t="shared" si="11"/>
        <v>550.53217618854046</v>
      </c>
      <c r="CD34" s="59">
        <f ca="1">AVERAGE(OFFSET($CC$3,0,0,'Données projet'!$E$12+1,1))-AVERAGE(OFFSET($H$3,0,0,'Données projet'!$E$12+1,1))</f>
        <v>340.49092994349405</v>
      </c>
      <c r="CE34" s="59">
        <f t="shared" si="40"/>
        <v>331.54434271908832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10.8</v>
      </c>
      <c r="CT34" s="12">
        <f>IF('Données projet'!$A$140&gt;35,CT33+CS34-DB33,IF(A34&lt;'Données projet'!$A$140,$CQ$205^A34,IF(A34='Données projet'!$A$140,'Données projet'!$B$140,CT33+CS34-DB33)))</f>
        <v>103.80000000000004</v>
      </c>
      <c r="CU34" s="17">
        <f>CT34*VLOOKUP('Données projet'!$B$13,Paramètres!$A$1:$I$89,3,0)*VLOOKUP('Données projet'!$B$13,Paramètres!$A$1:$I$89,5,0)</f>
        <v>93.91824000000004</v>
      </c>
      <c r="CV34" s="13">
        <f t="shared" si="41"/>
        <v>25.507853654186022</v>
      </c>
      <c r="CW34" s="20">
        <f t="shared" si="13"/>
        <v>208.00044644770739</v>
      </c>
      <c r="CX34" s="59">
        <f t="shared" si="14"/>
        <v>501.33377978104068</v>
      </c>
      <c r="CY34" s="59">
        <f ca="1">AVERAGE(OFFSET($CX$3,0,0,'Données projet'!$E$13+1,1))-AVERAGE(OFFSET($H$3,0,0,'Données projet'!$E$13+1,1))</f>
        <v>439.19854273764042</v>
      </c>
      <c r="CZ34" s="59">
        <f t="shared" si="42"/>
        <v>278.21741231699929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10.8</v>
      </c>
      <c r="DO34" s="12">
        <f>IF('Données projet'!$A$166&gt;35,DO33+DN34-DW33,IF(A34&lt;'Données projet'!$A$166,$DL$205^A34,IF(A34='Données projet'!$A$166,'Données projet'!$B$166,DO33+DN34-DW33)))</f>
        <v>103.80000000000004</v>
      </c>
      <c r="DP34" s="17">
        <f>DO34*VLOOKUP('Données projet'!$B$14,Paramètres!$A$1:$I$89,3,0)*VLOOKUP('Données projet'!$B$14,Paramètres!$A$1:$I$89,5,0)</f>
        <v>87.441120000000041</v>
      </c>
      <c r="DQ34" s="13">
        <f t="shared" si="43"/>
        <v>23.947052577122424</v>
      </c>
      <c r="DR34" s="20">
        <f t="shared" si="16"/>
        <v>194.0010672384883</v>
      </c>
      <c r="DS34" s="59">
        <f t="shared" si="17"/>
        <v>487.33440057182162</v>
      </c>
      <c r="DT34" s="59">
        <f ca="1">AVERAGE(OFFSET($DS$3,0,0,'Données projet'!$E$14+1,1))-AVERAGE(OFFSET($H$3,0,0,'Données projet'!$E$14+1,1))</f>
        <v>411.72284844766</v>
      </c>
      <c r="DU34" s="59">
        <f t="shared" si="44"/>
        <v>261.95434270986397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27.6</v>
      </c>
      <c r="EJ34" s="12">
        <f>IF('Données projet'!$A$192&gt;35,EJ33+EI34-ER33,IF(A34&lt;'Données projet'!$A$192,$EG$205^A34,IF(A34='Données projet'!$A$192,'Données projet'!$B$192,EJ33+EI34-ER33)))</f>
        <v>394.6</v>
      </c>
      <c r="EK34" s="17">
        <f>EJ34*VLOOKUP('Données projet'!$B$15,Paramètres!$A$1:$I$89,3,0)*VLOOKUP('Données projet'!$B$15,Paramètres!$A$1:$I$89,5,0)</f>
        <v>220.5814</v>
      </c>
      <c r="EL34" s="13">
        <f t="shared" si="45"/>
        <v>54.241230721401301</v>
      </c>
      <c r="EM34" s="20">
        <f t="shared" si="19"/>
        <v>478.64941517310723</v>
      </c>
      <c r="EN34" s="59">
        <f t="shared" si="20"/>
        <v>771.98274850644054</v>
      </c>
      <c r="EO34" s="59">
        <f ca="1">AVERAGE(OFFSET($EN$3,0,0,'Données projet'!$E$15+1,1))-AVERAGE(OFFSET($H$3,0,0,'Données projet'!$E$15+1,1))</f>
        <v>443.34220761968419</v>
      </c>
      <c r="EP34" s="59">
        <f t="shared" si="46"/>
        <v>546.58234447298014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21.337427361693404</v>
      </c>
      <c r="EX34" s="21">
        <f>EXP(-LN(2)/2)*EX33+(1-EXP(-LN(2)/2))/(LN(2)/2)*ER34*EU34*VLOOKUP('Données projet'!$B$15,Paramètres!$A$1:$I$89,3,0)*0.475*44/12</f>
        <v>4.2721955166417391</v>
      </c>
      <c r="EY34" s="22">
        <f t="shared" si="21"/>
        <v>25.609622878335145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13.6</v>
      </c>
      <c r="N35" s="13">
        <f>IF('Données projet'!$A$36&gt;35,N34+M35-V34,IF(A35&lt;'Données projet'!$A$36,$K$205^A35,IF(A35='Données projet'!$A$36,'Données projet'!$B$36,N34+M35-V34)))</f>
        <v>181.2000000000001</v>
      </c>
      <c r="O35" s="13">
        <f>N35*VLOOKUP('Données projet'!$B$9,Paramètres!$A$1:$I$89,3,0)*VLOOKUP('Données projet'!$B$9,Paramètres!$A$1:$I$89,5,0)</f>
        <v>158.29632000000009</v>
      </c>
      <c r="P35" s="13">
        <f t="shared" si="33"/>
        <v>40.458006540983739</v>
      </c>
      <c r="Q35" s="20">
        <f t="shared" ref="Q35:Q66" si="53">(O35+P35)*0.475*44/12</f>
        <v>346.16378539221347</v>
      </c>
      <c r="R35" s="59">
        <f t="shared" si="0"/>
        <v>639.49711872554678</v>
      </c>
      <c r="S35" s="59">
        <f ca="1">AVERAGE(OFFSET($R$3,0,0,'Données projet'!$E$9+1,1))-AVERAGE(OFFSET($H$3,0,0,'Données projet'!$E$9+1,1))</f>
        <v>304.32767345253382</v>
      </c>
      <c r="T35" s="59">
        <f t="shared" si="34"/>
        <v>427.16091343339173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15.2</v>
      </c>
      <c r="AI35" s="13">
        <f>IF('Données projet'!$A$62&gt;35,AI34+AH35-AQ34,IF(A35&lt;'Données projet'!$A$62,$AF$205^A35,IF(A35='Données projet'!$A$62,'Données projet'!$B$62,AI34+AH35-AQ34)))</f>
        <v>193.40000000000003</v>
      </c>
      <c r="AJ35" s="13">
        <f>AI35*VLOOKUP('Données projet'!$B$10,Paramètres!$A$1:$I$89,3,0)*VLOOKUP('Données projet'!$B$10,Paramètres!$A$1:$I$89,5,0)</f>
        <v>153.86904000000004</v>
      </c>
      <c r="AK35" s="13">
        <f t="shared" si="35"/>
        <v>39.456531419736123</v>
      </c>
      <c r="AL35" s="20">
        <f t="shared" si="4"/>
        <v>336.70870355604046</v>
      </c>
      <c r="AM35" s="59">
        <f t="shared" si="5"/>
        <v>630.04203688937378</v>
      </c>
      <c r="AN35" s="59">
        <f ca="1">AVERAGE(OFFSET($AM$3,0,0,'Données projet'!$E$10+1,1))-AVERAGE(OFFSET($H$3,0,0,'Données projet'!$E$10+1,1))</f>
        <v>405.40026823646758</v>
      </c>
      <c r="AO35" s="59">
        <f t="shared" si="36"/>
        <v>393.0787141050053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28.4</v>
      </c>
      <c r="BD35" s="12">
        <f>IF('Données projet'!$A$88&gt;35,BD34+BC35-BL34,IF(A35&lt;'Données projet'!$A$88,$BA$205^A35,IF(A35='Données projet'!$A$88,'Données projet'!$B$88,BD34+BC35-BL34)))</f>
        <v>490.79999999999995</v>
      </c>
      <c r="BE35" s="13">
        <f>BD35*VLOOKUP('Données projet'!$B$11,Paramètres!$A$1:$I$89,3,0)*VLOOKUP('Données projet'!$B$11,Paramètres!$A$1:$I$89,5,0)</f>
        <v>274.35719999999998</v>
      </c>
      <c r="BF35" s="13">
        <f t="shared" si="37"/>
        <v>65.773113764972635</v>
      </c>
      <c r="BG35" s="20">
        <f t="shared" si="7"/>
        <v>592.39362980732722</v>
      </c>
      <c r="BH35" s="59">
        <f t="shared" si="8"/>
        <v>885.72696314066047</v>
      </c>
      <c r="BI35" s="59">
        <f ca="1">AVERAGE(OFFSET($BH$3,0,0,'Données projet'!$E$11+1,1))-AVERAGE(OFFSET($H$3,0,0,'Données projet'!$E$11+1,1))</f>
        <v>555.15881087162279</v>
      </c>
      <c r="BJ35" s="59">
        <f t="shared" si="38"/>
        <v>668.20427590250733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54.66477558776873</v>
      </c>
      <c r="BR35" s="21">
        <f>EXP(-LN(2)/2)*BR34+(1-EXP(-LN(2)/2))/(LN(2)/2)*BL35*BO35*VLOOKUP('Données projet'!$B$11,Paramètres!$A$1:$I$89,3,0)*0.475*44/12</f>
        <v>0.42524168336943258</v>
      </c>
      <c r="BS35" s="22">
        <f t="shared" si="9"/>
        <v>55.090017271138166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15.2</v>
      </c>
      <c r="BY35" s="12">
        <f>IF('Données projet'!$A$114&gt;35,BY34+BX35-CG34,IF(A35&lt;'Données projet'!$A$114,$BV$205^A35,IF(A35='Données projet'!$A$114,'Données projet'!$B$114,BY34+BX35-CG34)))</f>
        <v>193.40000000000003</v>
      </c>
      <c r="BZ35" s="13">
        <f>BY35*VLOOKUP('Données projet'!$B$12,Paramètres!$A$1:$I$89,3,0)*VLOOKUP('Données projet'!$B$12,Paramètres!$A$1:$I$89,5,0)</f>
        <v>126.71568000000002</v>
      </c>
      <c r="CA35" s="13">
        <f t="shared" si="39"/>
        <v>33.236322902461559</v>
      </c>
      <c r="CB35" s="20">
        <f t="shared" si="10"/>
        <v>278.58307172178723</v>
      </c>
      <c r="CC35" s="59">
        <f t="shared" si="11"/>
        <v>571.91640505512055</v>
      </c>
      <c r="CD35" s="59">
        <f ca="1">AVERAGE(OFFSET($CC$3,0,0,'Données projet'!$E$12+1,1))-AVERAGE(OFFSET($H$3,0,0,'Données projet'!$E$12+1,1))</f>
        <v>340.49092994349405</v>
      </c>
      <c r="CE35" s="59">
        <f t="shared" si="40"/>
        <v>331.54434271908832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10.8</v>
      </c>
      <c r="CT35" s="12">
        <f>IF('Données projet'!$A$140&gt;35,CT34+CS35-DB34,IF(A35&lt;'Données projet'!$A$140,$CQ$205^A35,IF(A35='Données projet'!$A$140,'Données projet'!$B$140,CT34+CS35-DB34)))</f>
        <v>114.60000000000004</v>
      </c>
      <c r="CU35" s="17">
        <f>CT35*VLOOKUP('Données projet'!$B$13,Paramètres!$A$1:$I$89,3,0)*VLOOKUP('Données projet'!$B$13,Paramètres!$A$1:$I$89,5,0)</f>
        <v>103.69008000000004</v>
      </c>
      <c r="CV35" s="13">
        <f t="shared" si="41"/>
        <v>27.83924565319537</v>
      </c>
      <c r="CW35" s="20">
        <f t="shared" si="13"/>
        <v>229.08024217931529</v>
      </c>
      <c r="CX35" s="59">
        <f t="shared" si="14"/>
        <v>522.41357551264855</v>
      </c>
      <c r="CY35" s="59">
        <f ca="1">AVERAGE(OFFSET($CX$3,0,0,'Données projet'!$E$13+1,1))-AVERAGE(OFFSET($H$3,0,0,'Données projet'!$E$13+1,1))</f>
        <v>439.19854273764042</v>
      </c>
      <c r="CZ35" s="59">
        <f t="shared" si="42"/>
        <v>278.21741231699929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10.8</v>
      </c>
      <c r="DO35" s="12">
        <f>IF('Données projet'!$A$166&gt;35,DO34+DN35-DW34,IF(A35&lt;'Données projet'!$A$166,$DL$205^A35,IF(A35='Données projet'!$A$166,'Données projet'!$B$166,DO34+DN35-DW34)))</f>
        <v>114.60000000000004</v>
      </c>
      <c r="DP35" s="17">
        <f>DO35*VLOOKUP('Données projet'!$B$14,Paramètres!$A$1:$I$89,3,0)*VLOOKUP('Données projet'!$B$14,Paramètres!$A$1:$I$89,5,0)</f>
        <v>96.539040000000043</v>
      </c>
      <c r="DQ35" s="13">
        <f t="shared" si="43"/>
        <v>26.135788937894091</v>
      </c>
      <c r="DR35" s="20">
        <f t="shared" si="16"/>
        <v>213.65866040016559</v>
      </c>
      <c r="DS35" s="59">
        <f t="shared" si="17"/>
        <v>506.99199373349893</v>
      </c>
      <c r="DT35" s="59">
        <f ca="1">AVERAGE(OFFSET($DS$3,0,0,'Données projet'!$E$14+1,1))-AVERAGE(OFFSET($H$3,0,0,'Données projet'!$E$14+1,1))</f>
        <v>411.72284844766</v>
      </c>
      <c r="DU35" s="59">
        <f t="shared" si="44"/>
        <v>261.95434270986397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27.6</v>
      </c>
      <c r="EJ35" s="12">
        <f>IF('Données projet'!$A$192&gt;35,EJ34+EI35-ER34,IF(A35&lt;'Données projet'!$A$192,$EG$205^A35,IF(A35='Données projet'!$A$192,'Données projet'!$B$192,EJ34+EI35-ER34)))</f>
        <v>422.20000000000005</v>
      </c>
      <c r="EK35" s="17">
        <f>EJ35*VLOOKUP('Données projet'!$B$15,Paramètres!$A$1:$I$89,3,0)*VLOOKUP('Données projet'!$B$15,Paramètres!$A$1:$I$89,5,0)</f>
        <v>236.00980000000004</v>
      </c>
      <c r="EL35" s="13">
        <f t="shared" si="45"/>
        <v>57.580183613654185</v>
      </c>
      <c r="EM35" s="20">
        <f t="shared" si="19"/>
        <v>511.3358881271144</v>
      </c>
      <c r="EN35" s="59">
        <f t="shared" si="20"/>
        <v>804.66922146044772</v>
      </c>
      <c r="EO35" s="59">
        <f ca="1">AVERAGE(OFFSET($EN$3,0,0,'Données projet'!$E$15+1,1))-AVERAGE(OFFSET($H$3,0,0,'Données projet'!$E$15+1,1))</f>
        <v>443.34220761968419</v>
      </c>
      <c r="EP35" s="59">
        <f t="shared" si="46"/>
        <v>546.58234447298014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20.75395428840136</v>
      </c>
      <c r="EX35" s="21">
        <f>EXP(-LN(2)/2)*EX34+(1-EXP(-LN(2)/2))/(LN(2)/2)*ER35*EU35*VLOOKUP('Données projet'!$B$15,Paramètres!$A$1:$I$89,3,0)*0.475*44/12</f>
        <v>3.0208984203721396</v>
      </c>
      <c r="EY35" s="22">
        <f t="shared" si="21"/>
        <v>23.774852708773501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13.6</v>
      </c>
      <c r="N36" s="13">
        <f>IF('Données projet'!$A$36&gt;35,N35+M36-V35,IF(A36&lt;'Données projet'!$A$36,$K$205^A36,IF(A36='Données projet'!$A$36,'Données projet'!$B$36,N35+M36-V35)))</f>
        <v>194.8000000000001</v>
      </c>
      <c r="O36" s="13">
        <f>N36*VLOOKUP('Données projet'!$B$9,Paramètres!$A$1:$I$89,3,0)*VLOOKUP('Données projet'!$B$9,Paramètres!$A$1:$I$89,5,0)</f>
        <v>170.17728000000011</v>
      </c>
      <c r="P36" s="13">
        <f t="shared" si="33"/>
        <v>43.129725999134671</v>
      </c>
      <c r="Q36" s="20">
        <f t="shared" si="53"/>
        <v>371.50970211515977</v>
      </c>
      <c r="R36" s="59">
        <f t="shared" si="0"/>
        <v>664.84303544849308</v>
      </c>
      <c r="S36" s="59">
        <f ca="1">AVERAGE(OFFSET($R$3,0,0,'Données projet'!$E$9+1,1))-AVERAGE(OFFSET($H$3,0,0,'Données projet'!$E$9+1,1))</f>
        <v>304.32767345253382</v>
      </c>
      <c r="T36" s="59">
        <f t="shared" si="34"/>
        <v>427.16091343339173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15.2</v>
      </c>
      <c r="AI36" s="13">
        <f>IF('Données projet'!$A$62&gt;35,AI35+AH36-AQ35,IF(A36&lt;'Données projet'!$A$62,$AF$205^A36,IF(A36='Données projet'!$A$62,'Données projet'!$B$62,AI35+AH36-AQ35)))</f>
        <v>208.60000000000002</v>
      </c>
      <c r="AJ36" s="13">
        <f>AI36*VLOOKUP('Données projet'!$B$10,Paramètres!$A$1:$I$89,3,0)*VLOOKUP('Données projet'!$B$10,Paramètres!$A$1:$I$89,5,0)</f>
        <v>165.96216000000001</v>
      </c>
      <c r="AK36" s="13">
        <f t="shared" si="35"/>
        <v>42.184420424142857</v>
      </c>
      <c r="AL36" s="20">
        <f t="shared" si="4"/>
        <v>362.52196090538217</v>
      </c>
      <c r="AM36" s="59">
        <f t="shared" si="5"/>
        <v>655.85529423871549</v>
      </c>
      <c r="AN36" s="59">
        <f ca="1">AVERAGE(OFFSET($AM$3,0,0,'Données projet'!$E$10+1,1))-AVERAGE(OFFSET($H$3,0,0,'Données projet'!$E$10+1,1))</f>
        <v>405.40026823646758</v>
      </c>
      <c r="AO36" s="59">
        <f t="shared" si="36"/>
        <v>393.0787141050053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28.4</v>
      </c>
      <c r="BD36" s="12">
        <f>IF('Données projet'!$A$88&gt;35,BD35+BC36-BL35,IF(A36&lt;'Données projet'!$A$88,$BA$205^A36,IF(A36='Données projet'!$A$88,'Données projet'!$B$88,BD35+BC36-BL35)))</f>
        <v>519.19999999999993</v>
      </c>
      <c r="BE36" s="13">
        <f>BD36*VLOOKUP('Données projet'!$B$11,Paramètres!$A$1:$I$89,3,0)*VLOOKUP('Données projet'!$B$11,Paramètres!$A$1:$I$89,5,0)</f>
        <v>290.2328</v>
      </c>
      <c r="BF36" s="13">
        <f t="shared" si="37"/>
        <v>69.124955529636495</v>
      </c>
      <c r="BG36" s="20">
        <f t="shared" si="7"/>
        <v>625.88142421411692</v>
      </c>
      <c r="BH36" s="59">
        <f t="shared" si="8"/>
        <v>919.21475754745029</v>
      </c>
      <c r="BI36" s="59">
        <f ca="1">AVERAGE(OFFSET($BH$3,0,0,'Données projet'!$E$11+1,1))-AVERAGE(OFFSET($H$3,0,0,'Données projet'!$E$11+1,1))</f>
        <v>555.15881087162279</v>
      </c>
      <c r="BJ36" s="59">
        <f t="shared" si="38"/>
        <v>668.20427590250733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53.169964424625583</v>
      </c>
      <c r="BR36" s="21">
        <f>EXP(-LN(2)/2)*BR35+(1-EXP(-LN(2)/2))/(LN(2)/2)*BL36*BO36*VLOOKUP('Données projet'!$B$11,Paramètres!$A$1:$I$89,3,0)*0.475*44/12</f>
        <v>0.30069127795370848</v>
      </c>
      <c r="BS36" s="22">
        <f t="shared" si="9"/>
        <v>53.470655702579293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15.2</v>
      </c>
      <c r="BY36" s="12">
        <f>IF('Données projet'!$A$114&gt;35,BY35+BX36-CG35,IF(A36&lt;'Données projet'!$A$114,$BV$205^A36,IF(A36='Données projet'!$A$114,'Données projet'!$B$114,BY35+BX36-CG35)))</f>
        <v>208.60000000000002</v>
      </c>
      <c r="BZ36" s="13">
        <f>BY36*VLOOKUP('Données projet'!$B$12,Paramètres!$A$1:$I$89,3,0)*VLOOKUP('Données projet'!$B$12,Paramètres!$A$1:$I$89,5,0)</f>
        <v>136.67472000000001</v>
      </c>
      <c r="CA36" s="13">
        <f t="shared" si="39"/>
        <v>35.534168063457791</v>
      </c>
      <c r="CB36" s="20">
        <f t="shared" si="10"/>
        <v>299.93048004385565</v>
      </c>
      <c r="CC36" s="59">
        <f t="shared" si="11"/>
        <v>593.26381337718897</v>
      </c>
      <c r="CD36" s="59">
        <f ca="1">AVERAGE(OFFSET($CC$3,0,0,'Données projet'!$E$12+1,1))-AVERAGE(OFFSET($H$3,0,0,'Données projet'!$E$12+1,1))</f>
        <v>340.49092994349405</v>
      </c>
      <c r="CE36" s="59">
        <f t="shared" si="40"/>
        <v>331.54434271908832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10.8</v>
      </c>
      <c r="CT36" s="12">
        <f>IF('Données projet'!$A$140&gt;35,CT35+CS36-DB35,IF(A36&lt;'Données projet'!$A$140,$CQ$205^A36,IF(A36='Données projet'!$A$140,'Données projet'!$B$140,CT35+CS36-DB35)))</f>
        <v>125.40000000000003</v>
      </c>
      <c r="CU36" s="17">
        <f>CT36*VLOOKUP('Données projet'!$B$13,Paramètres!$A$1:$I$89,3,0)*VLOOKUP('Données projet'!$B$13,Paramètres!$A$1:$I$89,5,0)</f>
        <v>113.46192000000002</v>
      </c>
      <c r="CV36" s="13">
        <f t="shared" si="41"/>
        <v>30.145163126535493</v>
      </c>
      <c r="CW36" s="20">
        <f t="shared" si="13"/>
        <v>250.11566977871598</v>
      </c>
      <c r="CX36" s="59">
        <f t="shared" si="14"/>
        <v>543.44900311204924</v>
      </c>
      <c r="CY36" s="59">
        <f ca="1">AVERAGE(OFFSET($CX$3,0,0,'Données projet'!$E$13+1,1))-AVERAGE(OFFSET($H$3,0,0,'Données projet'!$E$13+1,1))</f>
        <v>439.19854273764042</v>
      </c>
      <c r="CZ36" s="59">
        <f t="shared" si="42"/>
        <v>278.21741231699929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10.8</v>
      </c>
      <c r="DO36" s="12">
        <f>IF('Données projet'!$A$166&gt;35,DO35+DN36-DW35,IF(A36&lt;'Données projet'!$A$166,$DL$205^A36,IF(A36='Données projet'!$A$166,'Données projet'!$B$166,DO35+DN36-DW35)))</f>
        <v>125.40000000000003</v>
      </c>
      <c r="DP36" s="17">
        <f>DO36*VLOOKUP('Données projet'!$B$14,Paramètres!$A$1:$I$89,3,0)*VLOOKUP('Données projet'!$B$14,Paramètres!$A$1:$I$89,5,0)</f>
        <v>105.63696000000004</v>
      </c>
      <c r="DQ36" s="13">
        <f t="shared" si="43"/>
        <v>28.300609534766192</v>
      </c>
      <c r="DR36" s="20">
        <f t="shared" si="16"/>
        <v>233.27460027305116</v>
      </c>
      <c r="DS36" s="59">
        <f t="shared" si="17"/>
        <v>526.60793360638445</v>
      </c>
      <c r="DT36" s="59">
        <f ca="1">AVERAGE(OFFSET($DS$3,0,0,'Données projet'!$E$14+1,1))-AVERAGE(OFFSET($H$3,0,0,'Données projet'!$E$14+1,1))</f>
        <v>411.72284844766</v>
      </c>
      <c r="DU36" s="59">
        <f t="shared" si="44"/>
        <v>261.95434270986397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27.6</v>
      </c>
      <c r="EJ36" s="12">
        <f>IF('Données projet'!$A$192&gt;35,EJ35+EI36-ER35,IF(A36&lt;'Données projet'!$A$192,$EG$205^A36,IF(A36='Données projet'!$A$192,'Données projet'!$B$192,EJ35+EI36-ER35)))</f>
        <v>449.80000000000007</v>
      </c>
      <c r="EK36" s="17">
        <f>EJ36*VLOOKUP('Données projet'!$B$15,Paramètres!$A$1:$I$89,3,0)*VLOOKUP('Données projet'!$B$15,Paramètres!$A$1:$I$89,5,0)</f>
        <v>251.43820000000002</v>
      </c>
      <c r="EL36" s="13">
        <f t="shared" si="45"/>
        <v>60.893806844597648</v>
      </c>
      <c r="EM36" s="20">
        <f t="shared" si="19"/>
        <v>543.978245254341</v>
      </c>
      <c r="EN36" s="59">
        <f t="shared" si="20"/>
        <v>837.31157858767438</v>
      </c>
      <c r="EO36" s="59">
        <f ca="1">AVERAGE(OFFSET($EN$3,0,0,'Données projet'!$E$15+1,1))-AVERAGE(OFFSET($H$3,0,0,'Données projet'!$E$15+1,1))</f>
        <v>443.34220761968419</v>
      </c>
      <c r="EP36" s="59">
        <f t="shared" si="46"/>
        <v>546.58234447298014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20.186436316982004</v>
      </c>
      <c r="EX36" s="21">
        <f>EXP(-LN(2)/2)*EX35+(1-EXP(-LN(2)/2))/(LN(2)/2)*ER36*EU36*VLOOKUP('Données projet'!$B$15,Paramètres!$A$1:$I$89,3,0)*0.475*44/12</f>
        <v>2.1360977583208696</v>
      </c>
      <c r="EY36" s="22">
        <f t="shared" si="21"/>
        <v>22.322534075302872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13.6</v>
      </c>
      <c r="N37" s="13">
        <f>IF('Données projet'!$A$36&gt;35,N36+M37-V36,IF(A37&lt;'Données projet'!$A$36,$K$205^A37,IF(A37='Données projet'!$A$36,'Données projet'!$B$36,N36+M37-V36)))</f>
        <v>208.40000000000009</v>
      </c>
      <c r="O37" s="13">
        <f>N37*VLOOKUP('Données projet'!$B$9,Paramètres!$A$1:$I$89,3,0)*VLOOKUP('Données projet'!$B$9,Paramètres!$A$1:$I$89,5,0)</f>
        <v>182.0582400000001</v>
      </c>
      <c r="P37" s="13">
        <f t="shared" si="33"/>
        <v>45.779803189729343</v>
      </c>
      <c r="Q37" s="20">
        <f t="shared" si="53"/>
        <v>396.81792522211208</v>
      </c>
      <c r="R37" s="59">
        <f t="shared" si="0"/>
        <v>690.15125855544534</v>
      </c>
      <c r="S37" s="59">
        <f ca="1">AVERAGE(OFFSET($R$3,0,0,'Données projet'!$E$9+1,1))-AVERAGE(OFFSET($H$3,0,0,'Données projet'!$E$9+1,1))</f>
        <v>304.32767345253382</v>
      </c>
      <c r="T37" s="59">
        <f t="shared" si="34"/>
        <v>427.16091343339173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15.2</v>
      </c>
      <c r="AI37" s="13">
        <f>IF('Données projet'!$A$62&gt;35,AI36+AH37-AQ36,IF(A37&lt;'Données projet'!$A$62,$AF$205^A37,IF(A37='Données projet'!$A$62,'Données projet'!$B$62,AI36+AH37-AQ36)))</f>
        <v>223.8</v>
      </c>
      <c r="AJ37" s="13">
        <f>AI37*VLOOKUP('Données projet'!$B$10,Paramètres!$A$1:$I$89,3,0)*VLOOKUP('Données projet'!$B$10,Paramètres!$A$1:$I$89,5,0)</f>
        <v>178.05528000000001</v>
      </c>
      <c r="AK37" s="13">
        <f t="shared" si="35"/>
        <v>44.889248639558041</v>
      </c>
      <c r="AL37" s="20">
        <f t="shared" si="4"/>
        <v>388.29505404723028</v>
      </c>
      <c r="AM37" s="59">
        <f t="shared" si="5"/>
        <v>681.62838738056359</v>
      </c>
      <c r="AN37" s="59">
        <f ca="1">AVERAGE(OFFSET($AM$3,0,0,'Données projet'!$E$10+1,1))-AVERAGE(OFFSET($H$3,0,0,'Données projet'!$E$10+1,1))</f>
        <v>405.40026823646758</v>
      </c>
      <c r="AO37" s="59">
        <f t="shared" si="36"/>
        <v>393.0787141050053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28.4</v>
      </c>
      <c r="BD37" s="12">
        <f>IF('Données projet'!$A$88&gt;35,BD36+BC37-BL36,IF(A37&lt;'Données projet'!$A$88,$BA$205^A37,IF(A37='Données projet'!$A$88,'Données projet'!$B$88,BD36+BC37-BL36)))</f>
        <v>547.59999999999991</v>
      </c>
      <c r="BE37" s="13">
        <f>BD37*VLOOKUP('Données projet'!$B$11,Paramètres!$A$1:$I$89,3,0)*VLOOKUP('Données projet'!$B$11,Paramètres!$A$1:$I$89,5,0)</f>
        <v>306.10839999999996</v>
      </c>
      <c r="BF37" s="13">
        <f t="shared" si="37"/>
        <v>72.455512621968097</v>
      </c>
      <c r="BG37" s="20">
        <f t="shared" si="7"/>
        <v>659.33214781659433</v>
      </c>
      <c r="BH37" s="59">
        <f t="shared" si="8"/>
        <v>952.6654811499277</v>
      </c>
      <c r="BI37" s="59">
        <f ca="1">AVERAGE(OFFSET($BH$3,0,0,'Données projet'!$E$11+1,1))-AVERAGE(OFFSET($H$3,0,0,'Données projet'!$E$11+1,1))</f>
        <v>555.15881087162279</v>
      </c>
      <c r="BJ37" s="59">
        <f t="shared" si="38"/>
        <v>668.20427590250733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51.71602895134729</v>
      </c>
      <c r="BR37" s="21">
        <f>EXP(-LN(2)/2)*BR36+(1-EXP(-LN(2)/2))/(LN(2)/2)*BL37*BO37*VLOOKUP('Données projet'!$B$11,Paramètres!$A$1:$I$89,3,0)*0.475*44/12</f>
        <v>0.21262084168471629</v>
      </c>
      <c r="BS37" s="22">
        <f t="shared" si="9"/>
        <v>51.928649793032008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15.2</v>
      </c>
      <c r="BY37" s="12">
        <f>IF('Données projet'!$A$114&gt;35,BY36+BX37-CG36,IF(A37&lt;'Données projet'!$A$114,$BV$205^A37,IF(A37='Données projet'!$A$114,'Données projet'!$B$114,BY36+BX37-CG36)))</f>
        <v>223.8</v>
      </c>
      <c r="BZ37" s="13">
        <f>BY37*VLOOKUP('Données projet'!$B$12,Paramètres!$A$1:$I$89,3,0)*VLOOKUP('Données projet'!$B$12,Paramètres!$A$1:$I$89,5,0)</f>
        <v>146.63376</v>
      </c>
      <c r="CA37" s="13">
        <f t="shared" si="39"/>
        <v>37.812587902416553</v>
      </c>
      <c r="CB37" s="20">
        <f t="shared" si="10"/>
        <v>321.24405593004218</v>
      </c>
      <c r="CC37" s="59">
        <f t="shared" si="11"/>
        <v>614.57738926337549</v>
      </c>
      <c r="CD37" s="59">
        <f ca="1">AVERAGE(OFFSET($CC$3,0,0,'Données projet'!$E$12+1,1))-AVERAGE(OFFSET($H$3,0,0,'Données projet'!$E$12+1,1))</f>
        <v>340.49092994349405</v>
      </c>
      <c r="CE37" s="59">
        <f t="shared" si="40"/>
        <v>331.54434271908832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10.8</v>
      </c>
      <c r="CT37" s="12">
        <f>IF('Données projet'!$A$140&gt;35,CT36+CS37-DB36,IF(A37&lt;'Données projet'!$A$140,$CQ$205^A37,IF(A37='Données projet'!$A$140,'Données projet'!$B$140,CT36+CS37-DB36)))</f>
        <v>136.20000000000005</v>
      </c>
      <c r="CU37" s="17">
        <f>CT37*VLOOKUP('Données projet'!$B$13,Paramètres!$A$1:$I$89,3,0)*VLOOKUP('Données projet'!$B$13,Paramètres!$A$1:$I$89,5,0)</f>
        <v>123.23376000000005</v>
      </c>
      <c r="CV37" s="13">
        <f t="shared" si="41"/>
        <v>32.428049504876491</v>
      </c>
      <c r="CW37" s="20">
        <f t="shared" si="13"/>
        <v>271.11098488765998</v>
      </c>
      <c r="CX37" s="59">
        <f t="shared" si="14"/>
        <v>564.4443182209933</v>
      </c>
      <c r="CY37" s="59">
        <f ca="1">AVERAGE(OFFSET($CX$3,0,0,'Données projet'!$E$13+1,1))-AVERAGE(OFFSET($H$3,0,0,'Données projet'!$E$13+1,1))</f>
        <v>439.19854273764042</v>
      </c>
      <c r="CZ37" s="59">
        <f t="shared" si="42"/>
        <v>278.21741231699929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10.8</v>
      </c>
      <c r="DO37" s="12">
        <f>IF('Données projet'!$A$166&gt;35,DO36+DN37-DW36,IF(A37&lt;'Données projet'!$A$166,$DL$205^A37,IF(A37='Données projet'!$A$166,'Données projet'!$B$166,DO36+DN37-DW36)))</f>
        <v>136.20000000000005</v>
      </c>
      <c r="DP37" s="17">
        <f>DO37*VLOOKUP('Données projet'!$B$14,Paramètres!$A$1:$I$89,3,0)*VLOOKUP('Données projet'!$B$14,Paramètres!$A$1:$I$89,5,0)</f>
        <v>114.73488000000005</v>
      </c>
      <c r="DQ37" s="13">
        <f t="shared" si="43"/>
        <v>30.443808287231871</v>
      </c>
      <c r="DR37" s="20">
        <f t="shared" si="16"/>
        <v>252.85288210026226</v>
      </c>
      <c r="DS37" s="59">
        <f t="shared" si="17"/>
        <v>546.18621543359563</v>
      </c>
      <c r="DT37" s="59">
        <f ca="1">AVERAGE(OFFSET($DS$3,0,0,'Données projet'!$E$14+1,1))-AVERAGE(OFFSET($H$3,0,0,'Données projet'!$E$14+1,1))</f>
        <v>411.72284844766</v>
      </c>
      <c r="DU37" s="59">
        <f t="shared" si="44"/>
        <v>261.95434270986397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27.6</v>
      </c>
      <c r="EJ37" s="12">
        <f>IF('Données projet'!$A$192&gt;35,EJ36+EI37-ER36,IF(A37&lt;'Données projet'!$A$192,$EG$205^A37,IF(A37='Données projet'!$A$192,'Données projet'!$B$192,EJ36+EI37-ER36)))</f>
        <v>477.40000000000009</v>
      </c>
      <c r="EK37" s="17">
        <f>EJ37*VLOOKUP('Données projet'!$B$15,Paramètres!$A$1:$I$89,3,0)*VLOOKUP('Données projet'!$B$15,Paramètres!$A$1:$I$89,5,0)</f>
        <v>266.86660000000006</v>
      </c>
      <c r="EL37" s="13">
        <f t="shared" si="45"/>
        <v>64.183831628008477</v>
      </c>
      <c r="EM37" s="20">
        <f t="shared" si="19"/>
        <v>576.57950175211477</v>
      </c>
      <c r="EN37" s="59">
        <f t="shared" si="20"/>
        <v>869.91283508544802</v>
      </c>
      <c r="EO37" s="59">
        <f ca="1">AVERAGE(OFFSET($EN$3,0,0,'Données projet'!$E$15+1,1))-AVERAGE(OFFSET($H$3,0,0,'Données projet'!$E$15+1,1))</f>
        <v>443.34220761968419</v>
      </c>
      <c r="EP37" s="59">
        <f t="shared" si="46"/>
        <v>546.58234447298014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19.634437154335583</v>
      </c>
      <c r="EX37" s="21">
        <f>EXP(-LN(2)/2)*EX36+(1-EXP(-LN(2)/2))/(LN(2)/2)*ER37*EU37*VLOOKUP('Données projet'!$B$15,Paramètres!$A$1:$I$89,3,0)*0.475*44/12</f>
        <v>1.5104492101860698</v>
      </c>
      <c r="EY37" s="22">
        <f t="shared" si="21"/>
        <v>21.144886364521653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222</v>
      </c>
      <c r="L38" s="12">
        <f>VLOOKUP(A38,'Données projet'!$A$35:$I$55,9,0)</f>
        <v>13.6</v>
      </c>
      <c r="M38" s="12">
        <f t="array" ref="M38">INDEX(L:L,MIN(IF(ISNUMBER(L38:L234),ROW(L38:L234),"")))</f>
        <v>13.6</v>
      </c>
      <c r="N38" s="13">
        <f>IF('Données projet'!$A$36&gt;35,N37+M38-V37,IF(A38&lt;'Données projet'!$A$36,$K$205^A38,IF(A38='Données projet'!$A$36,'Données projet'!$B$36,N37+M38-V37)))</f>
        <v>222.00000000000009</v>
      </c>
      <c r="O38" s="13">
        <f>N38*VLOOKUP('Données projet'!$B$9,Paramètres!$A$1:$I$89,3,0)*VLOOKUP('Données projet'!$B$9,Paramètres!$A$1:$I$89,5,0)</f>
        <v>193.93920000000011</v>
      </c>
      <c r="P38" s="13">
        <f t="shared" si="33"/>
        <v>48.409811198069384</v>
      </c>
      <c r="Q38" s="20">
        <f t="shared" si="53"/>
        <v>422.09119450330428</v>
      </c>
      <c r="R38" s="59">
        <f t="shared" si="0"/>
        <v>715.42452783663759</v>
      </c>
      <c r="S38" s="59">
        <f ca="1">AVERAGE(OFFSET($R$3,0,0,'Données projet'!$E$9+1,1))-AVERAGE(OFFSET($H$3,0,0,'Données projet'!$E$9+1,1))</f>
        <v>304.32767345253382</v>
      </c>
      <c r="T38" s="59">
        <f t="shared" si="34"/>
        <v>427.16091343339173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49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20.348119119408889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20.348119119408889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239</v>
      </c>
      <c r="AG38" s="12">
        <f>VLOOKUP(A38,'Données projet'!$A$61:$I$81,9,0)</f>
        <v>15.2</v>
      </c>
      <c r="AH38" s="12">
        <f t="array" ref="AH38">INDEX(AG:AG,MIN(IF(ISNUMBER(AG38:AG234),ROW(AG38:AG234),"")))</f>
        <v>15.2</v>
      </c>
      <c r="AI38" s="13">
        <f>IF('Données projet'!$A$62&gt;35,AI37+AH38-AQ37,IF(A38&lt;'Données projet'!$A$62,$AF$205^A38,IF(A38='Données projet'!$A$62,'Données projet'!$B$62,AI37+AH38-AQ37)))</f>
        <v>239</v>
      </c>
      <c r="AJ38" s="13">
        <f>AI38*VLOOKUP('Données projet'!$B$10,Paramètres!$A$1:$I$89,3,0)*VLOOKUP('Données projet'!$B$10,Paramètres!$A$1:$I$89,5,0)</f>
        <v>190.14840000000001</v>
      </c>
      <c r="AK38" s="13">
        <f t="shared" si="35"/>
        <v>47.572760493232991</v>
      </c>
      <c r="AL38" s="20">
        <f t="shared" si="4"/>
        <v>414.03102119238082</v>
      </c>
      <c r="AM38" s="59">
        <f t="shared" si="5"/>
        <v>707.36435452571413</v>
      </c>
      <c r="AN38" s="59">
        <f ca="1">AVERAGE(OFFSET($AM$3,0,0,'Données projet'!$E$10+1,1))-AVERAGE(OFFSET($H$3,0,0,'Données projet'!$E$10+1,1))</f>
        <v>405.40026823646758</v>
      </c>
      <c r="AO38" s="59">
        <f t="shared" si="36"/>
        <v>393.0787141050053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42</v>
      </c>
      <c r="AR38" s="16">
        <f>IF(ISNA(VLOOKUP(A38,'Données projet'!$A$61:$I$81,5,0)),0%,VLOOKUP(A38,'Données projet'!$A$61:$I$81,5,0)*VLOOKUP('Données projet'!$B$10,Paramètres!$A$1:$I$89,7,0))</f>
        <v>0.53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19.577942327869806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19.577942327869806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576</v>
      </c>
      <c r="BB38" s="12">
        <f>VLOOKUP(A38,'Données projet'!$A$87:$I$107,9,0)</f>
        <v>28.4</v>
      </c>
      <c r="BC38" s="12">
        <f t="array" ref="BC38">INDEX(BB:BB,MIN(IF(ISNUMBER(BB38:BB234),ROW(BB38:BB234),"")))</f>
        <v>28.4</v>
      </c>
      <c r="BD38" s="12">
        <f>IF('Données projet'!$A$88&gt;35,BD37+BC38-BL37,IF(A38&lt;'Données projet'!$A$88,$BA$205^A38,IF(A38='Données projet'!$A$88,'Données projet'!$B$88,BD37+BC38-BL37)))</f>
        <v>575.99999999999989</v>
      </c>
      <c r="BE38" s="13">
        <f>BD38*VLOOKUP('Données projet'!$B$11,Paramètres!$A$1:$I$89,3,0)*VLOOKUP('Données projet'!$B$11,Paramètres!$A$1:$I$89,5,0)</f>
        <v>321.98399999999992</v>
      </c>
      <c r="BF38" s="13">
        <f t="shared" si="37"/>
        <v>75.76601483154208</v>
      </c>
      <c r="BG38" s="20">
        <f t="shared" si="7"/>
        <v>692.74794249826891</v>
      </c>
      <c r="BH38" s="59">
        <f t="shared" si="8"/>
        <v>986.08127583160217</v>
      </c>
      <c r="BI38" s="59">
        <f ca="1">AVERAGE(OFFSET($BH$3,0,0,'Données projet'!$E$11+1,1))-AVERAGE(OFFSET($H$3,0,0,'Données projet'!$E$11+1,1))</f>
        <v>555.15881087162279</v>
      </c>
      <c r="BJ38" s="59">
        <f t="shared" si="38"/>
        <v>668.20427590250733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72</v>
      </c>
      <c r="BM38" s="16">
        <f>IF(ISNA(VLOOKUP(A38,'Données projet'!$A$87:$I$107,5,0)),0%,VLOOKUP(A38,'Données projet'!$A$87:$I$107,5,0)*VLOOKUP('Données projet'!$B$11,Paramètres!$A$1:$I$89,7,0))</f>
        <v>0.55000000000000004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29.365361411391842</v>
      </c>
      <c r="BQ38" s="21">
        <f>EXP(-LN(2)/25)*BQ37+(1-EXP(-LN(2)/25))/(LN(2)/25)*Calculateur!BL38*Calculateur!BN38*VLOOKUP('Données projet'!$B$11,Paramètres!$A$1:$I$89,3,0)*0.475*44/12</f>
        <v>50.301851420044933</v>
      </c>
      <c r="BR38" s="21">
        <f>EXP(-LN(2)/2)*BR37+(1-EXP(-LN(2)/2))/(LN(2)/2)*BL38*BO38*VLOOKUP('Données projet'!$B$11,Paramètres!$A$1:$I$89,3,0)*0.475*44/12</f>
        <v>0.15034563897685424</v>
      </c>
      <c r="BS38" s="22">
        <f t="shared" si="9"/>
        <v>79.81755847041363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239</v>
      </c>
      <c r="BW38" s="12">
        <f>VLOOKUP(A38,'Données projet'!$A$113:$I$133,9,0)</f>
        <v>15.2</v>
      </c>
      <c r="BX38" s="12">
        <f t="array" ref="BX38">INDEX(BW:BW,MIN(IF(ISNUMBER(BW38:BW234),ROW(BW38:BW234),"")))</f>
        <v>15.2</v>
      </c>
      <c r="BY38" s="12">
        <f>IF('Données projet'!$A$114&gt;35,BY37+BX38-CG37,IF(A38&lt;'Données projet'!$A$114,$BV$205^A38,IF(A38='Données projet'!$A$114,'Données projet'!$B$114,BY37+BX38-CG37)))</f>
        <v>239</v>
      </c>
      <c r="BZ38" s="13">
        <f>BY38*VLOOKUP('Données projet'!$B$12,Paramètres!$A$1:$I$89,3,0)*VLOOKUP('Données projet'!$B$12,Paramètres!$A$1:$I$89,5,0)</f>
        <v>156.59280000000001</v>
      </c>
      <c r="CA38" s="13">
        <f t="shared" si="39"/>
        <v>40.073051842658209</v>
      </c>
      <c r="CB38" s="20">
        <f t="shared" si="10"/>
        <v>342.52635862596304</v>
      </c>
      <c r="CC38" s="59">
        <f t="shared" si="11"/>
        <v>635.85969195929636</v>
      </c>
      <c r="CD38" s="59">
        <f ca="1">AVERAGE(OFFSET($CC$3,0,0,'Données projet'!$E$12+1,1))-AVERAGE(OFFSET($H$3,0,0,'Données projet'!$E$12+1,1))</f>
        <v>340.49092994349405</v>
      </c>
      <c r="CE38" s="59">
        <f t="shared" si="40"/>
        <v>331.54434271908832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42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13.080933719619999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13.080933719619999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147</v>
      </c>
      <c r="CR38" s="12">
        <f>VLOOKUP(A38,'Données projet'!$A$139:$I$159,9,0)</f>
        <v>10.8</v>
      </c>
      <c r="CS38" s="12">
        <f t="array" ref="CS38">INDEX(CR:CR,MIN(IF(ISNUMBER(CR38:CR234),ROW(CR38:CR234),"")))</f>
        <v>10.8</v>
      </c>
      <c r="CT38" s="12">
        <f>IF('Données projet'!$A$140&gt;35,CT37+CS38-DB37,IF(A38&lt;'Données projet'!$A$140,$CQ$205^A38,IF(A38='Données projet'!$A$140,'Données projet'!$B$140,CT37+CS38-DB37)))</f>
        <v>147.00000000000006</v>
      </c>
      <c r="CU38" s="17">
        <f>CT38*VLOOKUP('Données projet'!$B$13,Paramètres!$A$1:$I$89,3,0)*VLOOKUP('Données projet'!$B$13,Paramètres!$A$1:$I$89,5,0)</f>
        <v>133.00560000000004</v>
      </c>
      <c r="CV38" s="13">
        <f t="shared" si="41"/>
        <v>34.689938673073549</v>
      </c>
      <c r="CW38" s="20">
        <f t="shared" si="13"/>
        <v>292.06972985560316</v>
      </c>
      <c r="CX38" s="59">
        <f t="shared" si="14"/>
        <v>585.40306318893647</v>
      </c>
      <c r="CY38" s="59">
        <f ca="1">AVERAGE(OFFSET($CX$3,0,0,'Données projet'!$E$13+1,1))-AVERAGE(OFFSET($H$3,0,0,'Données projet'!$E$13+1,1))</f>
        <v>439.19854273764042</v>
      </c>
      <c r="CZ38" s="59">
        <f t="shared" si="42"/>
        <v>278.21741231699929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28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12.042764376793015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12.042764376793015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147</v>
      </c>
      <c r="DM38" s="12">
        <f>VLOOKUP(A38,'Données projet'!$A$165:$I$185,9,0)</f>
        <v>10.8</v>
      </c>
      <c r="DN38" s="12">
        <f t="array" ref="DN38">INDEX(DM:DM,MIN(IF(ISNUMBER(DM38:DM234),ROW(DM38:DM234),"")))</f>
        <v>10.8</v>
      </c>
      <c r="DO38" s="12">
        <f>IF('Données projet'!$A$166&gt;35,DO37+DN38-DW37,IF(A38&lt;'Données projet'!$A$166,$DL$205^A38,IF(A38='Données projet'!$A$166,'Données projet'!$B$166,DO37+DN38-DW37)))</f>
        <v>147.00000000000006</v>
      </c>
      <c r="DP38" s="17">
        <f>DO38*VLOOKUP('Données projet'!$B$14,Paramètres!$A$1:$I$89,3,0)*VLOOKUP('Données projet'!$B$14,Paramètres!$A$1:$I$89,5,0)</f>
        <v>123.83280000000006</v>
      </c>
      <c r="DQ38" s="13">
        <f t="shared" si="43"/>
        <v>32.567294628684579</v>
      </c>
      <c r="DR38" s="20">
        <f t="shared" si="16"/>
        <v>272.39683147829243</v>
      </c>
      <c r="DS38" s="59">
        <f t="shared" si="17"/>
        <v>565.73016481162574</v>
      </c>
      <c r="DT38" s="59">
        <f ca="1">AVERAGE(OFFSET($DS$3,0,0,'Données projet'!$E$14+1,1))-AVERAGE(OFFSET($H$3,0,0,'Données projet'!$E$14+1,1))</f>
        <v>411.72284844766</v>
      </c>
      <c r="DU38" s="59">
        <f t="shared" si="44"/>
        <v>261.95434270986397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28</v>
      </c>
      <c r="DX38" s="16">
        <f>IF(ISNA(VLOOKUP(A38,'Données projet'!$A$165:$I$185,5,0)),0%,VLOOKUP(A38,'Données projet'!$A$165:$I$185,5,0)*VLOOKUP('Données projet'!$B$14,Paramètres!$A$1:$I$89,7,0))</f>
        <v>0.43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11.212228902531429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11.212228902531429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505</v>
      </c>
      <c r="EH38" s="12">
        <f>VLOOKUP(A38,'Données projet'!$A$191:$I$211,9,0)</f>
        <v>27.6</v>
      </c>
      <c r="EI38" s="12">
        <f t="array" ref="EI38">INDEX(EH:EH,MIN(IF(ISNUMBER(EH38:EH234),ROW(EH38:EH234),"")))</f>
        <v>27.6</v>
      </c>
      <c r="EJ38" s="12">
        <f>IF('Données projet'!$A$192&gt;35,EJ37+EI38-ER37,IF(A38&lt;'Données projet'!$A$192,$EG$205^A38,IF(A38='Données projet'!$A$192,'Données projet'!$B$192,EJ37+EI38-ER37)))</f>
        <v>505.00000000000011</v>
      </c>
      <c r="EK38" s="17">
        <f>EJ38*VLOOKUP('Données projet'!$B$15,Paramètres!$A$1:$I$89,3,0)*VLOOKUP('Données projet'!$B$15,Paramètres!$A$1:$I$89,5,0)</f>
        <v>282.29500000000007</v>
      </c>
      <c r="EL38" s="13">
        <f t="shared" si="45"/>
        <v>67.451777696853824</v>
      </c>
      <c r="EM38" s="20">
        <f t="shared" si="19"/>
        <v>609.14230448868716</v>
      </c>
      <c r="EN38" s="59">
        <f t="shared" si="20"/>
        <v>902.47563782202042</v>
      </c>
      <c r="EO38" s="59">
        <f ca="1">AVERAGE(OFFSET($EN$3,0,0,'Données projet'!$E$15+1,1))-AVERAGE(OFFSET($H$3,0,0,'Données projet'!$E$15+1,1))</f>
        <v>443.34220761968419</v>
      </c>
      <c r="EP38" s="59">
        <f t="shared" si="46"/>
        <v>546.58234447298014</v>
      </c>
      <c r="EQ38" s="15">
        <f>IF(ISNA(VLOOKUP(A38,'Données projet'!$A$191:$I$211,3,0)),0,VLOOKUP(A38,'Données projet'!$A$191:$I$211,3,0))</f>
        <v>3</v>
      </c>
      <c r="ER38" s="15">
        <f>IF(ISNA(VLOOKUP(A38,'Données projet'!$A$191:$I$211,4,0)),0,VLOOKUP(A38,'Données projet'!$A$191:$I$211,4,0))</f>
        <v>69</v>
      </c>
      <c r="ES38" s="16">
        <f>IF(ISNA(VLOOKUP(A38,'Données projet'!$A$191:$I$211,5,0)),0%,VLOOKUP(A38,'Données projet'!$A$191:$I$211,5,0)*VLOOKUP('Données projet'!$B$15,Paramètres!$A$1:$I$89,7,0))</f>
        <v>0.55000000000000004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28.14180468591718</v>
      </c>
      <c r="EW38" s="21">
        <f>EXP(-LN(2)/25)*EW37+(1-EXP(-LN(2)/25))/(LN(2)/25)*Calculateur!ER38*Calculateur!ET38*VLOOKUP('Données projet'!$B$15,Paramètres!$A$1:$I$89,3,0)*0.475*44/12</f>
        <v>19.097532437820103</v>
      </c>
      <c r="EX38" s="21">
        <f>EXP(-LN(2)/2)*EX37+(1-EXP(-LN(2)/2))/(LN(2)/2)*ER38*EU38*VLOOKUP('Données projet'!$B$15,Paramètres!$A$1:$I$89,3,0)*0.475*44/12</f>
        <v>1.0680488791604348</v>
      </c>
      <c r="EY38" s="22">
        <f t="shared" si="21"/>
        <v>48.307386002897722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12.4</v>
      </c>
      <c r="N39" s="13">
        <f>IF('Données projet'!$A$36&gt;35,N38+M39-V38,IF(A39&lt;'Données projet'!$A$36,$K$205^A39,IF(A39='Données projet'!$A$36,'Données projet'!$B$36,N38+M39-V38)))</f>
        <v>185.40000000000009</v>
      </c>
      <c r="O39" s="13">
        <f>N39*VLOOKUP('Données projet'!$B$9,Paramètres!$A$1:$I$89,3,0)*VLOOKUP('Données projet'!$B$9,Paramètres!$A$1:$I$89,5,0)</f>
        <v>161.96544000000009</v>
      </c>
      <c r="P39" s="13">
        <f t="shared" si="33"/>
        <v>41.285510388923619</v>
      </c>
      <c r="Q39" s="20">
        <f t="shared" si="53"/>
        <v>353.99540526070876</v>
      </c>
      <c r="R39" s="59">
        <f t="shared" si="0"/>
        <v>647.32873859404208</v>
      </c>
      <c r="S39" s="59">
        <f ca="1">AVERAGE(OFFSET($R$3,0,0,'Données projet'!$E$9+1,1))-AVERAGE(OFFSET($H$3,0,0,'Données projet'!$E$9+1,1))</f>
        <v>304.32767345253382</v>
      </c>
      <c r="T39" s="59">
        <f t="shared" si="34"/>
        <v>427.16091343339173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19.949104914604447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19.949104914604447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13.2</v>
      </c>
      <c r="AI39" s="13">
        <f>IF('Données projet'!$A$62&gt;35,AI38+AH39-AQ38,IF(A39&lt;'Données projet'!$A$62,$AF$205^A39,IF(A39='Données projet'!$A$62,'Données projet'!$B$62,AI38+AH39-AQ38)))</f>
        <v>210.2</v>
      </c>
      <c r="AJ39" s="13">
        <f>AI39*VLOOKUP('Données projet'!$B$10,Paramètres!$A$1:$I$89,3,0)*VLOOKUP('Données projet'!$B$10,Paramètres!$A$1:$I$89,5,0)</f>
        <v>167.23511999999999</v>
      </c>
      <c r="AK39" s="13">
        <f t="shared" si="35"/>
        <v>42.470192710511604</v>
      </c>
      <c r="AL39" s="20">
        <f t="shared" si="4"/>
        <v>365.23675297080769</v>
      </c>
      <c r="AM39" s="59">
        <f t="shared" si="5"/>
        <v>658.570086304141</v>
      </c>
      <c r="AN39" s="59">
        <f ca="1">AVERAGE(OFFSET($AM$3,0,0,'Données projet'!$E$10+1,1))-AVERAGE(OFFSET($H$3,0,0,'Données projet'!$E$10+1,1))</f>
        <v>405.40026823646758</v>
      </c>
      <c r="AO39" s="59">
        <f t="shared" si="36"/>
        <v>393.0787141050053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19.194030820185986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19.194030820185986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27</v>
      </c>
      <c r="BD39" s="12">
        <f>IF('Données projet'!$A$88&gt;35,BD38+BC39-BL38,IF(A39&lt;'Données projet'!$A$88,$BA$205^A39,IF(A39='Données projet'!$A$88,'Données projet'!$B$88,BD38+BC39-BL38)))</f>
        <v>530.99999999999989</v>
      </c>
      <c r="BE39" s="13">
        <f>BD39*VLOOKUP('Données projet'!$B$11,Paramètres!$A$1:$I$89,3,0)*VLOOKUP('Données projet'!$B$11,Paramètres!$A$1:$I$89,5,0)</f>
        <v>296.82899999999995</v>
      </c>
      <c r="BF39" s="13">
        <f t="shared" si="37"/>
        <v>70.511289513454344</v>
      </c>
      <c r="BG39" s="20">
        <f t="shared" si="7"/>
        <v>639.78433756926631</v>
      </c>
      <c r="BH39" s="59">
        <f t="shared" si="8"/>
        <v>933.11767090259968</v>
      </c>
      <c r="BI39" s="59">
        <f ca="1">AVERAGE(OFFSET($BH$3,0,0,'Données projet'!$E$11+1,1))-AVERAGE(OFFSET($H$3,0,0,'Données projet'!$E$11+1,1))</f>
        <v>555.15881087162279</v>
      </c>
      <c r="BJ39" s="59">
        <f t="shared" si="38"/>
        <v>668.20427590250733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28.789524585216334</v>
      </c>
      <c r="BQ39" s="21">
        <f>EXP(-LN(2)/25)*BQ38+(1-EXP(-LN(2)/25))/(LN(2)/25)*Calculateur!BL39*Calculateur!BN39*VLOOKUP('Données projet'!$B$11,Paramètres!$A$1:$I$89,3,0)*0.475*44/12</f>
        <v>48.926344647704404</v>
      </c>
      <c r="BR39" s="21">
        <f>EXP(-LN(2)/2)*BR38+(1-EXP(-LN(2)/2))/(LN(2)/2)*BL39*BO39*VLOOKUP('Données projet'!$B$11,Paramètres!$A$1:$I$89,3,0)*0.475*44/12</f>
        <v>0.10631042084235814</v>
      </c>
      <c r="BS39" s="22">
        <f t="shared" si="9"/>
        <v>77.822179653763101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13.2</v>
      </c>
      <c r="BY39" s="12">
        <f>IF('Données projet'!$A$114&gt;35,BY38+BX39-CG38,IF(A39&lt;'Données projet'!$A$114,$BV$205^A39,IF(A39='Données projet'!$A$114,'Données projet'!$B$114,BY38+BX39-CG38)))</f>
        <v>210.2</v>
      </c>
      <c r="BZ39" s="13">
        <f>BY39*VLOOKUP('Données projet'!$B$12,Paramètres!$A$1:$I$89,3,0)*VLOOKUP('Données projet'!$B$12,Paramètres!$A$1:$I$89,5,0)</f>
        <v>137.72304</v>
      </c>
      <c r="CA39" s="13">
        <f t="shared" si="39"/>
        <v>35.774889172094717</v>
      </c>
      <c r="CB39" s="20">
        <f t="shared" si="10"/>
        <v>302.17555997473158</v>
      </c>
      <c r="CC39" s="59">
        <f t="shared" si="11"/>
        <v>595.5088933080649</v>
      </c>
      <c r="CD39" s="59">
        <f ca="1">AVERAGE(OFFSET($CC$3,0,0,'Données projet'!$E$12+1,1))-AVERAGE(OFFSET($H$3,0,0,'Données projet'!$E$12+1,1))</f>
        <v>340.49092994349405</v>
      </c>
      <c r="CE39" s="59">
        <f t="shared" si="40"/>
        <v>331.54434271908832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12.824424587960001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12.824424587960001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11.2</v>
      </c>
      <c r="CT39" s="12">
        <f>IF('Données projet'!$A$140&gt;35,CT38+CS39-DB38,IF(A39&lt;'Données projet'!$A$140,$CQ$205^A39,IF(A39='Données projet'!$A$140,'Données projet'!$B$140,CT38+CS39-DB38)))</f>
        <v>130.20000000000005</v>
      </c>
      <c r="CU39" s="17">
        <f>CT39*VLOOKUP('Données projet'!$B$13,Paramètres!$A$1:$I$89,3,0)*VLOOKUP('Données projet'!$B$13,Paramètres!$A$1:$I$89,5,0)</f>
        <v>117.80496000000004</v>
      </c>
      <c r="CV39" s="13">
        <f t="shared" si="41"/>
        <v>31.162493487829593</v>
      </c>
      <c r="CW39" s="20">
        <f t="shared" si="13"/>
        <v>259.45164815796994</v>
      </c>
      <c r="CX39" s="59">
        <f t="shared" si="14"/>
        <v>552.78498149130326</v>
      </c>
      <c r="CY39" s="59">
        <f ca="1">AVERAGE(OFFSET($CX$3,0,0,'Données projet'!$E$13+1,1))-AVERAGE(OFFSET($H$3,0,0,'Données projet'!$E$13+1,1))</f>
        <v>439.19854273764042</v>
      </c>
      <c r="CZ39" s="59">
        <f t="shared" si="42"/>
        <v>278.21741231699929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11.80661311272508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11.80661311272508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11.2</v>
      </c>
      <c r="DO39" s="12">
        <f>IF('Données projet'!$A$166&gt;35,DO38+DN39-DW38,IF(A39&lt;'Données projet'!$A$166,$DL$205^A39,IF(A39='Données projet'!$A$166,'Données projet'!$B$166,DO38+DN39-DW38)))</f>
        <v>130.20000000000005</v>
      </c>
      <c r="DP39" s="17">
        <f>DO39*VLOOKUP('Données projet'!$B$14,Paramètres!$A$1:$I$89,3,0)*VLOOKUP('Données projet'!$B$14,Paramètres!$A$1:$I$89,5,0)</f>
        <v>109.68048000000006</v>
      </c>
      <c r="DQ39" s="13">
        <f t="shared" si="43"/>
        <v>29.255690427909659</v>
      </c>
      <c r="DR39" s="20">
        <f t="shared" si="16"/>
        <v>241.9804968286094</v>
      </c>
      <c r="DS39" s="59">
        <f t="shared" si="17"/>
        <v>535.31383016194275</v>
      </c>
      <c r="DT39" s="59">
        <f ca="1">AVERAGE(OFFSET($DS$3,0,0,'Données projet'!$E$14+1,1))-AVERAGE(OFFSET($H$3,0,0,'Données projet'!$E$14+1,1))</f>
        <v>411.72284844766</v>
      </c>
      <c r="DU39" s="59">
        <f t="shared" si="44"/>
        <v>261.95434270986397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10.992363932537144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10.992363932537144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25.6</v>
      </c>
      <c r="EJ39" s="12">
        <f>IF('Données projet'!$A$192&gt;35,EJ38+EI39-ER38,IF(A39&lt;'Données projet'!$A$192,$EG$205^A39,IF(A39='Données projet'!$A$192,'Données projet'!$B$192,EJ38+EI39-ER38)))</f>
        <v>461.60000000000014</v>
      </c>
      <c r="EK39" s="17">
        <f>EJ39*VLOOKUP('Données projet'!$B$15,Paramètres!$A$1:$I$89,3,0)*VLOOKUP('Données projet'!$B$15,Paramètres!$A$1:$I$89,5,0)</f>
        <v>258.03440000000006</v>
      </c>
      <c r="EL39" s="13">
        <f t="shared" si="45"/>
        <v>62.303206596431174</v>
      </c>
      <c r="EM39" s="20">
        <f t="shared" si="19"/>
        <v>557.9213314887844</v>
      </c>
      <c r="EN39" s="59">
        <f t="shared" si="20"/>
        <v>851.25466482211777</v>
      </c>
      <c r="EO39" s="59">
        <f ca="1">AVERAGE(OFFSET($EN$3,0,0,'Données projet'!$E$15+1,1))-AVERAGE(OFFSET($H$3,0,0,'Données projet'!$E$15+1,1))</f>
        <v>443.34220761968419</v>
      </c>
      <c r="EP39" s="59">
        <f t="shared" si="46"/>
        <v>546.58234447298014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27.589961060832319</v>
      </c>
      <c r="EW39" s="21">
        <f>EXP(-LN(2)/25)*EW38+(1-EXP(-LN(2)/25))/(LN(2)/25)*Calculateur!ER39*Calculateur!ET39*VLOOKUP('Données projet'!$B$15,Paramètres!$A$1:$I$89,3,0)*0.475*44/12</f>
        <v>18.575309409012331</v>
      </c>
      <c r="EX39" s="21">
        <f>EXP(-LN(2)/2)*EX38+(1-EXP(-LN(2)/2))/(LN(2)/2)*ER39*EU39*VLOOKUP('Données projet'!$B$15,Paramètres!$A$1:$I$89,3,0)*0.475*44/12</f>
        <v>0.75522460509303491</v>
      </c>
      <c r="EY39" s="22">
        <f t="shared" si="21"/>
        <v>46.920495074937683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12.4</v>
      </c>
      <c r="N40" s="13">
        <f>IF('Données projet'!$A$36&gt;35,N39+M40-V39,IF(A40&lt;'Données projet'!$A$36,$K$205^A40,IF(A40='Données projet'!$A$36,'Données projet'!$B$36,N39+M40-V39)))</f>
        <v>197.8000000000001</v>
      </c>
      <c r="O40" s="13">
        <f>N40*VLOOKUP('Données projet'!$B$9,Paramètres!$A$1:$I$89,3,0)*VLOOKUP('Données projet'!$B$9,Paramètres!$A$1:$I$89,5,0)</f>
        <v>172.79808000000011</v>
      </c>
      <c r="P40" s="13">
        <f t="shared" si="33"/>
        <v>43.716103757502459</v>
      </c>
      <c r="Q40" s="20">
        <f t="shared" si="53"/>
        <v>377.09553671098365</v>
      </c>
      <c r="R40" s="59">
        <f t="shared" si="0"/>
        <v>670.42887004431691</v>
      </c>
      <c r="S40" s="59">
        <f ca="1">AVERAGE(OFFSET($R$3,0,0,'Données projet'!$E$9+1,1))-AVERAGE(OFFSET($H$3,0,0,'Données projet'!$E$9+1,1))</f>
        <v>304.32767345253382</v>
      </c>
      <c r="T40" s="59">
        <f t="shared" si="34"/>
        <v>427.16091343339173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19.557915134981588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19.557915134981588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13.2</v>
      </c>
      <c r="AI40" s="13">
        <f>IF('Données projet'!$A$62&gt;35,AI39+AH40-AQ39,IF(A40&lt;'Données projet'!$A$62,$AF$205^A40,IF(A40='Données projet'!$A$62,'Données projet'!$B$62,AI39+AH40-AQ39)))</f>
        <v>223.39999999999998</v>
      </c>
      <c r="AJ40" s="13">
        <f>AI40*VLOOKUP('Données projet'!$B$10,Paramètres!$A$1:$I$89,3,0)*VLOOKUP('Données projet'!$B$10,Paramètres!$A$1:$I$89,5,0)</f>
        <v>177.73703999999998</v>
      </c>
      <c r="AK40" s="13">
        <f t="shared" si="35"/>
        <v>44.818349142210366</v>
      </c>
      <c r="AL40" s="20">
        <f t="shared" si="4"/>
        <v>387.61730275601627</v>
      </c>
      <c r="AM40" s="59">
        <f t="shared" si="5"/>
        <v>680.95063608934959</v>
      </c>
      <c r="AN40" s="59">
        <f ca="1">AVERAGE(OFFSET($AM$3,0,0,'Données projet'!$E$10+1,1))-AVERAGE(OFFSET($H$3,0,0,'Données projet'!$E$10+1,1))</f>
        <v>405.40026823646758</v>
      </c>
      <c r="AO40" s="59">
        <f t="shared" si="36"/>
        <v>393.0787141050053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18.817647583004948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18.817647583004948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27</v>
      </c>
      <c r="BD40" s="12">
        <f>IF('Données projet'!$A$88&gt;35,BD39+BC40-BL39,IF(A40&lt;'Données projet'!$A$88,$BA$205^A40,IF(A40='Données projet'!$A$88,'Données projet'!$B$88,BD39+BC40-BL39)))</f>
        <v>557.99999999999989</v>
      </c>
      <c r="BE40" s="13">
        <f>BD40*VLOOKUP('Données projet'!$B$11,Paramètres!$A$1:$I$89,3,0)*VLOOKUP('Données projet'!$B$11,Paramètres!$A$1:$I$89,5,0)</f>
        <v>311.92199999999991</v>
      </c>
      <c r="BF40" s="13">
        <f t="shared" si="37"/>
        <v>73.670075764965745</v>
      </c>
      <c r="BG40" s="20">
        <f t="shared" si="7"/>
        <v>671.57286529064845</v>
      </c>
      <c r="BH40" s="59">
        <f t="shared" si="8"/>
        <v>964.90619862398171</v>
      </c>
      <c r="BI40" s="59">
        <f ca="1">AVERAGE(OFFSET($BH$3,0,0,'Données projet'!$E$11+1,1))-AVERAGE(OFFSET($H$3,0,0,'Données projet'!$E$11+1,1))</f>
        <v>555.15881087162279</v>
      </c>
      <c r="BJ40" s="59">
        <f t="shared" si="38"/>
        <v>668.20427590250733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28.224979567976344</v>
      </c>
      <c r="BQ40" s="21">
        <f>EXP(-LN(2)/25)*BQ39+(1-EXP(-LN(2)/25))/(LN(2)/25)*Calculateur!BL40*Calculateur!BN40*VLOOKUP('Données projet'!$B$11,Paramètres!$A$1:$I$89,3,0)*0.475*44/12</f>
        <v>47.588451180388283</v>
      </c>
      <c r="BR40" s="21">
        <f>EXP(-LN(2)/2)*BR39+(1-EXP(-LN(2)/2))/(LN(2)/2)*BL40*BO40*VLOOKUP('Données projet'!$B$11,Paramètres!$A$1:$I$89,3,0)*0.475*44/12</f>
        <v>7.517281948842712E-2</v>
      </c>
      <c r="BS40" s="22">
        <f t="shared" si="9"/>
        <v>75.888603567853053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13.2</v>
      </c>
      <c r="BY40" s="12">
        <f>IF('Données projet'!$A$114&gt;35,BY39+BX40-CG39,IF(A40&lt;'Données projet'!$A$114,$BV$205^A40,IF(A40='Données projet'!$A$114,'Données projet'!$B$114,BY39+BX40-CG39)))</f>
        <v>223.39999999999998</v>
      </c>
      <c r="BZ40" s="13">
        <f>BY40*VLOOKUP('Données projet'!$B$12,Paramètres!$A$1:$I$89,3,0)*VLOOKUP('Données projet'!$B$12,Paramètres!$A$1:$I$89,5,0)</f>
        <v>146.37168</v>
      </c>
      <c r="CA40" s="13">
        <f t="shared" si="39"/>
        <v>37.752865506588051</v>
      </c>
      <c r="CB40" s="20">
        <f t="shared" si="10"/>
        <v>320.6835834239742</v>
      </c>
      <c r="CC40" s="59">
        <f t="shared" si="11"/>
        <v>614.01691675730751</v>
      </c>
      <c r="CD40" s="59">
        <f ca="1">AVERAGE(OFFSET($CC$3,0,0,'Données projet'!$E$12+1,1))-AVERAGE(OFFSET($H$3,0,0,'Données projet'!$E$12+1,1))</f>
        <v>340.49092994349405</v>
      </c>
      <c r="CE40" s="59">
        <f t="shared" si="40"/>
        <v>331.54434271908832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12.572945443916733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12.572945443916733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11.2</v>
      </c>
      <c r="CT40" s="12">
        <f>IF('Données projet'!$A$140&gt;35,CT39+CS40-DB39,IF(A40&lt;'Données projet'!$A$140,$CQ$205^A40,IF(A40='Données projet'!$A$140,'Données projet'!$B$140,CT39+CS40-DB39)))</f>
        <v>141.40000000000003</v>
      </c>
      <c r="CU40" s="17">
        <f>CT40*VLOOKUP('Données projet'!$B$13,Paramètres!$A$1:$I$89,3,0)*VLOOKUP('Données projet'!$B$13,Paramètres!$A$1:$I$89,5,0)</f>
        <v>127.93872000000003</v>
      </c>
      <c r="CV40" s="13">
        <f t="shared" si="41"/>
        <v>33.519615889545641</v>
      </c>
      <c r="CW40" s="20">
        <f t="shared" si="13"/>
        <v>281.20660167429202</v>
      </c>
      <c r="CX40" s="59">
        <f t="shared" si="14"/>
        <v>574.53993500762533</v>
      </c>
      <c r="CY40" s="59">
        <f ca="1">AVERAGE(OFFSET($CX$3,0,0,'Données projet'!$E$13+1,1))-AVERAGE(OFFSET($H$3,0,0,'Données projet'!$E$13+1,1))</f>
        <v>439.19854273764042</v>
      </c>
      <c r="CZ40" s="59">
        <f t="shared" si="42"/>
        <v>278.21741231699929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11.575092630907468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11.575092630907468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11.2</v>
      </c>
      <c r="DO40" s="12">
        <f>IF('Données projet'!$A$166&gt;35,DO39+DN40-DW39,IF(A40&lt;'Données projet'!$A$166,$DL$205^A40,IF(A40='Données projet'!$A$166,'Données projet'!$B$166,DO39+DN40-DW39)))</f>
        <v>141.40000000000003</v>
      </c>
      <c r="DP40" s="17">
        <f>DO40*VLOOKUP('Données projet'!$B$14,Paramètres!$A$1:$I$89,3,0)*VLOOKUP('Données projet'!$B$14,Paramètres!$A$1:$I$89,5,0)</f>
        <v>119.11536000000004</v>
      </c>
      <c r="DQ40" s="13">
        <f t="shared" si="43"/>
        <v>31.468582772748093</v>
      </c>
      <c r="DR40" s="20">
        <f t="shared" si="16"/>
        <v>262.26703366253628</v>
      </c>
      <c r="DS40" s="59">
        <f t="shared" si="17"/>
        <v>555.60036699586954</v>
      </c>
      <c r="DT40" s="59">
        <f ca="1">AVERAGE(OFFSET($DS$3,0,0,'Données projet'!$E$14+1,1))-AVERAGE(OFFSET($H$3,0,0,'Données projet'!$E$14+1,1))</f>
        <v>411.72284844766</v>
      </c>
      <c r="DU40" s="59">
        <f t="shared" si="44"/>
        <v>261.95434270986397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10.776810380500057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10.776810380500057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25.6</v>
      </c>
      <c r="EJ40" s="12">
        <f>IF('Données projet'!$A$192&gt;35,EJ39+EI40-ER39,IF(A40&lt;'Données projet'!$A$192,$EG$205^A40,IF(A40='Données projet'!$A$192,'Données projet'!$B$192,EJ39+EI40-ER39)))</f>
        <v>487.20000000000016</v>
      </c>
      <c r="EK40" s="17">
        <f>EJ40*VLOOKUP('Données projet'!$B$15,Paramètres!$A$1:$I$89,3,0)*VLOOKUP('Données projet'!$B$15,Paramètres!$A$1:$I$89,5,0)</f>
        <v>272.34480000000008</v>
      </c>
      <c r="EL40" s="13">
        <f t="shared" si="45"/>
        <v>65.346644318451709</v>
      </c>
      <c r="EM40" s="20">
        <f t="shared" si="19"/>
        <v>588.14593218797006</v>
      </c>
      <c r="EN40" s="59">
        <f t="shared" si="20"/>
        <v>881.47926552130343</v>
      </c>
      <c r="EO40" s="59">
        <f ca="1">AVERAGE(OFFSET($EN$3,0,0,'Données projet'!$E$15+1,1))-AVERAGE(OFFSET($H$3,0,0,'Données projet'!$E$15+1,1))</f>
        <v>443.34220761968419</v>
      </c>
      <c r="EP40" s="59">
        <f t="shared" si="46"/>
        <v>546.58234447298014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27.048938752643995</v>
      </c>
      <c r="EW40" s="21">
        <f>EXP(-LN(2)/25)*EW39+(1-EXP(-LN(2)/25))/(LN(2)/25)*Calculateur!ER40*Calculateur!ET40*VLOOKUP('Données projet'!$B$15,Paramètres!$A$1:$I$89,3,0)*0.475*44/12</f>
        <v>18.067366596389821</v>
      </c>
      <c r="EX40" s="21">
        <f>EXP(-LN(2)/2)*EX39+(1-EXP(-LN(2)/2))/(LN(2)/2)*ER40*EU40*VLOOKUP('Données projet'!$B$15,Paramètres!$A$1:$I$89,3,0)*0.475*44/12</f>
        <v>0.53402443958021739</v>
      </c>
      <c r="EY40" s="22">
        <f t="shared" si="21"/>
        <v>45.65032978861403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12.4</v>
      </c>
      <c r="N41" s="13">
        <f>IF('Données projet'!$A$36&gt;35,N40+M41-V40,IF(A41&lt;'Données projet'!$A$36,$K$205^A41,IF(A41='Données projet'!$A$36,'Données projet'!$B$36,N40+M41-V40)))</f>
        <v>210.2000000000001</v>
      </c>
      <c r="O41" s="13">
        <f>N41*VLOOKUP('Données projet'!$B$9,Paramètres!$A$1:$I$89,3,0)*VLOOKUP('Données projet'!$B$9,Paramètres!$A$1:$I$89,5,0)</f>
        <v>183.63072000000011</v>
      </c>
      <c r="P41" s="13">
        <f t="shared" si="33"/>
        <v>46.129013251634483</v>
      </c>
      <c r="Q41" s="20">
        <f t="shared" si="53"/>
        <v>400.16486874659694</v>
      </c>
      <c r="R41" s="59">
        <f t="shared" si="0"/>
        <v>693.49820207993025</v>
      </c>
      <c r="S41" s="59">
        <f ca="1">AVERAGE(OFFSET($R$3,0,0,'Données projet'!$E$9+1,1))-AVERAGE(OFFSET($H$3,0,0,'Données projet'!$E$9+1,1))</f>
        <v>304.32767345253382</v>
      </c>
      <c r="T41" s="59">
        <f t="shared" si="34"/>
        <v>427.16091343339173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19.174396348334927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19.174396348334927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13.2</v>
      </c>
      <c r="AI41" s="13">
        <f>IF('Données projet'!$A$62&gt;35,AI40+AH41-AQ40,IF(A41&lt;'Données projet'!$A$62,$AF$205^A41,IF(A41='Données projet'!$A$62,'Données projet'!$B$62,AI40+AH41-AQ40)))</f>
        <v>236.59999999999997</v>
      </c>
      <c r="AJ41" s="13">
        <f>AI41*VLOOKUP('Données projet'!$B$10,Paramètres!$A$1:$I$89,3,0)*VLOOKUP('Données projet'!$B$10,Paramètres!$A$1:$I$89,5,0)</f>
        <v>188.23895999999999</v>
      </c>
      <c r="AK41" s="13">
        <f t="shared" si="35"/>
        <v>47.150401158990007</v>
      </c>
      <c r="AL41" s="20">
        <f t="shared" si="4"/>
        <v>409.96980401857422</v>
      </c>
      <c r="AM41" s="59">
        <f t="shared" si="5"/>
        <v>703.30313735190748</v>
      </c>
      <c r="AN41" s="59">
        <f ca="1">AVERAGE(OFFSET($AM$3,0,0,'Données projet'!$E$10+1,1))-AVERAGE(OFFSET($H$3,0,0,'Données projet'!$E$10+1,1))</f>
        <v>405.40026823646758</v>
      </c>
      <c r="AO41" s="59">
        <f t="shared" si="36"/>
        <v>393.0787141050053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18.448644991533925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18.448644991533925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27</v>
      </c>
      <c r="BD41" s="12">
        <f>IF('Données projet'!$A$88&gt;35,BD40+BC41-BL40,IF(A41&lt;'Données projet'!$A$88,$BA$205^A41,IF(A41='Données projet'!$A$88,'Données projet'!$B$88,BD40+BC41-BL40)))</f>
        <v>584.99999999999989</v>
      </c>
      <c r="BE41" s="13">
        <f>BD41*VLOOKUP('Données projet'!$B$11,Paramètres!$A$1:$I$89,3,0)*VLOOKUP('Données projet'!$B$11,Paramètres!$A$1:$I$89,5,0)</f>
        <v>327.01499999999993</v>
      </c>
      <c r="BF41" s="13">
        <f t="shared" si="37"/>
        <v>76.811113612871907</v>
      </c>
      <c r="BG41" s="20">
        <f t="shared" si="7"/>
        <v>703.33048120908506</v>
      </c>
      <c r="BH41" s="59">
        <f t="shared" si="8"/>
        <v>996.66381454241832</v>
      </c>
      <c r="BI41" s="59">
        <f ca="1">AVERAGE(OFFSET($BH$3,0,0,'Données projet'!$E$11+1,1))-AVERAGE(OFFSET($H$3,0,0,'Données projet'!$E$11+1,1))</f>
        <v>555.15881087162279</v>
      </c>
      <c r="BJ41" s="59">
        <f t="shared" si="38"/>
        <v>668.20427590250733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27.671504934185972</v>
      </c>
      <c r="BQ41" s="21">
        <f>EXP(-LN(2)/25)*BQ40+(1-EXP(-LN(2)/25))/(LN(2)/25)*Calculateur!BL41*Calculateur!BN41*VLOOKUP('Données projet'!$B$11,Paramètres!$A$1:$I$89,3,0)*0.475*44/12</f>
        <v>46.28714248029268</v>
      </c>
      <c r="BR41" s="21">
        <f>EXP(-LN(2)/2)*BR40+(1-EXP(-LN(2)/2))/(LN(2)/2)*BL41*BO41*VLOOKUP('Données projet'!$B$11,Paramètres!$A$1:$I$89,3,0)*0.475*44/12</f>
        <v>5.3155210421179072E-2</v>
      </c>
      <c r="BS41" s="22">
        <f t="shared" si="9"/>
        <v>74.011802624899829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13.2</v>
      </c>
      <c r="BY41" s="12">
        <f>IF('Données projet'!$A$114&gt;35,BY40+BX41-CG40,IF(A41&lt;'Données projet'!$A$114,$BV$205^A41,IF(A41='Données projet'!$A$114,'Données projet'!$B$114,BY40+BX41-CG40)))</f>
        <v>236.59999999999997</v>
      </c>
      <c r="BZ41" s="13">
        <f>BY41*VLOOKUP('Données projet'!$B$12,Paramètres!$A$1:$I$89,3,0)*VLOOKUP('Données projet'!$B$12,Paramètres!$A$1:$I$89,5,0)</f>
        <v>155.02031999999997</v>
      </c>
      <c r="CA41" s="13">
        <f t="shared" si="39"/>
        <v>39.717276240782901</v>
      </c>
      <c r="CB41" s="20">
        <f t="shared" si="10"/>
        <v>339.16798011936345</v>
      </c>
      <c r="CC41" s="59">
        <f t="shared" si="11"/>
        <v>632.50131345269676</v>
      </c>
      <c r="CD41" s="59">
        <f ca="1">AVERAGE(OFFSET($CC$3,0,0,'Données projet'!$E$12+1,1))-AVERAGE(OFFSET($H$3,0,0,'Données projet'!$E$12+1,1))</f>
        <v>340.49092994349405</v>
      </c>
      <c r="CE41" s="59">
        <f t="shared" si="40"/>
        <v>331.54434271908832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12.326397652501022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12.326397652501022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11.2</v>
      </c>
      <c r="CT41" s="12">
        <f>IF('Données projet'!$A$140&gt;35,CT40+CS41-DB40,IF(A41&lt;'Données projet'!$A$140,$CQ$205^A41,IF(A41='Données projet'!$A$140,'Données projet'!$B$140,CT40+CS41-DB40)))</f>
        <v>152.60000000000002</v>
      </c>
      <c r="CU41" s="17">
        <f>CT41*VLOOKUP('Données projet'!$B$13,Paramètres!$A$1:$I$89,3,0)*VLOOKUP('Données projet'!$B$13,Paramètres!$A$1:$I$89,5,0)</f>
        <v>138.07248000000001</v>
      </c>
      <c r="CV41" s="13">
        <f t="shared" si="41"/>
        <v>35.85508207677799</v>
      </c>
      <c r="CW41" s="20">
        <f t="shared" si="13"/>
        <v>302.9238372837217</v>
      </c>
      <c r="CX41" s="59">
        <f t="shared" si="14"/>
        <v>596.25717061705495</v>
      </c>
      <c r="CY41" s="59">
        <f ca="1">AVERAGE(OFFSET($CX$3,0,0,'Données projet'!$E$13+1,1))-AVERAGE(OFFSET($H$3,0,0,'Données projet'!$E$13+1,1))</f>
        <v>439.19854273764042</v>
      </c>
      <c r="CZ41" s="59">
        <f t="shared" si="42"/>
        <v>278.21741231699929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11.34811212452475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11.34811212452475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11.2</v>
      </c>
      <c r="DO41" s="12">
        <f>IF('Données projet'!$A$166&gt;35,DO40+DN41-DW40,IF(A41&lt;'Données projet'!$A$166,$DL$205^A41,IF(A41='Données projet'!$A$166,'Données projet'!$B$166,DO40+DN41-DW40)))</f>
        <v>152.60000000000002</v>
      </c>
      <c r="DP41" s="17">
        <f>DO41*VLOOKUP('Données projet'!$B$14,Paramètres!$A$1:$I$89,3,0)*VLOOKUP('Données projet'!$B$14,Paramètres!$A$1:$I$89,5,0)</f>
        <v>128.55024000000003</v>
      </c>
      <c r="DQ41" s="13">
        <f t="shared" si="43"/>
        <v>33.661144026076663</v>
      </c>
      <c r="DR41" s="20">
        <f t="shared" si="16"/>
        <v>282.51816051208363</v>
      </c>
      <c r="DS41" s="59">
        <f t="shared" si="17"/>
        <v>575.85149384541694</v>
      </c>
      <c r="DT41" s="59">
        <f ca="1">AVERAGE(OFFSET($DS$3,0,0,'Données projet'!$E$14+1,1))-AVERAGE(OFFSET($H$3,0,0,'Données projet'!$E$14+1,1))</f>
        <v>411.72284844766</v>
      </c>
      <c r="DU41" s="59">
        <f t="shared" si="44"/>
        <v>261.95434270986397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10.565483702143734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10.565483702143734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25.6</v>
      </c>
      <c r="EJ41" s="12">
        <f>IF('Données projet'!$A$192&gt;35,EJ40+EI41-ER40,IF(A41&lt;'Données projet'!$A$192,$EG$205^A41,IF(A41='Données projet'!$A$192,'Données projet'!$B$192,EJ40+EI41-ER40)))</f>
        <v>512.80000000000018</v>
      </c>
      <c r="EK41" s="17">
        <f>EJ41*VLOOKUP('Données projet'!$B$15,Paramètres!$A$1:$I$89,3,0)*VLOOKUP('Données projet'!$B$15,Paramètres!$A$1:$I$89,5,0)</f>
        <v>286.65520000000009</v>
      </c>
      <c r="EL41" s="13">
        <f t="shared" si="45"/>
        <v>68.37151538584105</v>
      </c>
      <c r="EM41" s="20">
        <f t="shared" si="19"/>
        <v>618.33819596367323</v>
      </c>
      <c r="EN41" s="59">
        <f t="shared" si="20"/>
        <v>911.6715292970066</v>
      </c>
      <c r="EO41" s="59">
        <f ca="1">AVERAGE(OFFSET($EN$3,0,0,'Données projet'!$E$15+1,1))-AVERAGE(OFFSET($H$3,0,0,'Données projet'!$E$15+1,1))</f>
        <v>443.34220761968419</v>
      </c>
      <c r="EP41" s="59">
        <f t="shared" si="46"/>
        <v>546.58234447298014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26.518525561928222</v>
      </c>
      <c r="EW41" s="21">
        <f>EXP(-LN(2)/25)*EW40+(1-EXP(-LN(2)/25))/(LN(2)/25)*Calculateur!ER41*Calculateur!ET41*VLOOKUP('Données projet'!$B$15,Paramètres!$A$1:$I$89,3,0)*0.475*44/12</f>
        <v>17.573313506690024</v>
      </c>
      <c r="EX41" s="21">
        <f>EXP(-LN(2)/2)*EX40+(1-EXP(-LN(2)/2))/(LN(2)/2)*ER41*EU41*VLOOKUP('Données projet'!$B$15,Paramètres!$A$1:$I$89,3,0)*0.475*44/12</f>
        <v>0.37761230254651745</v>
      </c>
      <c r="EY41" s="22">
        <f t="shared" si="21"/>
        <v>44.469451371164759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12.4</v>
      </c>
      <c r="N42" s="13">
        <f>IF('Données projet'!$A$36&gt;35,N41+M42-V41,IF(A42&lt;'Données projet'!$A$36,$K$205^A42,IF(A42='Données projet'!$A$36,'Données projet'!$B$36,N41+M42-V41)))</f>
        <v>222.60000000000011</v>
      </c>
      <c r="O42" s="13">
        <f>N42*VLOOKUP('Données projet'!$B$9,Paramètres!$A$1:$I$89,3,0)*VLOOKUP('Données projet'!$B$9,Paramètres!$A$1:$I$89,5,0)</f>
        <v>194.46336000000014</v>
      </c>
      <c r="P42" s="13">
        <f t="shared" si="33"/>
        <v>48.525400894162686</v>
      </c>
      <c r="Q42" s="20">
        <f t="shared" si="53"/>
        <v>423.20542522400024</v>
      </c>
      <c r="R42" s="59">
        <f t="shared" si="0"/>
        <v>716.53875855733349</v>
      </c>
      <c r="S42" s="59">
        <f ca="1">AVERAGE(OFFSET($R$3,0,0,'Données projet'!$E$9+1,1))-AVERAGE(OFFSET($H$3,0,0,'Données projet'!$E$9+1,1))</f>
        <v>304.32767345253382</v>
      </c>
      <c r="T42" s="59">
        <f t="shared" si="34"/>
        <v>427.16091343339173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18.798398131171044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18.798398131171044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13.2</v>
      </c>
      <c r="AI42" s="13">
        <f>IF('Données projet'!$A$62&gt;35,AI41+AH42-AQ41,IF(A42&lt;'Données projet'!$A$62,$AF$205^A42,IF(A42='Données projet'!$A$62,'Données projet'!$B$62,AI41+AH42-AQ41)))</f>
        <v>249.79999999999995</v>
      </c>
      <c r="AJ42" s="13">
        <f>AI42*VLOOKUP('Données projet'!$B$10,Paramètres!$A$1:$I$89,3,0)*VLOOKUP('Données projet'!$B$10,Paramètres!$A$1:$I$89,5,0)</f>
        <v>198.74087999999998</v>
      </c>
      <c r="AK42" s="13">
        <f t="shared" si="35"/>
        <v>49.467349630825638</v>
      </c>
      <c r="AL42" s="20">
        <f t="shared" si="4"/>
        <v>432.29599994035453</v>
      </c>
      <c r="AM42" s="59">
        <f t="shared" si="5"/>
        <v>725.62933327368785</v>
      </c>
      <c r="AN42" s="59">
        <f ca="1">AVERAGE(OFFSET($AM$3,0,0,'Données projet'!$E$10+1,1))-AVERAGE(OFFSET($H$3,0,0,'Données projet'!$E$10+1,1))</f>
        <v>405.40026823646758</v>
      </c>
      <c r="AO42" s="59">
        <f t="shared" si="36"/>
        <v>393.0787141050053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18.086878315812292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18.086878315812292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27</v>
      </c>
      <c r="BD42" s="12">
        <f>IF('Données projet'!$A$88&gt;35,BD41+BC42-BL41,IF(A42&lt;'Données projet'!$A$88,$BA$205^A42,IF(A42='Données projet'!$A$88,'Données projet'!$B$88,BD41+BC42-BL41)))</f>
        <v>611.99999999999989</v>
      </c>
      <c r="BE42" s="13">
        <f>BD42*VLOOKUP('Données projet'!$B$11,Paramètres!$A$1:$I$89,3,0)*VLOOKUP('Données projet'!$B$11,Paramètres!$A$1:$I$89,5,0)</f>
        <v>342.10799999999995</v>
      </c>
      <c r="BF42" s="13">
        <f t="shared" si="37"/>
        <v>79.935315774430151</v>
      </c>
      <c r="BG42" s="20">
        <f t="shared" si="7"/>
        <v>735.0587749737989</v>
      </c>
      <c r="BH42" s="59">
        <f t="shared" si="8"/>
        <v>1028.3921083071323</v>
      </c>
      <c r="BI42" s="59">
        <f ca="1">AVERAGE(OFFSET($BH$3,0,0,'Données projet'!$E$11+1,1))-AVERAGE(OFFSET($H$3,0,0,'Données projet'!$E$11+1,1))</f>
        <v>555.15881087162279</v>
      </c>
      <c r="BJ42" s="59">
        <f t="shared" si="38"/>
        <v>668.20427590250733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27.128883600378035</v>
      </c>
      <c r="BQ42" s="21">
        <f>EXP(-LN(2)/25)*BQ41+(1-EXP(-LN(2)/25))/(LN(2)/25)*Calculateur!BL42*Calculateur!BN42*VLOOKUP('Données projet'!$B$11,Paramètres!$A$1:$I$89,3,0)*0.475*44/12</f>
        <v>45.021418135034047</v>
      </c>
      <c r="BR42" s="21">
        <f>EXP(-LN(2)/2)*BR41+(1-EXP(-LN(2)/2))/(LN(2)/2)*BL42*BO42*VLOOKUP('Données projet'!$B$11,Paramètres!$A$1:$I$89,3,0)*0.475*44/12</f>
        <v>3.758640974421356E-2</v>
      </c>
      <c r="BS42" s="22">
        <f t="shared" si="9"/>
        <v>72.187888145156293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13.2</v>
      </c>
      <c r="BY42" s="12">
        <f>IF('Données projet'!$A$114&gt;35,BY41+BX42-CG41,IF(A42&lt;'Données projet'!$A$114,$BV$205^A42,IF(A42='Données projet'!$A$114,'Données projet'!$B$114,BY41+BX42-CG41)))</f>
        <v>249.79999999999995</v>
      </c>
      <c r="BZ42" s="13">
        <f>BY42*VLOOKUP('Données projet'!$B$12,Paramètres!$A$1:$I$89,3,0)*VLOOKUP('Données projet'!$B$12,Paramètres!$A$1:$I$89,5,0)</f>
        <v>163.66895999999997</v>
      </c>
      <c r="CA42" s="13">
        <f t="shared" si="39"/>
        <v>41.668964460385851</v>
      </c>
      <c r="CB42" s="20">
        <f t="shared" si="10"/>
        <v>357.63021843517191</v>
      </c>
      <c r="CC42" s="59">
        <f t="shared" si="11"/>
        <v>650.96355176850523</v>
      </c>
      <c r="CD42" s="59">
        <f ca="1">AVERAGE(OFFSET($CC$3,0,0,'Données projet'!$E$12+1,1))-AVERAGE(OFFSET($H$3,0,0,'Données projet'!$E$12+1,1))</f>
        <v>340.49092994349405</v>
      </c>
      <c r="CE42" s="59">
        <f t="shared" si="40"/>
        <v>331.54434271908832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12.084684512895668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12.084684512895668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11.2</v>
      </c>
      <c r="CT42" s="12">
        <f>IF('Données projet'!$A$140&gt;35,CT41+CS42-DB41,IF(A42&lt;'Données projet'!$A$140,$CQ$205^A42,IF(A42='Données projet'!$A$140,'Données projet'!$B$140,CT41+CS42-DB41)))</f>
        <v>163.80000000000001</v>
      </c>
      <c r="CU42" s="17">
        <f>CT42*VLOOKUP('Données projet'!$B$13,Paramètres!$A$1:$I$89,3,0)*VLOOKUP('Données projet'!$B$13,Paramètres!$A$1:$I$89,5,0)</f>
        <v>148.20624000000001</v>
      </c>
      <c r="CV42" s="13">
        <f t="shared" si="41"/>
        <v>38.170662245893794</v>
      </c>
      <c r="CW42" s="20">
        <f t="shared" si="13"/>
        <v>324.60643807826506</v>
      </c>
      <c r="CX42" s="59">
        <f t="shared" si="14"/>
        <v>617.93977141159837</v>
      </c>
      <c r="CY42" s="59">
        <f ca="1">AVERAGE(OFFSET($CX$3,0,0,'Données projet'!$E$13+1,1))-AVERAGE(OFFSET($H$3,0,0,'Données projet'!$E$13+1,1))</f>
        <v>439.19854273764042</v>
      </c>
      <c r="CZ42" s="59">
        <f t="shared" si="42"/>
        <v>278.21741231699929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11.125582567427758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11.125582567427758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11.2</v>
      </c>
      <c r="DO42" s="12">
        <f>IF('Données projet'!$A$166&gt;35,DO41+DN42-DW41,IF(A42&lt;'Données projet'!$A$166,$DL$205^A42,IF(A42='Données projet'!$A$166,'Données projet'!$B$166,DO41+DN42-DW41)))</f>
        <v>163.80000000000001</v>
      </c>
      <c r="DP42" s="17">
        <f>DO42*VLOOKUP('Données projet'!$B$14,Paramètres!$A$1:$I$89,3,0)*VLOOKUP('Données projet'!$B$14,Paramètres!$A$1:$I$89,5,0)</f>
        <v>137.98512000000002</v>
      </c>
      <c r="DQ42" s="13">
        <f t="shared" si="43"/>
        <v>35.835036067646342</v>
      </c>
      <c r="DR42" s="20">
        <f t="shared" si="16"/>
        <v>302.73677181781744</v>
      </c>
      <c r="DS42" s="59">
        <f t="shared" si="17"/>
        <v>596.07010515115076</v>
      </c>
      <c r="DT42" s="59">
        <f ca="1">AVERAGE(OFFSET($DS$3,0,0,'Données projet'!$E$14+1,1))-AVERAGE(OFFSET($H$3,0,0,'Données projet'!$E$14+1,1))</f>
        <v>411.72284844766</v>
      </c>
      <c r="DU42" s="59">
        <f t="shared" si="44"/>
        <v>261.95434270986397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10.358301011053431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10.358301011053431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25.6</v>
      </c>
      <c r="EJ42" s="12">
        <f>IF('Données projet'!$A$192&gt;35,EJ41+EI42-ER41,IF(A42&lt;'Données projet'!$A$192,$EG$205^A42,IF(A42='Données projet'!$A$192,'Données projet'!$B$192,EJ41+EI42-ER41)))</f>
        <v>538.4000000000002</v>
      </c>
      <c r="EK42" s="17">
        <f>EJ42*VLOOKUP('Données projet'!$B$15,Paramètres!$A$1:$I$89,3,0)*VLOOKUP('Données projet'!$B$15,Paramètres!$A$1:$I$89,5,0)</f>
        <v>300.96560000000011</v>
      </c>
      <c r="EL42" s="13">
        <f t="shared" si="45"/>
        <v>71.378852450242803</v>
      </c>
      <c r="EM42" s="20">
        <f t="shared" si="19"/>
        <v>648.49992135083971</v>
      </c>
      <c r="EN42" s="59">
        <f t="shared" si="20"/>
        <v>941.83325468417297</v>
      </c>
      <c r="EO42" s="59">
        <f ca="1">AVERAGE(OFFSET($EN$3,0,0,'Données projet'!$E$15+1,1))-AVERAGE(OFFSET($H$3,0,0,'Données projet'!$E$15+1,1))</f>
        <v>443.34220761968419</v>
      </c>
      <c r="EP42" s="59">
        <f t="shared" si="46"/>
        <v>546.58234447298014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25.998513450362282</v>
      </c>
      <c r="EW42" s="21">
        <f>EXP(-LN(2)/25)*EW41+(1-EXP(-LN(2)/25))/(LN(2)/25)*Calculateur!ER42*Calculateur!ET42*VLOOKUP('Données projet'!$B$15,Paramètres!$A$1:$I$89,3,0)*0.475*44/12</f>
        <v>17.092770324709193</v>
      </c>
      <c r="EX42" s="21">
        <f>EXP(-LN(2)/2)*EX41+(1-EXP(-LN(2)/2))/(LN(2)/2)*ER42*EU42*VLOOKUP('Données projet'!$B$15,Paramètres!$A$1:$I$89,3,0)*0.475*44/12</f>
        <v>0.2670122197901087</v>
      </c>
      <c r="EY42" s="22">
        <f t="shared" si="21"/>
        <v>43.358295994861585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235</v>
      </c>
      <c r="L43" s="12">
        <f>VLOOKUP(A43,'Données projet'!$A$35:$I$55,9,0)</f>
        <v>12.4</v>
      </c>
      <c r="M43" s="12">
        <f t="array" ref="M43">INDEX(L:L,MIN(IF(ISNUMBER(L43:L239),ROW(L43:L239),"")))</f>
        <v>12.4</v>
      </c>
      <c r="N43" s="13">
        <f>IF('Données projet'!$A$36&gt;35,N42+M43-V42,IF(A43&lt;'Données projet'!$A$36,$K$205^A43,IF(A43='Données projet'!$A$36,'Données projet'!$B$36,N42+M43-V42)))</f>
        <v>235.00000000000011</v>
      </c>
      <c r="O43" s="13">
        <f>N43*VLOOKUP('Données projet'!$B$9,Paramètres!$A$1:$I$89,3,0)*VLOOKUP('Données projet'!$B$9,Paramètres!$A$1:$I$89,5,0)</f>
        <v>205.29600000000013</v>
      </c>
      <c r="P43" s="13">
        <f t="shared" si="33"/>
        <v>50.906291934375396</v>
      </c>
      <c r="Q43" s="20">
        <f t="shared" si="53"/>
        <v>446.21899178570402</v>
      </c>
      <c r="R43" s="59">
        <f t="shared" si="0"/>
        <v>739.55232511903728</v>
      </c>
      <c r="S43" s="59">
        <f ca="1">AVERAGE(OFFSET($R$3,0,0,'Données projet'!$E$9+1,1))-AVERAGE(OFFSET($H$3,0,0,'Données projet'!$E$9+1,1))</f>
        <v>304.32767345253382</v>
      </c>
      <c r="T43" s="59">
        <f t="shared" si="34"/>
        <v>427.16091343339173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45</v>
      </c>
      <c r="W43" s="16">
        <f>IF(ISNA(VLOOKUP(A43,'Données projet'!$A$35:$I$55,5,0)),0%,VLOOKUP(A43,'Données projet'!$A$35:$I$55,5,0)*VLOOKUP('Données projet'!$B$9,Paramètres!$A$1:$I$89,7,0))</f>
        <v>0.43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37.116821180595196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37.116821180595196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263</v>
      </c>
      <c r="AG43" s="12">
        <f>VLOOKUP(A43,'Données projet'!$A$61:$I$81,9,0)</f>
        <v>13.2</v>
      </c>
      <c r="AH43" s="12">
        <f t="array" ref="AH43">INDEX(AG:AG,MIN(IF(ISNUMBER(AG43:AG239),ROW(AG43:AG239),"")))</f>
        <v>13.2</v>
      </c>
      <c r="AI43" s="13">
        <f>IF('Données projet'!$A$62&gt;35,AI42+AH43-AQ42,IF(A43&lt;'Données projet'!$A$62,$AF$205^A43,IF(A43='Données projet'!$A$62,'Données projet'!$B$62,AI42+AH43-AQ42)))</f>
        <v>262.99999999999994</v>
      </c>
      <c r="AJ43" s="13">
        <f>AI43*VLOOKUP('Données projet'!$B$10,Paramètres!$A$1:$I$89,3,0)*VLOOKUP('Données projet'!$B$10,Paramètres!$A$1:$I$89,5,0)</f>
        <v>209.24279999999996</v>
      </c>
      <c r="AK43" s="13">
        <f t="shared" si="35"/>
        <v>51.770083677016814</v>
      </c>
      <c r="AL43" s="20">
        <f t="shared" si="4"/>
        <v>454.59743907080411</v>
      </c>
      <c r="AM43" s="59">
        <f t="shared" si="5"/>
        <v>747.93077240413743</v>
      </c>
      <c r="AN43" s="59">
        <f ca="1">AVERAGE(OFFSET($AM$3,0,0,'Données projet'!$E$10+1,1))-AVERAGE(OFFSET($H$3,0,0,'Données projet'!$E$10+1,1))</f>
        <v>405.40026823646758</v>
      </c>
      <c r="AO43" s="59">
        <f t="shared" si="36"/>
        <v>393.0787141050053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40</v>
      </c>
      <c r="AR43" s="16">
        <f>IF(ISNA(VLOOKUP(A43,'Données projet'!$A$61:$I$81,5,0)),0%,VLOOKUP(A43,'Données projet'!$A$61:$I$81,5,0)*VLOOKUP('Données projet'!$B$10,Paramètres!$A$1:$I$89,7,0))</f>
        <v>0.53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36.377865023821677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36.377865023821677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639</v>
      </c>
      <c r="BB43" s="12">
        <f>VLOOKUP(A43,'Données projet'!$A$87:$I$107,9,0)</f>
        <v>27</v>
      </c>
      <c r="BC43" s="12">
        <f t="array" ref="BC43">INDEX(BB:BB,MIN(IF(ISNUMBER(BB43:BB239),ROW(BB43:BB239),"")))</f>
        <v>27</v>
      </c>
      <c r="BD43" s="12">
        <f>IF('Données projet'!$A$88&gt;35,BD42+BC43-BL42,IF(A43&lt;'Données projet'!$A$88,$BA$205^A43,IF(A43='Données projet'!$A$88,'Données projet'!$B$88,BD42+BC43-BL42)))</f>
        <v>638.99999999999989</v>
      </c>
      <c r="BE43" s="13">
        <f>BD43*VLOOKUP('Données projet'!$B$11,Paramètres!$A$1:$I$89,3,0)*VLOOKUP('Données projet'!$B$11,Paramètres!$A$1:$I$89,5,0)</f>
        <v>357.20099999999991</v>
      </c>
      <c r="BF43" s="13">
        <f t="shared" si="37"/>
        <v>83.043509879488369</v>
      </c>
      <c r="BG43" s="20">
        <f t="shared" si="7"/>
        <v>766.75918804010871</v>
      </c>
      <c r="BH43" s="59">
        <f t="shared" si="8"/>
        <v>1060.092521373442</v>
      </c>
      <c r="BI43" s="59">
        <f ca="1">AVERAGE(OFFSET($BH$3,0,0,'Données projet'!$E$11+1,1))-AVERAGE(OFFSET($H$3,0,0,'Données projet'!$E$11+1,1))</f>
        <v>555.15881087162279</v>
      </c>
      <c r="BJ43" s="59">
        <f t="shared" si="38"/>
        <v>668.20427590250733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77</v>
      </c>
      <c r="BM43" s="16">
        <f>IF(ISNA(VLOOKUP(A43,'Données projet'!$A$87:$I$107,5,0)),0%,VLOOKUP(A43,'Données projet'!$A$87:$I$107,5,0)*VLOOKUP('Données projet'!$B$11,Paramètres!$A$1:$I$89,7,0))</f>
        <v>0.55000000000000004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58.001525360476009</v>
      </c>
      <c r="BQ43" s="21">
        <f>EXP(-LN(2)/25)*BQ42+(1-EXP(-LN(2)/25))/(LN(2)/25)*Calculateur!BL43*Calculateur!BN43*VLOOKUP('Données projet'!$B$11,Paramètres!$A$1:$I$89,3,0)*0.475*44/12</f>
        <v>43.790305088558057</v>
      </c>
      <c r="BR43" s="21">
        <f>EXP(-LN(2)/2)*BR42+(1-EXP(-LN(2)/2))/(LN(2)/2)*BL43*BO43*VLOOKUP('Données projet'!$B$11,Paramètres!$A$1:$I$89,3,0)*0.475*44/12</f>
        <v>2.6577605210589536E-2</v>
      </c>
      <c r="BS43" s="22">
        <f t="shared" si="9"/>
        <v>101.81840805424466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263</v>
      </c>
      <c r="BW43" s="12">
        <f>VLOOKUP(A43,'Données projet'!$A$113:$I$133,9,0)</f>
        <v>13.2</v>
      </c>
      <c r="BX43" s="12">
        <f t="array" ref="BX43">INDEX(BW:BW,MIN(IF(ISNUMBER(BW43:BW239),ROW(BW43:BW239),"")))</f>
        <v>13.2</v>
      </c>
      <c r="BY43" s="12">
        <f>IF('Données projet'!$A$114&gt;35,BY42+BX43-CG42,IF(A43&lt;'Données projet'!$A$114,$BV$205^A43,IF(A43='Données projet'!$A$114,'Données projet'!$B$114,BY42+BX43-CG42)))</f>
        <v>262.99999999999994</v>
      </c>
      <c r="BZ43" s="13">
        <f>BY43*VLOOKUP('Données projet'!$B$12,Paramètres!$A$1:$I$89,3,0)*VLOOKUP('Données projet'!$B$12,Paramètres!$A$1:$I$89,5,0)</f>
        <v>172.31759999999994</v>
      </c>
      <c r="CA43" s="13">
        <f t="shared" si="39"/>
        <v>43.608679117600254</v>
      </c>
      <c r="CB43" s="20">
        <f t="shared" si="10"/>
        <v>376.07160279648701</v>
      </c>
      <c r="CC43" s="59">
        <f t="shared" si="11"/>
        <v>669.40493612982027</v>
      </c>
      <c r="CD43" s="59">
        <f ca="1">AVERAGE(OFFSET($CC$3,0,0,'Données projet'!$E$12+1,1))-AVERAGE(OFFSET($H$3,0,0,'Données projet'!$E$12+1,1))</f>
        <v>340.49092994349405</v>
      </c>
      <c r="CE43" s="59">
        <f t="shared" si="40"/>
        <v>331.54434271908832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40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24.305743334451325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24.305743334451325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175</v>
      </c>
      <c r="CR43" s="12">
        <f>VLOOKUP(A43,'Données projet'!$A$139:$I$159,9,0)</f>
        <v>11.2</v>
      </c>
      <c r="CS43" s="12">
        <f t="array" ref="CS43">INDEX(CR:CR,MIN(IF(ISNUMBER(CR43:CR239),ROW(CR43:CR239),"")))</f>
        <v>11.2</v>
      </c>
      <c r="CT43" s="12">
        <f>IF('Données projet'!$A$140&gt;35,CT42+CS43-DB42,IF(A43&lt;'Données projet'!$A$140,$CQ$205^A43,IF(A43='Données projet'!$A$140,'Données projet'!$B$140,CT42+CS43-DB42)))</f>
        <v>175</v>
      </c>
      <c r="CU43" s="17">
        <f>CT43*VLOOKUP('Données projet'!$B$13,Paramètres!$A$1:$I$89,3,0)*VLOOKUP('Données projet'!$B$13,Paramètres!$A$1:$I$89,5,0)</f>
        <v>158.34</v>
      </c>
      <c r="CV43" s="13">
        <f t="shared" si="41"/>
        <v>40.467870812652819</v>
      </c>
      <c r="CW43" s="20">
        <f t="shared" si="13"/>
        <v>346.25704166537031</v>
      </c>
      <c r="CX43" s="59">
        <f t="shared" si="14"/>
        <v>639.59037499870362</v>
      </c>
      <c r="CY43" s="59">
        <f ca="1">AVERAGE(OFFSET($CX$3,0,0,'Données projet'!$E$13+1,1))-AVERAGE(OFFSET($H$3,0,0,'Données projet'!$E$13+1,1))</f>
        <v>439.19854273764042</v>
      </c>
      <c r="CZ43" s="59">
        <f t="shared" si="42"/>
        <v>278.21741231699929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28</v>
      </c>
      <c r="DC43" s="16">
        <f>IF(ISNA(VLOOKUP(A43,'Données projet'!$A$139:$I$159,5,0)),0%,VLOOKUP(A43,'Données projet'!$A$139:$I$159,5,0)*VLOOKUP('Données projet'!$B$13,Paramètres!$A$1:$I$89,7,0))</f>
        <v>0.43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22.950181056008823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22.950181056008823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175</v>
      </c>
      <c r="DM43" s="12">
        <f>VLOOKUP(A43,'Données projet'!$A$165:$I$185,9,0)</f>
        <v>11.2</v>
      </c>
      <c r="DN43" s="12">
        <f t="array" ref="DN43">INDEX(DM:DM,MIN(IF(ISNUMBER(DM43:DM239),ROW(DM43:DM239),"")))</f>
        <v>11.2</v>
      </c>
      <c r="DO43" s="12">
        <f>IF('Données projet'!$A$166&gt;35,DO42+DN43-DW42,IF(A43&lt;'Données projet'!$A$166,$DL$205^A43,IF(A43='Données projet'!$A$166,'Données projet'!$B$166,DO42+DN43-DW42)))</f>
        <v>175</v>
      </c>
      <c r="DP43" s="17">
        <f>DO43*VLOOKUP('Données projet'!$B$14,Paramètres!$A$1:$I$89,3,0)*VLOOKUP('Données projet'!$B$14,Paramètres!$A$1:$I$89,5,0)</f>
        <v>147.42000000000002</v>
      </c>
      <c r="DQ43" s="13">
        <f t="shared" si="43"/>
        <v>37.991680647570291</v>
      </c>
      <c r="DR43" s="20">
        <f t="shared" si="16"/>
        <v>322.92534379451826</v>
      </c>
      <c r="DS43" s="59">
        <f t="shared" si="17"/>
        <v>616.25867712785157</v>
      </c>
      <c r="DT43" s="59">
        <f ca="1">AVERAGE(OFFSET($DS$3,0,0,'Données projet'!$E$14+1,1))-AVERAGE(OFFSET($H$3,0,0,'Données projet'!$E$14+1,1))</f>
        <v>411.72284844766</v>
      </c>
      <c r="DU43" s="59">
        <f t="shared" si="44"/>
        <v>261.95434270986397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28</v>
      </c>
      <c r="DX43" s="16">
        <f>IF(ISNA(VLOOKUP(A43,'Données projet'!$A$165:$I$185,5,0)),0%,VLOOKUP(A43,'Données projet'!$A$165:$I$185,5,0)*VLOOKUP('Données projet'!$B$14,Paramètres!$A$1:$I$89,7,0))</f>
        <v>0.43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21.367409948697876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21.367409948697876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564</v>
      </c>
      <c r="EH43" s="12">
        <f>VLOOKUP(A43,'Données projet'!$A$191:$I$211,9,0)</f>
        <v>25.6</v>
      </c>
      <c r="EI43" s="12">
        <f t="array" ref="EI43">INDEX(EH:EH,MIN(IF(ISNUMBER(EH43:EH239),ROW(EH43:EH239),"")))</f>
        <v>25.6</v>
      </c>
      <c r="EJ43" s="12">
        <f>IF('Données projet'!$A$192&gt;35,EJ42+EI43-ER42,IF(A43&lt;'Données projet'!$A$192,$EG$205^A43,IF(A43='Données projet'!$A$192,'Données projet'!$B$192,EJ42+EI43-ER42)))</f>
        <v>564.00000000000023</v>
      </c>
      <c r="EK43" s="17">
        <f>EJ43*VLOOKUP('Données projet'!$B$15,Paramètres!$A$1:$I$89,3,0)*VLOOKUP('Données projet'!$B$15,Paramètres!$A$1:$I$89,5,0)</f>
        <v>315.27600000000012</v>
      </c>
      <c r="EL43" s="13">
        <f t="shared" si="45"/>
        <v>74.36958441265493</v>
      </c>
      <c r="EM43" s="20">
        <f t="shared" si="19"/>
        <v>678.63272618537417</v>
      </c>
      <c r="EN43" s="59">
        <f t="shared" si="20"/>
        <v>971.96605951870743</v>
      </c>
      <c r="EO43" s="59">
        <f ca="1">AVERAGE(OFFSET($EN$3,0,0,'Données projet'!$E$15+1,1))-AVERAGE(OFFSET($H$3,0,0,'Données projet'!$E$15+1,1))</f>
        <v>443.34220761968419</v>
      </c>
      <c r="EP43" s="59">
        <f t="shared" si="46"/>
        <v>546.58234447298014</v>
      </c>
      <c r="EQ43" s="15">
        <f>IF(ISNA(VLOOKUP(A43,'Données projet'!$A$191:$I$211,3,0)),0,VLOOKUP(A43,'Données projet'!$A$191:$I$211,3,0))</f>
        <v>4</v>
      </c>
      <c r="ER43" s="15">
        <f>IF(ISNA(VLOOKUP(A43,'Données projet'!$A$191:$I$211,4,0)),0,VLOOKUP(A43,'Données projet'!$A$191:$I$211,4,0))</f>
        <v>72</v>
      </c>
      <c r="ES43" s="16">
        <f>IF(ISNA(VLOOKUP(A43,'Données projet'!$A$191:$I$211,5,0)),0%,VLOOKUP(A43,'Données projet'!$A$191:$I$211,5,0)*VLOOKUP('Données projet'!$B$15,Paramètres!$A$1:$I$89,7,0))</f>
        <v>0.55000000000000004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54.854059870519919</v>
      </c>
      <c r="EW43" s="21">
        <f>EXP(-LN(2)/25)*EW42+(1-EXP(-LN(2)/25))/(LN(2)/25)*Calculateur!ER43*Calculateur!ET43*VLOOKUP('Données projet'!$B$15,Paramètres!$A$1:$I$89,3,0)*0.475*44/12</f>
        <v>16.625367621310293</v>
      </c>
      <c r="EX43" s="21">
        <f>EXP(-LN(2)/2)*EX42+(1-EXP(-LN(2)/2))/(LN(2)/2)*ER43*EU43*VLOOKUP('Données projet'!$B$15,Paramètres!$A$1:$I$89,3,0)*0.475*44/12</f>
        <v>0.18880615127325873</v>
      </c>
      <c r="EY43" s="22">
        <f t="shared" si="21"/>
        <v>71.668233643103463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</v>
      </c>
      <c r="N44" s="13">
        <f>IF('Données projet'!$A$36&gt;35,N43+M44-V43,IF(A44&lt;'Données projet'!$A$36,$K$205^A44,IF(A44='Données projet'!$A$36,'Données projet'!$B$36,N43+M44-V43)))</f>
        <v>201.00000000000011</v>
      </c>
      <c r="O44" s="13">
        <f>N44*VLOOKUP('Données projet'!$B$9,Paramètres!$A$1:$I$89,3,0)*VLOOKUP('Données projet'!$B$9,Paramètres!$A$1:$I$89,5,0)</f>
        <v>175.59360000000012</v>
      </c>
      <c r="P44" s="13">
        <f t="shared" si="33"/>
        <v>44.340433728638573</v>
      </c>
      <c r="Q44" s="20">
        <f t="shared" si="53"/>
        <v>383.05177541071242</v>
      </c>
      <c r="R44" s="59">
        <f t="shared" si="0"/>
        <v>676.38510874404574</v>
      </c>
      <c r="S44" s="59">
        <f ca="1">AVERAGE(OFFSET($R$3,0,0,'Données projet'!$E$9+1,1))-AVERAGE(OFFSET($H$3,0,0,'Données projet'!$E$9+1,1))</f>
        <v>304.32767345253382</v>
      </c>
      <c r="T44" s="59">
        <f t="shared" si="34"/>
        <v>427.16091343339173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36.388982956269224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36.388982956269224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234.39999999999992</v>
      </c>
      <c r="AJ44" s="13">
        <f>AI44*VLOOKUP('Données projet'!$B$10,Paramètres!$A$1:$I$89,3,0)*VLOOKUP('Données projet'!$B$10,Paramètres!$A$1:$I$89,5,0)</f>
        <v>186.48863999999995</v>
      </c>
      <c r="AK44" s="13">
        <f t="shared" si="35"/>
        <v>46.762800221578807</v>
      </c>
      <c r="AL44" s="20">
        <f t="shared" si="4"/>
        <v>406.24625838591629</v>
      </c>
      <c r="AM44" s="59">
        <f t="shared" si="5"/>
        <v>699.57959171924961</v>
      </c>
      <c r="AN44" s="59">
        <f ca="1">AVERAGE(OFFSET($AM$3,0,0,'Données projet'!$E$10+1,1))-AVERAGE(OFFSET($H$3,0,0,'Données projet'!$E$10+1,1))</f>
        <v>405.40026823646758</v>
      </c>
      <c r="AO44" s="59">
        <f t="shared" si="36"/>
        <v>393.0787141050053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35.664517279011285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35.664517279011285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24.8</v>
      </c>
      <c r="BD44" s="12">
        <f>IF('Données projet'!$A$88&gt;35,BD43+BC44-BL43,IF(A44&lt;'Données projet'!$A$88,$BA$205^A44,IF(A44='Données projet'!$A$88,'Données projet'!$B$88,BD43+BC44-BL43)))</f>
        <v>586.79999999999984</v>
      </c>
      <c r="BE44" s="13">
        <f>BD44*VLOOKUP('Données projet'!$B$11,Paramètres!$A$1:$I$89,3,0)*VLOOKUP('Données projet'!$B$11,Paramètres!$A$1:$I$89,5,0)</f>
        <v>328.02119999999991</v>
      </c>
      <c r="BF44" s="13">
        <f t="shared" si="37"/>
        <v>77.019907950957702</v>
      </c>
      <c r="BG44" s="20">
        <f t="shared" si="7"/>
        <v>705.44659634791776</v>
      </c>
      <c r="BH44" s="59">
        <f t="shared" si="8"/>
        <v>998.77992968125113</v>
      </c>
      <c r="BI44" s="59">
        <f ca="1">AVERAGE(OFFSET($BH$3,0,0,'Données projet'!$E$11+1,1))-AVERAGE(OFFSET($H$3,0,0,'Données projet'!$E$11+1,1))</f>
        <v>555.15881087162279</v>
      </c>
      <c r="BJ44" s="59">
        <f t="shared" si="38"/>
        <v>668.20427590250733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56.864150825594315</v>
      </c>
      <c r="BQ44" s="21">
        <f>EXP(-LN(2)/25)*BQ43+(1-EXP(-LN(2)/25))/(LN(2)/25)*Calculateur!BL44*Calculateur!BN44*VLOOKUP('Données projet'!$B$11,Paramètres!$A$1:$I$89,3,0)*0.475*44/12</f>
        <v>42.592856893079379</v>
      </c>
      <c r="BR44" s="21">
        <f>EXP(-LN(2)/2)*BR43+(1-EXP(-LN(2)/2))/(LN(2)/2)*BL44*BO44*VLOOKUP('Données projet'!$B$11,Paramètres!$A$1:$I$89,3,0)*0.475*44/12</f>
        <v>1.879320487210678E-2</v>
      </c>
      <c r="BS44" s="22">
        <f t="shared" si="9"/>
        <v>99.475800923545805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</v>
      </c>
      <c r="BY44" s="12">
        <f>IF('Données projet'!$A$114&gt;35,BY43+BX44-CG43,IF(A44&lt;'Données projet'!$A$114,$BV$205^A44,IF(A44='Données projet'!$A$114,'Données projet'!$B$114,BY43+BX44-CG43)))</f>
        <v>234.39999999999992</v>
      </c>
      <c r="BZ44" s="13">
        <f>BY44*VLOOKUP('Données projet'!$B$12,Paramètres!$A$1:$I$89,3,0)*VLOOKUP('Données projet'!$B$12,Paramètres!$A$1:$I$89,5,0)</f>
        <v>153.57887999999994</v>
      </c>
      <c r="CA44" s="13">
        <f t="shared" si="39"/>
        <v>39.390779474606113</v>
      </c>
      <c r="CB44" s="20">
        <f t="shared" si="10"/>
        <v>336.08882358493884</v>
      </c>
      <c r="CC44" s="59">
        <f t="shared" si="11"/>
        <v>629.42215691827209</v>
      </c>
      <c r="CD44" s="59">
        <f ca="1">AVERAGE(OFFSET($CC$3,0,0,'Données projet'!$E$12+1,1))-AVERAGE(OFFSET($H$3,0,0,'Données projet'!$E$12+1,1))</f>
        <v>340.49092994349405</v>
      </c>
      <c r="CE44" s="59">
        <f t="shared" si="40"/>
        <v>331.54434271908832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23.829122532702318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23.829122532702318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11.4</v>
      </c>
      <c r="CT44" s="12">
        <f>IF('Données projet'!$A$140&gt;35,CT43+CS44-DB43,IF(A44&lt;'Données projet'!$A$140,$CQ$205^A44,IF(A44='Données projet'!$A$140,'Données projet'!$B$140,CT43+CS44-DB43)))</f>
        <v>158.4</v>
      </c>
      <c r="CU44" s="17">
        <f>CT44*VLOOKUP('Données projet'!$B$13,Paramètres!$A$1:$I$89,3,0)*VLOOKUP('Données projet'!$B$13,Paramètres!$A$1:$I$89,5,0)</f>
        <v>143.32032000000001</v>
      </c>
      <c r="CV44" s="13">
        <f t="shared" si="41"/>
        <v>37.056603420232349</v>
      </c>
      <c r="CW44" s="20">
        <f t="shared" si="13"/>
        <v>314.15647495690467</v>
      </c>
      <c r="CX44" s="59">
        <f t="shared" si="14"/>
        <v>607.48980829023799</v>
      </c>
      <c r="CY44" s="59">
        <f ca="1">AVERAGE(OFFSET($CX$3,0,0,'Données projet'!$E$13+1,1))-AVERAGE(OFFSET($H$3,0,0,'Données projet'!$E$13+1,1))</f>
        <v>439.19854273764042</v>
      </c>
      <c r="CZ44" s="59">
        <f t="shared" si="42"/>
        <v>278.21741231699929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22.500142003728723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22.500142003728723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11.4</v>
      </c>
      <c r="DO44" s="12">
        <f>IF('Données projet'!$A$166&gt;35,DO43+DN44-DW43,IF(A44&lt;'Données projet'!$A$166,$DL$205^A44,IF(A44='Données projet'!$A$166,'Données projet'!$B$166,DO43+DN44-DW43)))</f>
        <v>158.4</v>
      </c>
      <c r="DP44" s="17">
        <f>DO44*VLOOKUP('Données projet'!$B$14,Paramètres!$A$1:$I$89,3,0)*VLOOKUP('Données projet'!$B$14,Paramètres!$A$1:$I$89,5,0)</f>
        <v>133.43616000000003</v>
      </c>
      <c r="DQ44" s="13">
        <f t="shared" si="43"/>
        <v>34.789145432008958</v>
      </c>
      <c r="DR44" s="20">
        <f t="shared" si="16"/>
        <v>292.99240696074895</v>
      </c>
      <c r="DS44" s="59">
        <f t="shared" si="17"/>
        <v>586.32574029408227</v>
      </c>
      <c r="DT44" s="59">
        <f ca="1">AVERAGE(OFFSET($DS$3,0,0,'Données projet'!$E$14+1,1))-AVERAGE(OFFSET($H$3,0,0,'Données projet'!$E$14+1,1))</f>
        <v>411.72284844766</v>
      </c>
      <c r="DU44" s="59">
        <f t="shared" si="44"/>
        <v>261.95434270986397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20.948408072437093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20.948408072437093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22.8</v>
      </c>
      <c r="EJ44" s="12">
        <f>IF('Données projet'!$A$192&gt;35,EJ43+EI44-ER43,IF(A44&lt;'Données projet'!$A$192,$EG$205^A44,IF(A44='Données projet'!$A$192,'Données projet'!$B$192,EJ43+EI44-ER43)))</f>
        <v>514.80000000000018</v>
      </c>
      <c r="EK44" s="17">
        <f>EJ44*VLOOKUP('Données projet'!$B$15,Paramètres!$A$1:$I$89,3,0)*VLOOKUP('Données projet'!$B$15,Paramètres!$A$1:$I$89,5,0)</f>
        <v>287.77320000000009</v>
      </c>
      <c r="EL44" s="13">
        <f t="shared" si="45"/>
        <v>68.607082381743922</v>
      </c>
      <c r="EM44" s="20">
        <f t="shared" si="19"/>
        <v>620.69565848153741</v>
      </c>
      <c r="EN44" s="59">
        <f t="shared" si="20"/>
        <v>914.02899181487078</v>
      </c>
      <c r="EO44" s="59">
        <f ca="1">AVERAGE(OFFSET($EN$3,0,0,'Données projet'!$E$15+1,1))-AVERAGE(OFFSET($H$3,0,0,'Données projet'!$E$15+1,1))</f>
        <v>443.34220761968419</v>
      </c>
      <c r="EP44" s="59">
        <f t="shared" si="46"/>
        <v>546.58234447298014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53.778405214131872</v>
      </c>
      <c r="EW44" s="21">
        <f>EXP(-LN(2)/25)*EW43+(1-EXP(-LN(2)/25))/(LN(2)/25)*Calculateur!ER44*Calculateur!ET44*VLOOKUP('Données projet'!$B$15,Paramètres!$A$1:$I$89,3,0)*0.475*44/12</f>
        <v>16.170746069415479</v>
      </c>
      <c r="EX44" s="21">
        <f>EXP(-LN(2)/2)*EX43+(1-EXP(-LN(2)/2))/(LN(2)/2)*ER44*EU44*VLOOKUP('Données projet'!$B$15,Paramètres!$A$1:$I$89,3,0)*0.475*44/12</f>
        <v>0.13350610989505435</v>
      </c>
      <c r="EY44" s="22">
        <f t="shared" si="21"/>
        <v>70.082657393442403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</v>
      </c>
      <c r="N45" s="13">
        <f>IF('Données projet'!$A$36&gt;35,N44+M45-V44,IF(A45&lt;'Données projet'!$A$36,$K$205^A45,IF(A45='Données projet'!$A$36,'Données projet'!$B$36,N44+M45-V44)))</f>
        <v>212.00000000000011</v>
      </c>
      <c r="O45" s="13">
        <f>N45*VLOOKUP('Données projet'!$B$9,Paramètres!$A$1:$I$89,3,0)*VLOOKUP('Données projet'!$B$9,Paramètres!$A$1:$I$89,5,0)</f>
        <v>185.20320000000012</v>
      </c>
      <c r="P45" s="13">
        <f t="shared" si="33"/>
        <v>46.477875402099386</v>
      </c>
      <c r="Q45" s="20">
        <f t="shared" si="53"/>
        <v>403.51120632532326</v>
      </c>
      <c r="R45" s="59">
        <f t="shared" si="0"/>
        <v>696.84453965865657</v>
      </c>
      <c r="S45" s="59">
        <f ca="1">AVERAGE(OFFSET($R$3,0,0,'Données projet'!$E$9+1,1))-AVERAGE(OFFSET($H$3,0,0,'Données projet'!$E$9+1,1))</f>
        <v>304.32767345253382</v>
      </c>
      <c r="T45" s="59">
        <f t="shared" si="34"/>
        <v>427.16091343339173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35.675417195584807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35.675417195584807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245.79999999999993</v>
      </c>
      <c r="AJ45" s="13">
        <f>AI45*VLOOKUP('Données projet'!$B$10,Paramètres!$A$1:$I$89,3,0)*VLOOKUP('Données projet'!$B$10,Paramètres!$A$1:$I$89,5,0)</f>
        <v>195.55847999999995</v>
      </c>
      <c r="AK45" s="13">
        <f t="shared" si="35"/>
        <v>48.766783903364477</v>
      </c>
      <c r="AL45" s="20">
        <f t="shared" si="4"/>
        <v>425.53316796502639</v>
      </c>
      <c r="AM45" s="59">
        <f t="shared" si="5"/>
        <v>718.86650129835971</v>
      </c>
      <c r="AN45" s="59">
        <f ca="1">AVERAGE(OFFSET($AM$3,0,0,'Données projet'!$E$10+1,1))-AVERAGE(OFFSET($H$3,0,0,'Données projet'!$E$10+1,1))</f>
        <v>405.40026823646758</v>
      </c>
      <c r="AO45" s="59">
        <f t="shared" si="36"/>
        <v>393.0787141050053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34.965157848377466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34.965157848377466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24.8</v>
      </c>
      <c r="BD45" s="12">
        <f>IF('Données projet'!$A$88&gt;35,BD44+BC45-BL44,IF(A45&lt;'Données projet'!$A$88,$BA$205^A45,IF(A45='Données projet'!$A$88,'Données projet'!$B$88,BD44+BC45-BL44)))</f>
        <v>611.5999999999998</v>
      </c>
      <c r="BE45" s="13">
        <f>BD45*VLOOKUP('Données projet'!$B$11,Paramètres!$A$1:$I$89,3,0)*VLOOKUP('Données projet'!$B$11,Paramètres!$A$1:$I$89,5,0)</f>
        <v>341.88439999999986</v>
      </c>
      <c r="BF45" s="13">
        <f t="shared" si="37"/>
        <v>79.889150066970018</v>
      </c>
      <c r="BG45" s="20">
        <f t="shared" si="7"/>
        <v>734.58893303330581</v>
      </c>
      <c r="BH45" s="59">
        <f t="shared" si="8"/>
        <v>1027.9222663666392</v>
      </c>
      <c r="BI45" s="59">
        <f ca="1">AVERAGE(OFFSET($BH$3,0,0,'Données projet'!$E$11+1,1))-AVERAGE(OFFSET($H$3,0,0,'Données projet'!$E$11+1,1))</f>
        <v>555.15881087162279</v>
      </c>
      <c r="BJ45" s="59">
        <f t="shared" si="38"/>
        <v>668.20427590250733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55.749079511611683</v>
      </c>
      <c r="BQ45" s="21">
        <f>EXP(-LN(2)/25)*BQ44+(1-EXP(-LN(2)/25))/(LN(2)/25)*Calculateur!BL45*Calculateur!BN45*VLOOKUP('Données projet'!$B$11,Paramètres!$A$1:$I$89,3,0)*0.475*44/12</f>
        <v>41.428152981477126</v>
      </c>
      <c r="BR45" s="21">
        <f>EXP(-LN(2)/2)*BR44+(1-EXP(-LN(2)/2))/(LN(2)/2)*BL45*BO45*VLOOKUP('Données projet'!$B$11,Paramètres!$A$1:$I$89,3,0)*0.475*44/12</f>
        <v>1.3288802605294768E-2</v>
      </c>
      <c r="BS45" s="22">
        <f t="shared" si="9"/>
        <v>97.190521295694097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</v>
      </c>
      <c r="BY45" s="12">
        <f>IF('Données projet'!$A$114&gt;35,BY44+BX45-CG44,IF(A45&lt;'Données projet'!$A$114,$BV$205^A45,IF(A45='Données projet'!$A$114,'Données projet'!$B$114,BY44+BX45-CG44)))</f>
        <v>245.79999999999993</v>
      </c>
      <c r="BZ45" s="13">
        <f>BY45*VLOOKUP('Données projet'!$B$12,Paramètres!$A$1:$I$89,3,0)*VLOOKUP('Données projet'!$B$12,Paramètres!$A$1:$I$89,5,0)</f>
        <v>161.04815999999994</v>
      </c>
      <c r="CA45" s="13">
        <f t="shared" si="39"/>
        <v>41.078840901763805</v>
      </c>
      <c r="CB45" s="20">
        <f t="shared" si="10"/>
        <v>352.0378599039052</v>
      </c>
      <c r="CC45" s="59">
        <f t="shared" si="11"/>
        <v>645.37119323723846</v>
      </c>
      <c r="CD45" s="59">
        <f ca="1">AVERAGE(OFFSET($CC$3,0,0,'Données projet'!$E$12+1,1))-AVERAGE(OFFSET($H$3,0,0,'Données projet'!$E$12+1,1))</f>
        <v>340.49092994349405</v>
      </c>
      <c r="CE45" s="59">
        <f t="shared" si="40"/>
        <v>331.54434271908832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23.361847974165624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23.361847974165624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11.4</v>
      </c>
      <c r="CT45" s="12">
        <f>IF('Données projet'!$A$140&gt;35,CT44+CS45-DB44,IF(A45&lt;'Données projet'!$A$140,$CQ$205^A45,IF(A45='Données projet'!$A$140,'Données projet'!$B$140,CT44+CS45-DB44)))</f>
        <v>169.8</v>
      </c>
      <c r="CU45" s="17">
        <f>CT45*VLOOKUP('Données projet'!$B$13,Paramètres!$A$1:$I$89,3,0)*VLOOKUP('Données projet'!$B$13,Paramètres!$A$1:$I$89,5,0)</f>
        <v>153.63504</v>
      </c>
      <c r="CV45" s="13">
        <f t="shared" si="41"/>
        <v>39.403506785222667</v>
      </c>
      <c r="CW45" s="20">
        <f t="shared" si="13"/>
        <v>336.20880231759617</v>
      </c>
      <c r="CX45" s="59">
        <f t="shared" si="14"/>
        <v>629.54213565092948</v>
      </c>
      <c r="CY45" s="59">
        <f ca="1">AVERAGE(OFFSET($CX$3,0,0,'Données projet'!$E$13+1,1))-AVERAGE(OFFSET($H$3,0,0,'Données projet'!$E$13+1,1))</f>
        <v>439.19854273764042</v>
      </c>
      <c r="CZ45" s="59">
        <f t="shared" si="42"/>
        <v>278.21741231699929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22.05892794276712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22.05892794276712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11.4</v>
      </c>
      <c r="DO45" s="12">
        <f>IF('Données projet'!$A$166&gt;35,DO44+DN45-DW44,IF(A45&lt;'Données projet'!$A$166,$DL$205^A45,IF(A45='Données projet'!$A$166,'Données projet'!$B$166,DO44+DN45-DW44)))</f>
        <v>169.8</v>
      </c>
      <c r="DP45" s="17">
        <f>DO45*VLOOKUP('Données projet'!$B$14,Paramètres!$A$1:$I$89,3,0)*VLOOKUP('Données projet'!$B$14,Paramètres!$A$1:$I$89,5,0)</f>
        <v>143.03952000000001</v>
      </c>
      <c r="DQ45" s="13">
        <f t="shared" si="43"/>
        <v>36.992444033168439</v>
      </c>
      <c r="DR45" s="20">
        <f t="shared" si="16"/>
        <v>313.55567069110168</v>
      </c>
      <c r="DS45" s="59">
        <f t="shared" si="17"/>
        <v>606.88900402443505</v>
      </c>
      <c r="DT45" s="59">
        <f ca="1">AVERAGE(OFFSET($DS$3,0,0,'Données projet'!$E$14+1,1))-AVERAGE(OFFSET($H$3,0,0,'Données projet'!$E$14+1,1))</f>
        <v>411.72284844766</v>
      </c>
      <c r="DU45" s="59">
        <f t="shared" si="44"/>
        <v>261.95434270986397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20.537622567403876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20.537622567403876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22.8</v>
      </c>
      <c r="EJ45" s="12">
        <f>IF('Données projet'!$A$192&gt;35,EJ44+EI45-ER44,IF(A45&lt;'Données projet'!$A$192,$EG$205^A45,IF(A45='Données projet'!$A$192,'Données projet'!$B$192,EJ44+EI45-ER44)))</f>
        <v>537.60000000000014</v>
      </c>
      <c r="EK45" s="17">
        <f>EJ45*VLOOKUP('Données projet'!$B$15,Paramètres!$A$1:$I$89,3,0)*VLOOKUP('Données projet'!$B$15,Paramètres!$A$1:$I$89,5,0)</f>
        <v>300.5184000000001</v>
      </c>
      <c r="EL45" s="13">
        <f t="shared" si="45"/>
        <v>71.285129105116411</v>
      </c>
      <c r="EM45" s="20">
        <f t="shared" si="19"/>
        <v>647.55781319141124</v>
      </c>
      <c r="EN45" s="59">
        <f t="shared" si="20"/>
        <v>940.8911465247445</v>
      </c>
      <c r="EO45" s="59">
        <f ca="1">AVERAGE(OFFSET($EN$3,0,0,'Données projet'!$E$15+1,1))-AVERAGE(OFFSET($H$3,0,0,'Données projet'!$E$15+1,1))</f>
        <v>443.34220761968419</v>
      </c>
      <c r="EP45" s="59">
        <f t="shared" si="46"/>
        <v>546.58234447298014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52.723843489471037</v>
      </c>
      <c r="EW45" s="21">
        <f>EXP(-LN(2)/25)*EW44+(1-EXP(-LN(2)/25))/(LN(2)/25)*Calculateur!ER45*Calculateur!ET45*VLOOKUP('Données projet'!$B$15,Paramètres!$A$1:$I$89,3,0)*0.475*44/12</f>
        <v>15.728556167764737</v>
      </c>
      <c r="EX45" s="21">
        <f>EXP(-LN(2)/2)*EX44+(1-EXP(-LN(2)/2))/(LN(2)/2)*ER45*EU45*VLOOKUP('Données projet'!$B$15,Paramètres!$A$1:$I$89,3,0)*0.475*44/12</f>
        <v>9.4403075636629363E-2</v>
      </c>
      <c r="EY45" s="22">
        <f t="shared" si="21"/>
        <v>68.546802732872408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</v>
      </c>
      <c r="N46" s="13">
        <f>IF('Données projet'!$A$36&gt;35,N45+M46-V45,IF(A46&lt;'Données projet'!$A$36,$K$205^A46,IF(A46='Données projet'!$A$36,'Données projet'!$B$36,N45+M46-V45)))</f>
        <v>223.00000000000011</v>
      </c>
      <c r="O46" s="13">
        <f>N46*VLOOKUP('Données projet'!$B$9,Paramètres!$A$1:$I$89,3,0)*VLOOKUP('Données projet'!$B$9,Paramètres!$A$1:$I$89,5,0)</f>
        <v>194.81280000000012</v>
      </c>
      <c r="P46" s="13">
        <f t="shared" si="33"/>
        <v>48.602440540253902</v>
      </c>
      <c r="Q46" s="20">
        <f t="shared" si="53"/>
        <v>423.9482106076091</v>
      </c>
      <c r="R46" s="59">
        <f t="shared" si="0"/>
        <v>717.28154394094236</v>
      </c>
      <c r="S46" s="59">
        <f ca="1">AVERAGE(OFFSET($R$3,0,0,'Données projet'!$E$9+1,1))-AVERAGE(OFFSET($H$3,0,0,'Données projet'!$E$9+1,1))</f>
        <v>304.32767345253382</v>
      </c>
      <c r="T46" s="59">
        <f t="shared" si="34"/>
        <v>427.16091343339173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34.975844024235272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34.975844024235272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257.19999999999993</v>
      </c>
      <c r="AJ46" s="13">
        <f>AI46*VLOOKUP('Données projet'!$B$10,Paramètres!$A$1:$I$89,3,0)*VLOOKUP('Données projet'!$B$10,Paramètres!$A$1:$I$89,5,0)</f>
        <v>204.62831999999995</v>
      </c>
      <c r="AK46" s="13">
        <f t="shared" si="35"/>
        <v>50.759974072251445</v>
      </c>
      <c r="AL46" s="20">
        <f t="shared" si="4"/>
        <v>444.80127884250447</v>
      </c>
      <c r="AM46" s="59">
        <f t="shared" si="5"/>
        <v>738.13461217583779</v>
      </c>
      <c r="AN46" s="59">
        <f ca="1">AVERAGE(OFFSET($AM$3,0,0,'Données projet'!$E$10+1,1))-AVERAGE(OFFSET($H$3,0,0,'Données projet'!$E$10+1,1))</f>
        <v>405.40026823646758</v>
      </c>
      <c r="AO46" s="59">
        <f t="shared" si="36"/>
        <v>393.0787141050053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34.279512429611238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34.279512429611238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24.8</v>
      </c>
      <c r="BD46" s="12">
        <f>IF('Données projet'!$A$88&gt;35,BD45+BC46-BL45,IF(A46&lt;'Données projet'!$A$88,$BA$205^A46,IF(A46='Données projet'!$A$88,'Données projet'!$B$88,BD45+BC46-BL45)))</f>
        <v>636.39999999999975</v>
      </c>
      <c r="BE46" s="13">
        <f>BD46*VLOOKUP('Données projet'!$B$11,Paramètres!$A$1:$I$89,3,0)*VLOOKUP('Données projet'!$B$11,Paramètres!$A$1:$I$89,5,0)</f>
        <v>355.74759999999986</v>
      </c>
      <c r="BF46" s="13">
        <f t="shared" si="37"/>
        <v>82.744877508992289</v>
      </c>
      <c r="BG46" s="20">
        <f t="shared" si="7"/>
        <v>763.70773166149456</v>
      </c>
      <c r="BH46" s="59">
        <f t="shared" si="8"/>
        <v>1057.0410649948278</v>
      </c>
      <c r="BI46" s="59">
        <f ca="1">AVERAGE(OFFSET($BH$3,0,0,'Données projet'!$E$11+1,1))-AVERAGE(OFFSET($H$3,0,0,'Données projet'!$E$11+1,1))</f>
        <v>555.15881087162279</v>
      </c>
      <c r="BJ46" s="59">
        <f t="shared" si="38"/>
        <v>668.20427590250733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54.655874065969904</v>
      </c>
      <c r="BQ46" s="21">
        <f>EXP(-LN(2)/25)*BQ45+(1-EXP(-LN(2)/25))/(LN(2)/25)*Calculateur!BL46*Calculateur!BN46*VLOOKUP('Données projet'!$B$11,Paramètres!$A$1:$I$89,3,0)*0.475*44/12</f>
        <v>40.295297959586755</v>
      </c>
      <c r="BR46" s="21">
        <f>EXP(-LN(2)/2)*BR45+(1-EXP(-LN(2)/2))/(LN(2)/2)*BL46*BO46*VLOOKUP('Données projet'!$B$11,Paramètres!$A$1:$I$89,3,0)*0.475*44/12</f>
        <v>9.39660243605339E-3</v>
      </c>
      <c r="BS46" s="22">
        <f t="shared" si="9"/>
        <v>94.960568627992714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</v>
      </c>
      <c r="BY46" s="12">
        <f>IF('Données projet'!$A$114&gt;35,BY45+BX46-CG45,IF(A46&lt;'Données projet'!$A$114,$BV$205^A46,IF(A46='Données projet'!$A$114,'Données projet'!$B$114,BY45+BX46-CG45)))</f>
        <v>257.19999999999993</v>
      </c>
      <c r="BZ46" s="13">
        <f>BY46*VLOOKUP('Données projet'!$B$12,Paramètres!$A$1:$I$89,3,0)*VLOOKUP('Données projet'!$B$12,Paramètres!$A$1:$I$89,5,0)</f>
        <v>168.51743999999997</v>
      </c>
      <c r="CA46" s="13">
        <f t="shared" si="39"/>
        <v>42.757810382238787</v>
      </c>
      <c r="CB46" s="20">
        <f t="shared" si="10"/>
        <v>367.97106108239922</v>
      </c>
      <c r="CC46" s="59">
        <f t="shared" si="11"/>
        <v>661.30439441573253</v>
      </c>
      <c r="CD46" s="59">
        <f ca="1">AVERAGE(OFFSET($CC$3,0,0,'Données projet'!$E$12+1,1))-AVERAGE(OFFSET($H$3,0,0,'Données projet'!$E$12+1,1))</f>
        <v>340.49092994349405</v>
      </c>
      <c r="CE46" s="59">
        <f t="shared" si="40"/>
        <v>331.54434271908832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22.903736384712495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22.903736384712495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11.4</v>
      </c>
      <c r="CT46" s="12">
        <f>IF('Données projet'!$A$140&gt;35,CT45+CS46-DB45,IF(A46&lt;'Données projet'!$A$140,$CQ$205^A46,IF(A46='Données projet'!$A$140,'Données projet'!$B$140,CT45+CS46-DB45)))</f>
        <v>181.20000000000002</v>
      </c>
      <c r="CU46" s="17">
        <f>CT46*VLOOKUP('Données projet'!$B$13,Paramètres!$A$1:$I$89,3,0)*VLOOKUP('Données projet'!$B$13,Paramètres!$A$1:$I$89,5,0)</f>
        <v>163.94976</v>
      </c>
      <c r="CV46" s="13">
        <f t="shared" si="41"/>
        <v>41.732126457893308</v>
      </c>
      <c r="CW46" s="20">
        <f t="shared" si="13"/>
        <v>358.22928558083089</v>
      </c>
      <c r="CX46" s="59">
        <f t="shared" si="14"/>
        <v>651.5626189141642</v>
      </c>
      <c r="CY46" s="59">
        <f ca="1">AVERAGE(OFFSET($CX$3,0,0,'Données projet'!$E$13+1,1))-AVERAGE(OFFSET($H$3,0,0,'Données projet'!$E$13+1,1))</f>
        <v>439.19854273764042</v>
      </c>
      <c r="CZ46" s="59">
        <f t="shared" si="42"/>
        <v>278.21741231699929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21.626365820426969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21.626365820426969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11.4</v>
      </c>
      <c r="DO46" s="12">
        <f>IF('Données projet'!$A$166&gt;35,DO45+DN46-DW45,IF(A46&lt;'Données projet'!$A$166,$DL$205^A46,IF(A46='Données projet'!$A$166,'Données projet'!$B$166,DO45+DN46-DW45)))</f>
        <v>181.20000000000002</v>
      </c>
      <c r="DP46" s="17">
        <f>DO46*VLOOKUP('Données projet'!$B$14,Paramètres!$A$1:$I$89,3,0)*VLOOKUP('Données projet'!$B$14,Paramètres!$A$1:$I$89,5,0)</f>
        <v>152.64288000000002</v>
      </c>
      <c r="DQ46" s="13">
        <f t="shared" si="43"/>
        <v>39.178577703588573</v>
      </c>
      <c r="DR46" s="20">
        <f t="shared" si="16"/>
        <v>334.08903883375007</v>
      </c>
      <c r="DS46" s="59">
        <f t="shared" si="17"/>
        <v>627.42237216708338</v>
      </c>
      <c r="DT46" s="59">
        <f ca="1">AVERAGE(OFFSET($DS$3,0,0,'Données projet'!$E$14+1,1))-AVERAGE(OFFSET($H$3,0,0,'Données projet'!$E$14+1,1))</f>
        <v>411.72284844766</v>
      </c>
      <c r="DU46" s="59">
        <f t="shared" si="44"/>
        <v>261.95434270986397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20.134892315569942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20.134892315569942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22.8</v>
      </c>
      <c r="EJ46" s="12">
        <f>IF('Données projet'!$A$192&gt;35,EJ45+EI46-ER45,IF(A46&lt;'Données projet'!$A$192,$EG$205^A46,IF(A46='Données projet'!$A$192,'Données projet'!$B$192,EJ45+EI46-ER45)))</f>
        <v>560.40000000000009</v>
      </c>
      <c r="EK46" s="17">
        <f>EJ46*VLOOKUP('Données projet'!$B$15,Paramètres!$A$1:$I$89,3,0)*VLOOKUP('Données projet'!$B$15,Paramètres!$A$1:$I$89,5,0)</f>
        <v>313.26360000000005</v>
      </c>
      <c r="EL46" s="13">
        <f t="shared" si="45"/>
        <v>73.949983766039026</v>
      </c>
      <c r="EM46" s="20">
        <f t="shared" si="19"/>
        <v>674.39699172585131</v>
      </c>
      <c r="EN46" s="59">
        <f t="shared" si="20"/>
        <v>967.73032505918468</v>
      </c>
      <c r="EO46" s="59">
        <f ca="1">AVERAGE(OFFSET($EN$3,0,0,'Données projet'!$E$15+1,1))-AVERAGE(OFFSET($H$3,0,0,'Données projet'!$E$15+1,1))</f>
        <v>443.34220761968419</v>
      </c>
      <c r="EP46" s="59">
        <f t="shared" si="46"/>
        <v>546.58234447298014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51.68996107701166</v>
      </c>
      <c r="EW46" s="21">
        <f>EXP(-LN(2)/25)*EW45+(1-EXP(-LN(2)/25))/(LN(2)/25)*Calculateur!ER46*Calculateur!ET46*VLOOKUP('Données projet'!$B$15,Paramètres!$A$1:$I$89,3,0)*0.475*44/12</f>
        <v>15.298457972228389</v>
      </c>
      <c r="EX46" s="21">
        <f>EXP(-LN(2)/2)*EX45+(1-EXP(-LN(2)/2))/(LN(2)/2)*ER46*EU46*VLOOKUP('Données projet'!$B$15,Paramètres!$A$1:$I$89,3,0)*0.475*44/12</f>
        <v>6.6753054947527174E-2</v>
      </c>
      <c r="EY46" s="22">
        <f t="shared" si="21"/>
        <v>67.055172104187577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</v>
      </c>
      <c r="N47" s="13">
        <f>IF('Données projet'!$A$36&gt;35,N46+M47-V46,IF(A47&lt;'Données projet'!$A$36,$K$205^A47,IF(A47='Données projet'!$A$36,'Données projet'!$B$36,N46+M47-V46)))</f>
        <v>234.00000000000011</v>
      </c>
      <c r="O47" s="13">
        <f>N47*VLOOKUP('Données projet'!$B$9,Paramètres!$A$1:$I$89,3,0)*VLOOKUP('Données projet'!$B$9,Paramètres!$A$1:$I$89,5,0)</f>
        <v>204.42240000000012</v>
      </c>
      <c r="P47" s="13">
        <f t="shared" si="33"/>
        <v>50.714836797527312</v>
      </c>
      <c r="Q47" s="20">
        <f t="shared" si="53"/>
        <v>444.36402075569362</v>
      </c>
      <c r="R47" s="59">
        <f t="shared" si="0"/>
        <v>737.69735408902693</v>
      </c>
      <c r="S47" s="59">
        <f ca="1">AVERAGE(OFFSET($R$3,0,0,'Données projet'!$E$9+1,1))-AVERAGE(OFFSET($H$3,0,0,'Données projet'!$E$9+1,1))</f>
        <v>304.32767345253382</v>
      </c>
      <c r="T47" s="59">
        <f t="shared" si="34"/>
        <v>427.16091343339173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34.289989056078397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34.289989056078397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268.59999999999991</v>
      </c>
      <c r="AJ47" s="13">
        <f>AI47*VLOOKUP('Données projet'!$B$10,Paramètres!$A$1:$I$89,3,0)*VLOOKUP('Données projet'!$B$10,Paramètres!$A$1:$I$89,5,0)</f>
        <v>213.69815999999994</v>
      </c>
      <c r="AK47" s="13">
        <f t="shared" si="35"/>
        <v>52.742903801874164</v>
      </c>
      <c r="AL47" s="20">
        <f t="shared" si="4"/>
        <v>464.05151945493071</v>
      </c>
      <c r="AM47" s="59">
        <f t="shared" si="5"/>
        <v>757.38485278826397</v>
      </c>
      <c r="AN47" s="59">
        <f ca="1">AVERAGE(OFFSET($AM$3,0,0,'Données projet'!$E$10+1,1))-AVERAGE(OFFSET($H$3,0,0,'Données projet'!$E$10+1,1))</f>
        <v>405.40026823646758</v>
      </c>
      <c r="AO47" s="59">
        <f t="shared" si="36"/>
        <v>393.0787141050053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33.607312099304608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33.607312099304608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24.8</v>
      </c>
      <c r="BD47" s="12">
        <f>IF('Données projet'!$A$88&gt;35,BD46+BC47-BL46,IF(A47&lt;'Données projet'!$A$88,$BA$205^A47,IF(A47='Données projet'!$A$88,'Données projet'!$B$88,BD46+BC47-BL46)))</f>
        <v>661.1999999999997</v>
      </c>
      <c r="BE47" s="13">
        <f>BD47*VLOOKUP('Données projet'!$B$11,Paramètres!$A$1:$I$89,3,0)*VLOOKUP('Données projet'!$B$11,Paramètres!$A$1:$I$89,5,0)</f>
        <v>369.61079999999981</v>
      </c>
      <c r="BF47" s="13">
        <f t="shared" si="37"/>
        <v>85.587677206936931</v>
      </c>
      <c r="BG47" s="20">
        <f t="shared" si="7"/>
        <v>792.80401446874805</v>
      </c>
      <c r="BH47" s="59">
        <f t="shared" si="8"/>
        <v>1086.1373478020814</v>
      </c>
      <c r="BI47" s="59">
        <f ca="1">AVERAGE(OFFSET($BH$3,0,0,'Données projet'!$E$11+1,1))-AVERAGE(OFFSET($H$3,0,0,'Données projet'!$E$11+1,1))</f>
        <v>555.15881087162279</v>
      </c>
      <c r="BJ47" s="59">
        <f t="shared" si="38"/>
        <v>668.20427590250733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53.584105712327677</v>
      </c>
      <c r="BQ47" s="21">
        <f>EXP(-LN(2)/25)*BQ46+(1-EXP(-LN(2)/25))/(LN(2)/25)*Calculateur!BL47*Calculateur!BN47*VLOOKUP('Données projet'!$B$11,Paramètres!$A$1:$I$89,3,0)*0.475*44/12</f>
        <v>39.193420917844229</v>
      </c>
      <c r="BR47" s="21">
        <f>EXP(-LN(2)/2)*BR46+(1-EXP(-LN(2)/2))/(LN(2)/2)*BL47*BO47*VLOOKUP('Données projet'!$B$11,Paramètres!$A$1:$I$89,3,0)*0.475*44/12</f>
        <v>6.644401302647384E-3</v>
      </c>
      <c r="BS47" s="22">
        <f t="shared" si="9"/>
        <v>92.784171031474557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</v>
      </c>
      <c r="BY47" s="12">
        <f>IF('Données projet'!$A$114&gt;35,BY46+BX47-CG46,IF(A47&lt;'Données projet'!$A$114,$BV$205^A47,IF(A47='Données projet'!$A$114,'Données projet'!$B$114,BY46+BX47-CG46)))</f>
        <v>268.59999999999991</v>
      </c>
      <c r="BZ47" s="13">
        <f>BY47*VLOOKUP('Données projet'!$B$12,Paramètres!$A$1:$I$89,3,0)*VLOOKUP('Données projet'!$B$12,Paramètres!$A$1:$I$89,5,0)</f>
        <v>175.98671999999993</v>
      </c>
      <c r="CA47" s="13">
        <f t="shared" si="39"/>
        <v>44.42813695214268</v>
      </c>
      <c r="CB47" s="20">
        <f t="shared" si="10"/>
        <v>383.88920919164838</v>
      </c>
      <c r="CC47" s="59">
        <f t="shared" si="11"/>
        <v>677.22254252498169</v>
      </c>
      <c r="CD47" s="59">
        <f ca="1">AVERAGE(OFFSET($CC$3,0,0,'Données projet'!$E$12+1,1))-AVERAGE(OFFSET($H$3,0,0,'Données projet'!$E$12+1,1))</f>
        <v>340.49092994349405</v>
      </c>
      <c r="CE47" s="59">
        <f t="shared" si="40"/>
        <v>331.54434271908832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22.454608084108063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22.454608084108063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11.4</v>
      </c>
      <c r="CT47" s="12">
        <f>IF('Données projet'!$A$140&gt;35,CT46+CS47-DB46,IF(A47&lt;'Données projet'!$A$140,$CQ$205^A47,IF(A47='Données projet'!$A$140,'Données projet'!$B$140,CT46+CS47-DB46)))</f>
        <v>192.60000000000002</v>
      </c>
      <c r="CU47" s="17">
        <f>CT47*VLOOKUP('Données projet'!$B$13,Paramètres!$A$1:$I$89,3,0)*VLOOKUP('Données projet'!$B$13,Paramètres!$A$1:$I$89,5,0)</f>
        <v>174.26447999999999</v>
      </c>
      <c r="CV47" s="13">
        <f t="shared" si="41"/>
        <v>44.043743683739521</v>
      </c>
      <c r="CW47" s="20">
        <f t="shared" si="13"/>
        <v>380.22015624917964</v>
      </c>
      <c r="CX47" s="59">
        <f t="shared" si="14"/>
        <v>673.55348958251295</v>
      </c>
      <c r="CY47" s="59">
        <f ca="1">AVERAGE(OFFSET($CX$3,0,0,'Données projet'!$E$13+1,1))-AVERAGE(OFFSET($H$3,0,0,'Données projet'!$E$13+1,1))</f>
        <v>439.19854273764042</v>
      </c>
      <c r="CZ47" s="59">
        <f t="shared" si="42"/>
        <v>278.21741231699929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21.202285977469064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21.202285977469064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11.4</v>
      </c>
      <c r="DO47" s="12">
        <f>IF('Données projet'!$A$166&gt;35,DO46+DN47-DW46,IF(A47&lt;'Données projet'!$A$166,$DL$205^A47,IF(A47='Données projet'!$A$166,'Données projet'!$B$166,DO46+DN47-DW46)))</f>
        <v>192.60000000000002</v>
      </c>
      <c r="DP47" s="17">
        <f>DO47*VLOOKUP('Données projet'!$B$14,Paramètres!$A$1:$I$89,3,0)*VLOOKUP('Données projet'!$B$14,Paramètres!$A$1:$I$89,5,0)</f>
        <v>162.24624000000003</v>
      </c>
      <c r="DQ47" s="13">
        <f t="shared" si="43"/>
        <v>41.348749290582795</v>
      </c>
      <c r="DR47" s="20">
        <f t="shared" si="16"/>
        <v>354.59460634776502</v>
      </c>
      <c r="DS47" s="59">
        <f t="shared" si="17"/>
        <v>647.92793968109834</v>
      </c>
      <c r="DT47" s="59">
        <f ca="1">AVERAGE(OFFSET($DS$3,0,0,'Données projet'!$E$14+1,1))-AVERAGE(OFFSET($H$3,0,0,'Données projet'!$E$14+1,1))</f>
        <v>411.72284844766</v>
      </c>
      <c r="DU47" s="59">
        <f t="shared" si="44"/>
        <v>261.95434270986397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19.740059358333273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19.740059358333273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22.8</v>
      </c>
      <c r="EJ47" s="12">
        <f>IF('Données projet'!$A$192&gt;35,EJ46+EI47-ER46,IF(A47&lt;'Données projet'!$A$192,$EG$205^A47,IF(A47='Données projet'!$A$192,'Données projet'!$B$192,EJ46+EI47-ER46)))</f>
        <v>583.20000000000005</v>
      </c>
      <c r="EK47" s="17">
        <f>EJ47*VLOOKUP('Données projet'!$B$15,Paramètres!$A$1:$I$89,3,0)*VLOOKUP('Données projet'!$B$15,Paramètres!$A$1:$I$89,5,0)</f>
        <v>326.00880000000001</v>
      </c>
      <c r="EL47" s="13">
        <f t="shared" si="45"/>
        <v>76.602244480772981</v>
      </c>
      <c r="EM47" s="20">
        <f t="shared" si="19"/>
        <v>701.2142358040129</v>
      </c>
      <c r="EN47" s="59">
        <f t="shared" si="20"/>
        <v>994.54756913734627</v>
      </c>
      <c r="EO47" s="59">
        <f ca="1">AVERAGE(OFFSET($EN$3,0,0,'Données projet'!$E$15+1,1))-AVERAGE(OFFSET($H$3,0,0,'Données projet'!$E$15+1,1))</f>
        <v>443.34220761968419</v>
      </c>
      <c r="EP47" s="59">
        <f t="shared" si="46"/>
        <v>546.58234447298014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50.67635246805461</v>
      </c>
      <c r="EW47" s="21">
        <f>EXP(-LN(2)/25)*EW46+(1-EXP(-LN(2)/25))/(LN(2)/25)*Calculateur!ER47*Calculateur!ET47*VLOOKUP('Données projet'!$B$15,Paramètres!$A$1:$I$89,3,0)*0.475*44/12</f>
        <v>14.880120834466865</v>
      </c>
      <c r="EX47" s="21">
        <f>EXP(-LN(2)/2)*EX46+(1-EXP(-LN(2)/2))/(LN(2)/2)*ER47*EU47*VLOOKUP('Données projet'!$B$15,Paramètres!$A$1:$I$89,3,0)*0.475*44/12</f>
        <v>4.7201537818314682E-2</v>
      </c>
      <c r="EY47" s="22">
        <f t="shared" si="21"/>
        <v>65.603674840339792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245</v>
      </c>
      <c r="L48" s="12">
        <f>VLOOKUP(A48,'Données projet'!$A$35:$I$55,9,0)</f>
        <v>11</v>
      </c>
      <c r="M48" s="12">
        <f t="array" ref="M48">INDEX(L:L,MIN(IF(ISNUMBER(L48:L244),ROW(L48:L244),"")))</f>
        <v>11</v>
      </c>
      <c r="N48" s="13">
        <f>IF('Données projet'!$A$36&gt;35,N47+M48-V47,IF(A48&lt;'Données projet'!$A$36,$K$205^A48,IF(A48='Données projet'!$A$36,'Données projet'!$B$36,N47+M48-V47)))</f>
        <v>245.00000000000011</v>
      </c>
      <c r="O48" s="13">
        <f>N48*VLOOKUP('Données projet'!$B$9,Paramètres!$A$1:$I$89,3,0)*VLOOKUP('Données projet'!$B$9,Paramètres!$A$1:$I$89,5,0)</f>
        <v>214.03200000000012</v>
      </c>
      <c r="P48" s="13">
        <f t="shared" si="33"/>
        <v>52.815701536972284</v>
      </c>
      <c r="Q48" s="20">
        <f t="shared" si="53"/>
        <v>464.75974684356021</v>
      </c>
      <c r="R48" s="59">
        <f t="shared" si="0"/>
        <v>758.09308017689352</v>
      </c>
      <c r="S48" s="59">
        <f ca="1">AVERAGE(OFFSET($R$3,0,0,'Données projet'!$E$9+1,1))-AVERAGE(OFFSET($H$3,0,0,'Données projet'!$E$9+1,1))</f>
        <v>304.32767345253382</v>
      </c>
      <c r="T48" s="59">
        <f t="shared" si="34"/>
        <v>427.16091343339173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41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50.6435605078794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50.6435605078794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280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279.99999999999989</v>
      </c>
      <c r="AJ48" s="13">
        <f>AI48*VLOOKUP('Données projet'!$B$10,Paramètres!$A$1:$I$89,3,0)*VLOOKUP('Données projet'!$B$10,Paramètres!$A$1:$I$89,5,0)</f>
        <v>222.76799999999994</v>
      </c>
      <c r="AK48" s="13">
        <f t="shared" si="35"/>
        <v>54.716058356609508</v>
      </c>
      <c r="AL48" s="20">
        <f t="shared" si="4"/>
        <v>483.28473497109485</v>
      </c>
      <c r="AM48" s="59">
        <f t="shared" si="5"/>
        <v>776.61806830442811</v>
      </c>
      <c r="AN48" s="59">
        <f ca="1">AVERAGE(OFFSET($AM$3,0,0,'Données projet'!$E$10+1,1))-AVERAGE(OFFSET($H$3,0,0,'Données projet'!$E$10+1,1))</f>
        <v>405.40026823646758</v>
      </c>
      <c r="AO48" s="59">
        <f t="shared" si="36"/>
        <v>393.0787141050053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26</v>
      </c>
      <c r="AR48" s="16">
        <f>IF(ISNA(VLOOKUP(A48,'Données projet'!$A$61:$I$81,5,0)),0%,VLOOKUP(A48,'Données projet'!$A$61:$I$81,5,0)*VLOOKUP('Données projet'!$B$10,Paramètres!$A$1:$I$89,7,0))</f>
        <v>0.53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45.067971791392978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45.067971791392978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686</v>
      </c>
      <c r="BB48" s="12">
        <f>VLOOKUP(A48,'Données projet'!$A$87:$I$107,9,0)</f>
        <v>24.8</v>
      </c>
      <c r="BC48" s="12">
        <f t="array" ref="BC48">INDEX(BB:BB,MIN(IF(ISNUMBER(BB48:BB244),ROW(BB48:BB244),"")))</f>
        <v>24.8</v>
      </c>
      <c r="BD48" s="12">
        <f>IF('Données projet'!$A$88&gt;35,BD47+BC48-BL47,IF(A48&lt;'Données projet'!$A$88,$BA$205^A48,IF(A48='Données projet'!$A$88,'Données projet'!$B$88,BD47+BC48-BL47)))</f>
        <v>685.99999999999966</v>
      </c>
      <c r="BE48" s="13">
        <f>BD48*VLOOKUP('Données projet'!$B$11,Paramètres!$A$1:$I$89,3,0)*VLOOKUP('Données projet'!$B$11,Paramètres!$A$1:$I$89,5,0)</f>
        <v>383.47399999999982</v>
      </c>
      <c r="BF48" s="13">
        <f t="shared" si="37"/>
        <v>88.418089567872116</v>
      </c>
      <c r="BG48" s="20">
        <f t="shared" si="7"/>
        <v>821.87872266404372</v>
      </c>
      <c r="BH48" s="59">
        <f t="shared" si="8"/>
        <v>1115.2120559973771</v>
      </c>
      <c r="BI48" s="59">
        <f ca="1">AVERAGE(OFFSET($BH$3,0,0,'Données projet'!$E$11+1,1))-AVERAGE(OFFSET($H$3,0,0,'Données projet'!$E$11+1,1))</f>
        <v>555.15881087162279</v>
      </c>
      <c r="BJ48" s="59">
        <f t="shared" si="38"/>
        <v>668.20427590250733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64</v>
      </c>
      <c r="BM48" s="16">
        <f>IF(ISNA(VLOOKUP(A48,'Données projet'!$A$87:$I$107,5,0)),0%,VLOOKUP(A48,'Données projet'!$A$87:$I$107,5,0)*VLOOKUP('Données projet'!$B$11,Paramètres!$A$1:$I$89,7,0))</f>
        <v>0.55000000000000004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78.635897559178972</v>
      </c>
      <c r="BQ48" s="21">
        <f>EXP(-LN(2)/25)*BQ47+(1-EXP(-LN(2)/25))/(LN(2)/25)*Calculateur!BL48*Calculateur!BN48*VLOOKUP('Données projet'!$B$11,Paramètres!$A$1:$I$89,3,0)*0.475*44/12</f>
        <v>38.121674761753347</v>
      </c>
      <c r="BR48" s="21">
        <f>EXP(-LN(2)/2)*BR47+(1-EXP(-LN(2)/2))/(LN(2)/2)*BL48*BO48*VLOOKUP('Données projet'!$B$11,Paramètres!$A$1:$I$89,3,0)*0.475*44/12</f>
        <v>4.698301218026695E-3</v>
      </c>
      <c r="BS48" s="22">
        <f t="shared" si="9"/>
        <v>116.76227062215035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280</v>
      </c>
      <c r="BW48" s="12">
        <f>VLOOKUP(A48,'Données projet'!$A$113:$I$133,9,0)</f>
        <v>11.4</v>
      </c>
      <c r="BX48" s="12">
        <f t="array" ref="BX48">INDEX(BW:BW,MIN(IF(ISNUMBER(BW48:BW244),ROW(BW48:BW244),"")))</f>
        <v>11.4</v>
      </c>
      <c r="BY48" s="12">
        <f>IF('Données projet'!$A$114&gt;35,BY47+BX48-CG47,IF(A48&lt;'Données projet'!$A$114,$BV$205^A48,IF(A48='Données projet'!$A$114,'Données projet'!$B$114,BY47+BX48-CG47)))</f>
        <v>279.99999999999989</v>
      </c>
      <c r="BZ48" s="13">
        <f>BY48*VLOOKUP('Données projet'!$B$12,Paramètres!$A$1:$I$89,3,0)*VLOOKUP('Données projet'!$B$12,Paramètres!$A$1:$I$89,5,0)</f>
        <v>183.45599999999993</v>
      </c>
      <c r="CA48" s="13">
        <f t="shared" si="39"/>
        <v>46.090229375321108</v>
      </c>
      <c r="CB48" s="20">
        <f t="shared" si="10"/>
        <v>399.79301616201747</v>
      </c>
      <c r="CC48" s="59">
        <f t="shared" si="11"/>
        <v>693.12634949535072</v>
      </c>
      <c r="CD48" s="59">
        <f ca="1">AVERAGE(OFFSET($CC$3,0,0,'Données projet'!$E$12+1,1))-AVERAGE(OFFSET($H$3,0,0,'Données projet'!$E$12+1,1))</f>
        <v>340.49092994349405</v>
      </c>
      <c r="CE48" s="59">
        <f t="shared" si="40"/>
        <v>331.54434271908832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26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30.11200778958775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30.11200778958775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204</v>
      </c>
      <c r="CR48" s="12">
        <f>VLOOKUP(A48,'Données projet'!$A$139:$I$159,9,0)</f>
        <v>11.4</v>
      </c>
      <c r="CS48" s="12">
        <f t="array" ref="CS48">INDEX(CR:CR,MIN(IF(ISNUMBER(CR48:CR244),ROW(CR48:CR244),"")))</f>
        <v>11.4</v>
      </c>
      <c r="CT48" s="12">
        <f>IF('Données projet'!$A$140&gt;35,CT47+CS48-DB47,IF(A48&lt;'Données projet'!$A$140,$CQ$205^A48,IF(A48='Données projet'!$A$140,'Données projet'!$B$140,CT47+CS48-DB47)))</f>
        <v>204.00000000000003</v>
      </c>
      <c r="CU48" s="17">
        <f>CT48*VLOOKUP('Données projet'!$B$13,Paramètres!$A$1:$I$89,3,0)*VLOOKUP('Données projet'!$B$13,Paramètres!$A$1:$I$89,5,0)</f>
        <v>184.57920000000001</v>
      </c>
      <c r="CV48" s="13">
        <f t="shared" si="41"/>
        <v>46.339479465836661</v>
      </c>
      <c r="CW48" s="20">
        <f t="shared" si="13"/>
        <v>402.18336673633218</v>
      </c>
      <c r="CX48" s="59">
        <f t="shared" si="14"/>
        <v>695.51670006966549</v>
      </c>
      <c r="CY48" s="59">
        <f ca="1">AVERAGE(OFFSET($CX$3,0,0,'Données projet'!$E$13+1,1))-AVERAGE(OFFSET($H$3,0,0,'Données projet'!$E$13+1,1))</f>
        <v>439.19854273764042</v>
      </c>
      <c r="CZ48" s="59">
        <f t="shared" si="42"/>
        <v>278.21741231699929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28</v>
      </c>
      <c r="DC48" s="16">
        <f>IF(ISNA(VLOOKUP(A48,'Données projet'!$A$139:$I$159,5,0)),0%,VLOOKUP(A48,'Données projet'!$A$139:$I$159,5,0)*VLOOKUP('Données projet'!$B$13,Paramètres!$A$1:$I$89,7,0))</f>
        <v>0.43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32.829286458361416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32.829286458361416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204</v>
      </c>
      <c r="DM48" s="12">
        <f>VLOOKUP(A48,'Données projet'!$A$165:$I$185,9,0)</f>
        <v>11.4</v>
      </c>
      <c r="DN48" s="12">
        <f t="array" ref="DN48">INDEX(DM:DM,MIN(IF(ISNUMBER(DM48:DM244),ROW(DM48:DM244),"")))</f>
        <v>11.4</v>
      </c>
      <c r="DO48" s="12">
        <f>IF('Données projet'!$A$166&gt;35,DO47+DN48-DW47,IF(A48&lt;'Données projet'!$A$166,$DL$205^A48,IF(A48='Données projet'!$A$166,'Données projet'!$B$166,DO47+DN48-DW47)))</f>
        <v>204.00000000000003</v>
      </c>
      <c r="DP48" s="17">
        <f>DO48*VLOOKUP('Données projet'!$B$14,Paramètres!$A$1:$I$89,3,0)*VLOOKUP('Données projet'!$B$14,Paramètres!$A$1:$I$89,5,0)</f>
        <v>171.84960000000004</v>
      </c>
      <c r="DQ48" s="13">
        <f t="shared" si="43"/>
        <v>43.50401120412441</v>
      </c>
      <c r="DR48" s="20">
        <f t="shared" si="16"/>
        <v>375.07420618051674</v>
      </c>
      <c r="DS48" s="59">
        <f t="shared" si="17"/>
        <v>668.40753951385</v>
      </c>
      <c r="DT48" s="59">
        <f ca="1">AVERAGE(OFFSET($DS$3,0,0,'Données projet'!$E$14+1,1))-AVERAGE(OFFSET($H$3,0,0,'Données projet'!$E$14+1,1))</f>
        <v>411.72284844766</v>
      </c>
      <c r="DU48" s="59">
        <f t="shared" si="44"/>
        <v>261.95434270986397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28</v>
      </c>
      <c r="DX48" s="16">
        <f>IF(ISNA(VLOOKUP(A48,'Données projet'!$A$165:$I$185,5,0)),0%,VLOOKUP(A48,'Données projet'!$A$165:$I$185,5,0)*VLOOKUP('Données projet'!$B$14,Paramètres!$A$1:$I$89,7,0))</f>
        <v>0.43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30.565197737095119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30.565197737095119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606</v>
      </c>
      <c r="EH48" s="12">
        <f>VLOOKUP(A48,'Données projet'!$A$191:$I$211,9,0)</f>
        <v>22.8</v>
      </c>
      <c r="EI48" s="12">
        <f t="array" ref="EI48">INDEX(EH:EH,MIN(IF(ISNUMBER(EH48:EH244),ROW(EH48:EH244),"")))</f>
        <v>22.8</v>
      </c>
      <c r="EJ48" s="12">
        <f>IF('Données projet'!$A$192&gt;35,EJ47+EI48-ER47,IF(A48&lt;'Données projet'!$A$192,$EG$205^A48,IF(A48='Données projet'!$A$192,'Données projet'!$B$192,EJ47+EI48-ER47)))</f>
        <v>606</v>
      </c>
      <c r="EK48" s="17">
        <f>EJ48*VLOOKUP('Données projet'!$B$15,Paramètres!$A$1:$I$89,3,0)*VLOOKUP('Données projet'!$B$15,Paramètres!$A$1:$I$89,5,0)</f>
        <v>338.75400000000002</v>
      </c>
      <c r="EL48" s="13">
        <f t="shared" si="45"/>
        <v>79.242459951408904</v>
      </c>
      <c r="EM48" s="20">
        <f t="shared" si="19"/>
        <v>728.01050108203719</v>
      </c>
      <c r="EN48" s="59">
        <f t="shared" si="20"/>
        <v>1021.3438344153706</v>
      </c>
      <c r="EO48" s="59">
        <f ca="1">AVERAGE(OFFSET($EN$3,0,0,'Données projet'!$E$15+1,1))-AVERAGE(OFFSET($H$3,0,0,'Données projet'!$E$15+1,1))</f>
        <v>443.34220761968419</v>
      </c>
      <c r="EP48" s="59">
        <f t="shared" si="46"/>
        <v>546.58234447298014</v>
      </c>
      <c r="EQ48" s="15">
        <f>IF(ISNA(VLOOKUP(A48,'Données projet'!$A$191:$I$211,3,0)),0,VLOOKUP(A48,'Données projet'!$A$191:$I$211,3,0))</f>
        <v>5</v>
      </c>
      <c r="ER48" s="15">
        <f>IF(ISNA(VLOOKUP(A48,'Données projet'!$A$191:$I$211,4,0)),0,VLOOKUP(A48,'Données projet'!$A$191:$I$211,4,0))</f>
        <v>66</v>
      </c>
      <c r="ES48" s="16">
        <f>IF(ISNA(VLOOKUP(A48,'Données projet'!$A$191:$I$211,5,0)),0%,VLOOKUP(A48,'Données projet'!$A$191:$I$211,5,0)*VLOOKUP('Données projet'!$B$15,Paramètres!$A$1:$I$89,7,0))</f>
        <v>0.55000000000000004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76.600868066121521</v>
      </c>
      <c r="EW48" s="21">
        <f>EXP(-LN(2)/25)*EW47+(1-EXP(-LN(2)/25))/(LN(2)/25)*Calculateur!ER48*Calculateur!ET48*VLOOKUP('Données projet'!$B$15,Paramètres!$A$1:$I$89,3,0)*0.475*44/12</f>
        <v>14.473223147736823</v>
      </c>
      <c r="EX48" s="21">
        <f>EXP(-LN(2)/2)*EX47+(1-EXP(-LN(2)/2))/(LN(2)/2)*ER48*EU48*VLOOKUP('Données projet'!$B$15,Paramètres!$A$1:$I$89,3,0)*0.475*44/12</f>
        <v>3.3376527473763587E-2</v>
      </c>
      <c r="EY48" s="22">
        <f t="shared" si="21"/>
        <v>91.107467741332101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9.6</v>
      </c>
      <c r="N49" s="13">
        <f>IF('Données projet'!$A$36&gt;35,N48+M49-V48,IF(A49&lt;'Données projet'!$A$36,$K$205^A49,IF(A49='Données projet'!$A$36,'Données projet'!$B$36,N48+M49-V48)))</f>
        <v>213.60000000000011</v>
      </c>
      <c r="O49" s="13">
        <f>N49*VLOOKUP('Données projet'!$B$9,Paramètres!$A$1:$I$89,3,0)*VLOOKUP('Données projet'!$B$9,Paramètres!$A$1:$I$89,5,0)</f>
        <v>186.60096000000013</v>
      </c>
      <c r="P49" s="13">
        <f t="shared" si="33"/>
        <v>46.787685683664144</v>
      </c>
      <c r="Q49" s="20">
        <f t="shared" si="53"/>
        <v>406.48522456571527</v>
      </c>
      <c r="R49" s="59">
        <f t="shared" si="0"/>
        <v>699.81855789904853</v>
      </c>
      <c r="S49" s="59">
        <f ca="1">AVERAGE(OFFSET($R$3,0,0,'Données projet'!$E$9+1,1))-AVERAGE(OFFSET($H$3,0,0,'Données projet'!$E$9+1,1))</f>
        <v>304.32767345253382</v>
      </c>
      <c r="T49" s="59">
        <f t="shared" si="34"/>
        <v>427.16091343339173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49.650471175841709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49.650471175841709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9.8000000000000007</v>
      </c>
      <c r="AI49" s="13">
        <f>IF('Données projet'!$A$62&gt;35,AI48+AH49-AQ48,IF(A49&lt;'Données projet'!$A$62,$AF$205^A49,IF(A49='Données projet'!$A$62,'Données projet'!$B$62,AI48+AH49-AQ48)))</f>
        <v>263.7999999999999</v>
      </c>
      <c r="AJ49" s="13">
        <f>AI49*VLOOKUP('Données projet'!$B$10,Paramètres!$A$1:$I$89,3,0)*VLOOKUP('Données projet'!$B$10,Paramètres!$A$1:$I$89,5,0)</f>
        <v>209.87927999999994</v>
      </c>
      <c r="AK49" s="13">
        <f t="shared" si="35"/>
        <v>51.909204458241767</v>
      </c>
      <c r="AL49" s="20">
        <f t="shared" si="4"/>
        <v>455.94827709810426</v>
      </c>
      <c r="AM49" s="59">
        <f t="shared" si="5"/>
        <v>749.28161043143757</v>
      </c>
      <c r="AN49" s="59">
        <f ca="1">AVERAGE(OFFSET($AM$3,0,0,'Données projet'!$E$10+1,1))-AVERAGE(OFFSET($H$3,0,0,'Données projet'!$E$10+1,1))</f>
        <v>405.40026823646758</v>
      </c>
      <c r="AO49" s="59">
        <f t="shared" si="36"/>
        <v>393.0787141050053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44.184216353312266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44.184216353312266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20.399999999999999</v>
      </c>
      <c r="BD49" s="12">
        <f>IF('Données projet'!$A$88&gt;35,BD48+BC49-BL48,IF(A49&lt;'Données projet'!$A$88,$BA$205^A49,IF(A49='Données projet'!$A$88,'Données projet'!$B$88,BD48+BC49-BL48)))</f>
        <v>642.39999999999964</v>
      </c>
      <c r="BE49" s="13">
        <f>BD49*VLOOKUP('Données projet'!$B$11,Paramètres!$A$1:$I$89,3,0)*VLOOKUP('Données projet'!$B$11,Paramètres!$A$1:$I$89,5,0)</f>
        <v>359.10159999999985</v>
      </c>
      <c r="BF49" s="13">
        <f t="shared" si="37"/>
        <v>83.433815871723468</v>
      </c>
      <c r="BG49" s="20">
        <f t="shared" si="7"/>
        <v>770.74918264325152</v>
      </c>
      <c r="BH49" s="59">
        <f t="shared" si="8"/>
        <v>1064.0825159765848</v>
      </c>
      <c r="BI49" s="59">
        <f ca="1">AVERAGE(OFFSET($BH$3,0,0,'Données projet'!$E$11+1,1))-AVERAGE(OFFSET($H$3,0,0,'Données projet'!$E$11+1,1))</f>
        <v>555.15881087162279</v>
      </c>
      <c r="BJ49" s="59">
        <f t="shared" si="38"/>
        <v>668.20427590250733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77.09389557120501</v>
      </c>
      <c r="BQ49" s="21">
        <f>EXP(-LN(2)/25)*BQ48+(1-EXP(-LN(2)/25))/(LN(2)/25)*Calculateur!BL49*Calculateur!BN49*VLOOKUP('Données projet'!$B$11,Paramètres!$A$1:$I$89,3,0)*0.475*44/12</f>
        <v>37.079235560661452</v>
      </c>
      <c r="BR49" s="21">
        <f>EXP(-LN(2)/2)*BR48+(1-EXP(-LN(2)/2))/(LN(2)/2)*BL49*BO49*VLOOKUP('Données projet'!$B$11,Paramètres!$A$1:$I$89,3,0)*0.475*44/12</f>
        <v>3.322200651323692E-3</v>
      </c>
      <c r="BS49" s="22">
        <f t="shared" si="9"/>
        <v>114.17645333251778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9.8000000000000007</v>
      </c>
      <c r="BY49" s="12">
        <f>IF('Données projet'!$A$114&gt;35,BY48+BX49-CG48,IF(A49&lt;'Données projet'!$A$114,$BV$205^A49,IF(A49='Données projet'!$A$114,'Données projet'!$B$114,BY48+BX49-CG48)))</f>
        <v>263.7999999999999</v>
      </c>
      <c r="BZ49" s="13">
        <f>BY49*VLOOKUP('Données projet'!$B$12,Paramètres!$A$1:$I$89,3,0)*VLOOKUP('Données projet'!$B$12,Paramètres!$A$1:$I$89,5,0)</f>
        <v>172.84175999999994</v>
      </c>
      <c r="CA49" s="13">
        <f t="shared" si="39"/>
        <v>43.725867908425457</v>
      </c>
      <c r="CB49" s="20">
        <f t="shared" si="10"/>
        <v>377.18861860717419</v>
      </c>
      <c r="CC49" s="59">
        <f t="shared" si="11"/>
        <v>670.52195194050751</v>
      </c>
      <c r="CD49" s="59">
        <f ca="1">AVERAGE(OFFSET($CC$3,0,0,'Données projet'!$E$12+1,1))-AVERAGE(OFFSET($H$3,0,0,'Données projet'!$E$12+1,1))</f>
        <v>340.49092994349405</v>
      </c>
      <c r="CE49" s="59">
        <f t="shared" si="40"/>
        <v>331.54434271908832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29.521529683345143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29.521529683345143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</v>
      </c>
      <c r="CT49" s="12">
        <f>IF('Données projet'!$A$140&gt;35,CT48+CS49-DB48,IF(A49&lt;'Données projet'!$A$140,$CQ$205^A49,IF(A49='Données projet'!$A$140,'Données projet'!$B$140,CT48+CS49-DB48)))</f>
        <v>187.00000000000003</v>
      </c>
      <c r="CU49" s="17">
        <f>CT49*VLOOKUP('Données projet'!$B$13,Paramètres!$A$1:$I$89,3,0)*VLOOKUP('Données projet'!$B$13,Paramètres!$A$1:$I$89,5,0)</f>
        <v>169.19760000000002</v>
      </c>
      <c r="CV49" s="13">
        <f t="shared" si="41"/>
        <v>42.910263223432885</v>
      </c>
      <c r="CW49" s="20">
        <f t="shared" si="13"/>
        <v>369.42119511414558</v>
      </c>
      <c r="CX49" s="59">
        <f t="shared" si="14"/>
        <v>662.75452844747883</v>
      </c>
      <c r="CY49" s="59">
        <f ca="1">AVERAGE(OFFSET($CX$3,0,0,'Données projet'!$E$13+1,1))-AVERAGE(OFFSET($H$3,0,0,'Données projet'!$E$13+1,1))</f>
        <v>439.19854273764042</v>
      </c>
      <c r="CZ49" s="59">
        <f t="shared" si="42"/>
        <v>278.21741231699929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32.185524174800491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32.185524174800491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11</v>
      </c>
      <c r="DO49" s="12">
        <f>IF('Données projet'!$A$166&gt;35,DO48+DN49-DW48,IF(A49&lt;'Données projet'!$A$166,$DL$205^A49,IF(A49='Données projet'!$A$166,'Données projet'!$B$166,DO48+DN49-DW48)))</f>
        <v>187.00000000000003</v>
      </c>
      <c r="DP49" s="17">
        <f>DO49*VLOOKUP('Données projet'!$B$14,Paramètres!$A$1:$I$89,3,0)*VLOOKUP('Données projet'!$B$14,Paramètres!$A$1:$I$89,5,0)</f>
        <v>157.52880000000005</v>
      </c>
      <c r="DQ49" s="13">
        <f t="shared" si="43"/>
        <v>40.284625411479013</v>
      </c>
      <c r="DR49" s="20">
        <f t="shared" si="16"/>
        <v>344.52504925832596</v>
      </c>
      <c r="DS49" s="59">
        <f t="shared" si="17"/>
        <v>637.85838259165928</v>
      </c>
      <c r="DT49" s="59">
        <f ca="1">AVERAGE(OFFSET($DS$3,0,0,'Données projet'!$E$14+1,1))-AVERAGE(OFFSET($H$3,0,0,'Données projet'!$E$14+1,1))</f>
        <v>411.72284844766</v>
      </c>
      <c r="DU49" s="59">
        <f t="shared" si="44"/>
        <v>261.95434270986397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29.965832852400467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29.965832852400467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17.8</v>
      </c>
      <c r="EJ49" s="12">
        <f>IF('Données projet'!$A$192&gt;35,EJ48+EI49-ER48,IF(A49&lt;'Données projet'!$A$192,$EG$205^A49,IF(A49='Données projet'!$A$192,'Données projet'!$B$192,EJ48+EI49-ER48)))</f>
        <v>557.79999999999995</v>
      </c>
      <c r="EK49" s="17">
        <f>EJ49*VLOOKUP('Données projet'!$B$15,Paramètres!$A$1:$I$89,3,0)*VLOOKUP('Données projet'!$B$15,Paramètres!$A$1:$I$89,5,0)</f>
        <v>311.81020000000001</v>
      </c>
      <c r="EL49" s="13">
        <f t="shared" si="45"/>
        <v>73.646743780370684</v>
      </c>
      <c r="EM49" s="20">
        <f t="shared" si="19"/>
        <v>671.33751041747894</v>
      </c>
      <c r="EN49" s="59">
        <f t="shared" si="20"/>
        <v>964.67084375081231</v>
      </c>
      <c r="EO49" s="59">
        <f ca="1">AVERAGE(OFFSET($EN$3,0,0,'Données projet'!$E$15+1,1))-AVERAGE(OFFSET($H$3,0,0,'Données projet'!$E$15+1,1))</f>
        <v>443.34220761968419</v>
      </c>
      <c r="EP49" s="59">
        <f t="shared" si="46"/>
        <v>546.58234447298014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75.098771765260992</v>
      </c>
      <c r="EW49" s="21">
        <f>EXP(-LN(2)/25)*EW48+(1-EXP(-LN(2)/25))/(LN(2)/25)*Calculateur!ER49*Calculateur!ET49*VLOOKUP('Données projet'!$B$15,Paramètres!$A$1:$I$89,3,0)*0.475*44/12</f>
        <v>14.077452099648234</v>
      </c>
      <c r="EX49" s="21">
        <f>EXP(-LN(2)/2)*EX48+(1-EXP(-LN(2)/2))/(LN(2)/2)*ER49*EU49*VLOOKUP('Données projet'!$B$15,Paramètres!$A$1:$I$89,3,0)*0.475*44/12</f>
        <v>2.3600768909157341E-2</v>
      </c>
      <c r="EY49" s="22">
        <f t="shared" si="21"/>
        <v>89.19982463381838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9.6</v>
      </c>
      <c r="N50" s="13">
        <f>IF('Données projet'!$A$36&gt;35,N49+M50-V49,IF(A50&lt;'Données projet'!$A$36,$K$205^A50,IF(A50='Données projet'!$A$36,'Données projet'!$B$36,N49+M50-V49)))</f>
        <v>223.2000000000001</v>
      </c>
      <c r="O50" s="13">
        <f>N50*VLOOKUP('Données projet'!$B$9,Paramètres!$A$1:$I$89,3,0)*VLOOKUP('Données projet'!$B$9,Paramètres!$A$1:$I$89,5,0)</f>
        <v>194.98752000000013</v>
      </c>
      <c r="P50" s="13">
        <f t="shared" si="33"/>
        <v>48.640954330020385</v>
      </c>
      <c r="Q50" s="20">
        <f t="shared" si="53"/>
        <v>424.31959279145235</v>
      </c>
      <c r="R50" s="59">
        <f t="shared" si="0"/>
        <v>717.65292612478561</v>
      </c>
      <c r="S50" s="59">
        <f ca="1">AVERAGE(OFFSET($R$3,0,0,'Données projet'!$E$9+1,1))-AVERAGE(OFFSET($H$3,0,0,'Données projet'!$E$9+1,1))</f>
        <v>304.32767345253382</v>
      </c>
      <c r="T50" s="59">
        <f t="shared" si="34"/>
        <v>427.16091343339173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48.676855719880592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48.676855719880592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9.8000000000000007</v>
      </c>
      <c r="AI50" s="13">
        <f>IF('Données projet'!$A$62&gt;35,AI49+AH50-AQ49,IF(A50&lt;'Données projet'!$A$62,$AF$205^A50,IF(A50='Données projet'!$A$62,'Données projet'!$B$62,AI49+AH50-AQ49)))</f>
        <v>273.59999999999991</v>
      </c>
      <c r="AJ50" s="13">
        <f>AI50*VLOOKUP('Données projet'!$B$10,Paramètres!$A$1:$I$89,3,0)*VLOOKUP('Données projet'!$B$10,Paramètres!$A$1:$I$89,5,0)</f>
        <v>217.67615999999992</v>
      </c>
      <c r="AK50" s="13">
        <f t="shared" si="35"/>
        <v>53.609498850196708</v>
      </c>
      <c r="AL50" s="20">
        <f t="shared" si="4"/>
        <v>472.48918916409235</v>
      </c>
      <c r="AM50" s="59">
        <f t="shared" si="5"/>
        <v>765.82252249742567</v>
      </c>
      <c r="AN50" s="59">
        <f ca="1">AVERAGE(OFFSET($AM$3,0,0,'Données projet'!$E$10+1,1))-AVERAGE(OFFSET($H$3,0,0,'Données projet'!$E$10+1,1))</f>
        <v>405.40026823646758</v>
      </c>
      <c r="AO50" s="59">
        <f t="shared" si="36"/>
        <v>393.0787141050053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43.317790820334722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43.317790820334722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20.399999999999999</v>
      </c>
      <c r="BD50" s="12">
        <f>IF('Données projet'!$A$88&gt;35,BD49+BC50-BL49,IF(A50&lt;'Données projet'!$A$88,$BA$205^A50,IF(A50='Données projet'!$A$88,'Données projet'!$B$88,BD49+BC50-BL49)))</f>
        <v>662.79999999999961</v>
      </c>
      <c r="BE50" s="13">
        <f>BD50*VLOOKUP('Données projet'!$B$11,Paramètres!$A$1:$I$89,3,0)*VLOOKUP('Données projet'!$B$11,Paramètres!$A$1:$I$89,5,0)</f>
        <v>370.50519999999983</v>
      </c>
      <c r="BF50" s="13">
        <f t="shared" si="37"/>
        <v>85.770652719303072</v>
      </c>
      <c r="BG50" s="20">
        <f t="shared" si="7"/>
        <v>794.6804434861192</v>
      </c>
      <c r="BH50" s="59">
        <f t="shared" si="8"/>
        <v>1088.0137768194525</v>
      </c>
      <c r="BI50" s="59">
        <f ca="1">AVERAGE(OFFSET($BH$3,0,0,'Données projet'!$E$11+1,1))-AVERAGE(OFFSET($H$3,0,0,'Données projet'!$E$11+1,1))</f>
        <v>555.15881087162279</v>
      </c>
      <c r="BJ50" s="59">
        <f t="shared" si="38"/>
        <v>668.20427590250733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75.582131301686886</v>
      </c>
      <c r="BQ50" s="21">
        <f>EXP(-LN(2)/25)*BQ49+(1-EXP(-LN(2)/25))/(LN(2)/25)*Calculateur!BL50*Calculateur!BN50*VLOOKUP('Données projet'!$B$11,Paramètres!$A$1:$I$89,3,0)*0.475*44/12</f>
        <v>36.065301914342911</v>
      </c>
      <c r="BR50" s="21">
        <f>EXP(-LN(2)/2)*BR49+(1-EXP(-LN(2)/2))/(LN(2)/2)*BL50*BO50*VLOOKUP('Données projet'!$B$11,Paramètres!$A$1:$I$89,3,0)*0.475*44/12</f>
        <v>2.3491506090133475E-3</v>
      </c>
      <c r="BS50" s="22">
        <f t="shared" si="9"/>
        <v>111.6497823666388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9.8000000000000007</v>
      </c>
      <c r="BY50" s="12">
        <f>IF('Données projet'!$A$114&gt;35,BY49+BX50-CG49,IF(A50&lt;'Données projet'!$A$114,$BV$205^A50,IF(A50='Données projet'!$A$114,'Données projet'!$B$114,BY49+BX50-CG49)))</f>
        <v>273.59999999999991</v>
      </c>
      <c r="BZ50" s="13">
        <f>BY50*VLOOKUP('Données projet'!$B$12,Paramètres!$A$1:$I$89,3,0)*VLOOKUP('Données projet'!$B$12,Paramètres!$A$1:$I$89,5,0)</f>
        <v>179.26271999999994</v>
      </c>
      <c r="CA50" s="13">
        <f t="shared" si="39"/>
        <v>45.158115787467111</v>
      </c>
      <c r="CB50" s="20">
        <f t="shared" si="10"/>
        <v>390.86628899650509</v>
      </c>
      <c r="CC50" s="59">
        <f t="shared" si="11"/>
        <v>684.19962232983835</v>
      </c>
      <c r="CD50" s="59">
        <f ca="1">AVERAGE(OFFSET($CC$3,0,0,'Données projet'!$E$12+1,1))-AVERAGE(OFFSET($H$3,0,0,'Données projet'!$E$12+1,1))</f>
        <v>340.49092994349405</v>
      </c>
      <c r="CE50" s="59">
        <f t="shared" si="40"/>
        <v>331.54434271908832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28.942630492609872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28.942630492609872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</v>
      </c>
      <c r="CT50" s="12">
        <f>IF('Données projet'!$A$140&gt;35,CT49+CS50-DB49,IF(A50&lt;'Données projet'!$A$140,$CQ$205^A50,IF(A50='Données projet'!$A$140,'Données projet'!$B$140,CT49+CS50-DB49)))</f>
        <v>198.00000000000003</v>
      </c>
      <c r="CU50" s="17">
        <f>CT50*VLOOKUP('Données projet'!$B$13,Paramètres!$A$1:$I$89,3,0)*VLOOKUP('Données projet'!$B$13,Paramètres!$A$1:$I$89,5,0)</f>
        <v>179.15040000000002</v>
      </c>
      <c r="CV50" s="13">
        <f t="shared" si="41"/>
        <v>45.133113803437304</v>
      </c>
      <c r="CW50" s="20">
        <f t="shared" si="13"/>
        <v>390.62711987431999</v>
      </c>
      <c r="CX50" s="59">
        <f t="shared" si="14"/>
        <v>683.96045320765325</v>
      </c>
      <c r="CY50" s="59">
        <f ca="1">AVERAGE(OFFSET($CX$3,0,0,'Données projet'!$E$13+1,1))-AVERAGE(OFFSET($H$3,0,0,'Données projet'!$E$13+1,1))</f>
        <v>439.19854273764042</v>
      </c>
      <c r="CZ50" s="59">
        <f t="shared" si="42"/>
        <v>278.21741231699929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31.554385676963978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31.554385676963978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11</v>
      </c>
      <c r="DO50" s="12">
        <f>IF('Données projet'!$A$166&gt;35,DO49+DN50-DW49,IF(A50&lt;'Données projet'!$A$166,$DL$205^A50,IF(A50='Données projet'!$A$166,'Données projet'!$B$166,DO49+DN50-DW49)))</f>
        <v>198.00000000000003</v>
      </c>
      <c r="DP50" s="17">
        <f>DO50*VLOOKUP('Données projet'!$B$14,Paramètres!$A$1:$I$89,3,0)*VLOOKUP('Données projet'!$B$14,Paramètres!$A$1:$I$89,5,0)</f>
        <v>166.79520000000002</v>
      </c>
      <c r="DQ50" s="13">
        <f t="shared" si="43"/>
        <v>42.371461898472788</v>
      </c>
      <c r="DR50" s="20">
        <f t="shared" si="16"/>
        <v>364.29860280650678</v>
      </c>
      <c r="DS50" s="59">
        <f t="shared" si="17"/>
        <v>657.63193613984004</v>
      </c>
      <c r="DT50" s="59">
        <f ca="1">AVERAGE(OFFSET($DS$3,0,0,'Données projet'!$E$14+1,1))-AVERAGE(OFFSET($H$3,0,0,'Données projet'!$E$14+1,1))</f>
        <v>411.72284844766</v>
      </c>
      <c r="DU50" s="59">
        <f t="shared" si="44"/>
        <v>261.95434270986397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29.378221147518197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29.378221147518197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17.8</v>
      </c>
      <c r="EJ50" s="12">
        <f>IF('Données projet'!$A$192&gt;35,EJ49+EI50-ER49,IF(A50&lt;'Données projet'!$A$192,$EG$205^A50,IF(A50='Données projet'!$A$192,'Données projet'!$B$192,EJ49+EI50-ER49)))</f>
        <v>575.59999999999991</v>
      </c>
      <c r="EK50" s="17">
        <f>EJ50*VLOOKUP('Données projet'!$B$15,Paramètres!$A$1:$I$89,3,0)*VLOOKUP('Données projet'!$B$15,Paramètres!$A$1:$I$89,5,0)</f>
        <v>321.76039999999995</v>
      </c>
      <c r="EL50" s="13">
        <f t="shared" si="45"/>
        <v>75.719522083505169</v>
      </c>
      <c r="EM50" s="20">
        <f t="shared" si="19"/>
        <v>692.27753096210472</v>
      </c>
      <c r="EN50" s="59">
        <f t="shared" si="20"/>
        <v>985.61086429543798</v>
      </c>
      <c r="EO50" s="59">
        <f ca="1">AVERAGE(OFFSET($EN$3,0,0,'Données projet'!$E$15+1,1))-AVERAGE(OFFSET($H$3,0,0,'Données projet'!$E$15+1,1))</f>
        <v>443.34220761968419</v>
      </c>
      <c r="EP50" s="59">
        <f t="shared" si="46"/>
        <v>546.58234447298014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73.626130656672061</v>
      </c>
      <c r="EW50" s="21">
        <f>EXP(-LN(2)/25)*EW49+(1-EXP(-LN(2)/25))/(LN(2)/25)*Calculateur!ER50*Calculateur!ET50*VLOOKUP('Données projet'!$B$15,Paramètres!$A$1:$I$89,3,0)*0.475*44/12</f>
        <v>13.692503431682322</v>
      </c>
      <c r="EX50" s="21">
        <f>EXP(-LN(2)/2)*EX49+(1-EXP(-LN(2)/2))/(LN(2)/2)*ER50*EU50*VLOOKUP('Données projet'!$B$15,Paramètres!$A$1:$I$89,3,0)*0.475*44/12</f>
        <v>1.6688263736881793E-2</v>
      </c>
      <c r="EY50" s="22">
        <f t="shared" si="21"/>
        <v>87.335322352091268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9.6</v>
      </c>
      <c r="N51" s="13">
        <f>IF('Données projet'!$A$36&gt;35,N50+M51-V50,IF(A51&lt;'Données projet'!$A$36,$K$205^A51,IF(A51='Données projet'!$A$36,'Données projet'!$B$36,N50+M51-V50)))</f>
        <v>232.8000000000001</v>
      </c>
      <c r="O51" s="13">
        <f>N51*VLOOKUP('Données projet'!$B$9,Paramètres!$A$1:$I$89,3,0)*VLOOKUP('Données projet'!$B$9,Paramètres!$A$1:$I$89,5,0)</f>
        <v>203.37408000000013</v>
      </c>
      <c r="P51" s="13">
        <f t="shared" si="33"/>
        <v>50.484964849140624</v>
      </c>
      <c r="Q51" s="20">
        <f t="shared" si="53"/>
        <v>442.1378364455868</v>
      </c>
      <c r="R51" s="59">
        <f t="shared" si="0"/>
        <v>735.47116977892006</v>
      </c>
      <c r="S51" s="59">
        <f ca="1">AVERAGE(OFFSET($R$3,0,0,'Données projet'!$E$9+1,1))-AVERAGE(OFFSET($H$3,0,0,'Données projet'!$E$9+1,1))</f>
        <v>304.32767345253382</v>
      </c>
      <c r="T51" s="59">
        <f t="shared" si="34"/>
        <v>427.16091343339173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47.722332269164085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47.722332269164085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9.8000000000000007</v>
      </c>
      <c r="AI51" s="13">
        <f>IF('Données projet'!$A$62&gt;35,AI50+AH51-AQ50,IF(A51&lt;'Données projet'!$A$62,$AF$205^A51,IF(A51='Données projet'!$A$62,'Données projet'!$B$62,AI50+AH51-AQ50)))</f>
        <v>283.39999999999992</v>
      </c>
      <c r="AJ51" s="13">
        <f>AI51*VLOOKUP('Données projet'!$B$10,Paramètres!$A$1:$I$89,3,0)*VLOOKUP('Données projet'!$B$10,Paramètres!$A$1:$I$89,5,0)</f>
        <v>225.47303999999994</v>
      </c>
      <c r="AK51" s="13">
        <f t="shared" si="35"/>
        <v>55.302717367103824</v>
      </c>
      <c r="AL51" s="20">
        <f t="shared" si="4"/>
        <v>489.0177774143724</v>
      </c>
      <c r="AM51" s="59">
        <f t="shared" si="5"/>
        <v>782.35111074770566</v>
      </c>
      <c r="AN51" s="59">
        <f ca="1">AVERAGE(OFFSET($AM$3,0,0,'Données projet'!$E$10+1,1))-AVERAGE(OFFSET($H$3,0,0,'Données projet'!$E$10+1,1))</f>
        <v>405.40026823646758</v>
      </c>
      <c r="AO51" s="59">
        <f t="shared" si="36"/>
        <v>393.0787141050053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42.468355363591478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42.468355363591478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20.399999999999999</v>
      </c>
      <c r="BD51" s="12">
        <f>IF('Données projet'!$A$88&gt;35,BD50+BC51-BL50,IF(A51&lt;'Données projet'!$A$88,$BA$205^A51,IF(A51='Données projet'!$A$88,'Données projet'!$B$88,BD50+BC51-BL50)))</f>
        <v>683.19999999999959</v>
      </c>
      <c r="BE51" s="13">
        <f>BD51*VLOOKUP('Données projet'!$B$11,Paramètres!$A$1:$I$89,3,0)*VLOOKUP('Données projet'!$B$11,Paramètres!$A$1:$I$89,5,0)</f>
        <v>381.90879999999981</v>
      </c>
      <c r="BF51" s="13">
        <f t="shared" si="37"/>
        <v>88.099131154986978</v>
      </c>
      <c r="BG51" s="20">
        <f t="shared" si="7"/>
        <v>818.59714676160195</v>
      </c>
      <c r="BH51" s="59">
        <f t="shared" si="8"/>
        <v>1111.9304800949353</v>
      </c>
      <c r="BI51" s="59">
        <f ca="1">AVERAGE(OFFSET($BH$3,0,0,'Données projet'!$E$11+1,1))-AVERAGE(OFFSET($H$3,0,0,'Données projet'!$E$11+1,1))</f>
        <v>555.15881087162279</v>
      </c>
      <c r="BJ51" s="59">
        <f t="shared" si="38"/>
        <v>668.20427590250733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74.100011807408848</v>
      </c>
      <c r="BQ51" s="21">
        <f>EXP(-LN(2)/25)*BQ50+(1-EXP(-LN(2)/25))/(LN(2)/25)*Calculateur!BL51*Calculateur!BN51*VLOOKUP('Données projet'!$B$11,Paramètres!$A$1:$I$89,3,0)*0.475*44/12</f>
        <v>35.079094336903403</v>
      </c>
      <c r="BR51" s="21">
        <f>EXP(-LN(2)/2)*BR50+(1-EXP(-LN(2)/2))/(LN(2)/2)*BL51*BO51*VLOOKUP('Données projet'!$B$11,Paramètres!$A$1:$I$89,3,0)*0.475*44/12</f>
        <v>1.661100325661846E-3</v>
      </c>
      <c r="BS51" s="22">
        <f t="shared" si="9"/>
        <v>109.18076724463791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9.8000000000000007</v>
      </c>
      <c r="BY51" s="12">
        <f>IF('Données projet'!$A$114&gt;35,BY50+BX51-CG50,IF(A51&lt;'Données projet'!$A$114,$BV$205^A51,IF(A51='Données projet'!$A$114,'Données projet'!$B$114,BY50+BX51-CG50)))</f>
        <v>283.39999999999992</v>
      </c>
      <c r="BZ51" s="13">
        <f>BY51*VLOOKUP('Données projet'!$B$12,Paramètres!$A$1:$I$89,3,0)*VLOOKUP('Données projet'!$B$12,Paramètres!$A$1:$I$89,5,0)</f>
        <v>185.68367999999995</v>
      </c>
      <c r="CA51" s="13">
        <f t="shared" si="39"/>
        <v>46.584403282779078</v>
      </c>
      <c r="CB51" s="20">
        <f t="shared" si="10"/>
        <v>404.5335783841735</v>
      </c>
      <c r="CC51" s="59">
        <f t="shared" si="11"/>
        <v>697.86691171750681</v>
      </c>
      <c r="CD51" s="59">
        <f ca="1">AVERAGE(OFFSET($CC$3,0,0,'Données projet'!$E$12+1,1))-AVERAGE(OFFSET($H$3,0,0,'Données projet'!$E$12+1,1))</f>
        <v>340.49092994349405</v>
      </c>
      <c r="CE51" s="59">
        <f t="shared" si="40"/>
        <v>331.54434271908832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28.375083161911277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28.375083161911277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</v>
      </c>
      <c r="CT51" s="12">
        <f>IF('Données projet'!$A$140&gt;35,CT50+CS51-DB50,IF(A51&lt;'Données projet'!$A$140,$CQ$205^A51,IF(A51='Données projet'!$A$140,'Données projet'!$B$140,CT50+CS51-DB50)))</f>
        <v>209.00000000000003</v>
      </c>
      <c r="CU51" s="17">
        <f>CT51*VLOOKUP('Données projet'!$B$13,Paramètres!$A$1:$I$89,3,0)*VLOOKUP('Données projet'!$B$13,Paramètres!$A$1:$I$89,5,0)</f>
        <v>189.10320000000002</v>
      </c>
      <c r="CV51" s="13">
        <f t="shared" si="41"/>
        <v>47.34162854278712</v>
      </c>
      <c r="CW51" s="20">
        <f t="shared" si="13"/>
        <v>411.80807637868764</v>
      </c>
      <c r="CX51" s="59">
        <f t="shared" si="14"/>
        <v>705.14140971202096</v>
      </c>
      <c r="CY51" s="59">
        <f ca="1">AVERAGE(OFFSET($CX$3,0,0,'Données projet'!$E$13+1,1))-AVERAGE(OFFSET($H$3,0,0,'Données projet'!$E$13+1,1))</f>
        <v>439.19854273764042</v>
      </c>
      <c r="CZ51" s="59">
        <f t="shared" si="42"/>
        <v>278.21741231699929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30.935623420113565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30.935623420113565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11</v>
      </c>
      <c r="DO51" s="12">
        <f>IF('Données projet'!$A$166&gt;35,DO50+DN51-DW50,IF(A51&lt;'Données projet'!$A$166,$DL$205^A51,IF(A51='Données projet'!$A$166,'Données projet'!$B$166,DO50+DN51-DW50)))</f>
        <v>209.00000000000003</v>
      </c>
      <c r="DP51" s="17">
        <f>DO51*VLOOKUP('Données projet'!$B$14,Paramètres!$A$1:$I$89,3,0)*VLOOKUP('Données projet'!$B$14,Paramètres!$A$1:$I$89,5,0)</f>
        <v>176.06160000000006</v>
      </c>
      <c r="DQ51" s="13">
        <f t="shared" si="43"/>
        <v>44.444839741138928</v>
      </c>
      <c r="DR51" s="20">
        <f t="shared" si="16"/>
        <v>384.04871588248369</v>
      </c>
      <c r="DS51" s="59">
        <f t="shared" si="17"/>
        <v>677.38204921581701</v>
      </c>
      <c r="DT51" s="59">
        <f ca="1">AVERAGE(OFFSET($DS$3,0,0,'Données projet'!$E$14+1,1))-AVERAGE(OFFSET($H$3,0,0,'Données projet'!$E$14+1,1))</f>
        <v>411.72284844766</v>
      </c>
      <c r="DU51" s="59">
        <f t="shared" si="44"/>
        <v>261.95434270986397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28.802132149760915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28.802132149760915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17.8</v>
      </c>
      <c r="EJ51" s="12">
        <f>IF('Données projet'!$A$192&gt;35,EJ50+EI51-ER50,IF(A51&lt;'Données projet'!$A$192,$EG$205^A51,IF(A51='Données projet'!$A$192,'Données projet'!$B$192,EJ50+EI51-ER50)))</f>
        <v>593.39999999999986</v>
      </c>
      <c r="EK51" s="17">
        <f>EJ51*VLOOKUP('Données projet'!$B$15,Paramètres!$A$1:$I$89,3,0)*VLOOKUP('Données projet'!$B$15,Paramètres!$A$1:$I$89,5,0)</f>
        <v>331.71059999999994</v>
      </c>
      <c r="EL51" s="13">
        <f t="shared" si="45"/>
        <v>77.784851407016433</v>
      </c>
      <c r="EM51" s="20">
        <f t="shared" si="19"/>
        <v>713.20457786722011</v>
      </c>
      <c r="EN51" s="59">
        <f t="shared" si="20"/>
        <v>1006.5379112005535</v>
      </c>
      <c r="EO51" s="59">
        <f ca="1">AVERAGE(OFFSET($EN$3,0,0,'Données projet'!$E$15+1,1))-AVERAGE(OFFSET($H$3,0,0,'Données projet'!$E$15+1,1))</f>
        <v>443.34220761968419</v>
      </c>
      <c r="EP51" s="59">
        <f t="shared" si="46"/>
        <v>546.58234447298014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72.182367142000174</v>
      </c>
      <c r="EW51" s="21">
        <f>EXP(-LN(2)/25)*EW50+(1-EXP(-LN(2)/25))/(LN(2)/25)*Calculateur!ER51*Calculateur!ET51*VLOOKUP('Données projet'!$B$15,Paramètres!$A$1:$I$89,3,0)*0.475*44/12</f>
        <v>13.318081205285509</v>
      </c>
      <c r="EX51" s="21">
        <f>EXP(-LN(2)/2)*EX50+(1-EXP(-LN(2)/2))/(LN(2)/2)*ER51*EU51*VLOOKUP('Données projet'!$B$15,Paramètres!$A$1:$I$89,3,0)*0.475*44/12</f>
        <v>1.180038445457867E-2</v>
      </c>
      <c r="EY51" s="22">
        <f t="shared" si="21"/>
        <v>85.512248731740257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9.6</v>
      </c>
      <c r="N52" s="13">
        <f>IF('Données projet'!$A$36&gt;35,N51+M52-V51,IF(A52&lt;'Données projet'!$A$36,$K$205^A52,IF(A52='Données projet'!$A$36,'Données projet'!$B$36,N51+M52-V51)))</f>
        <v>242.40000000000009</v>
      </c>
      <c r="O52" s="13">
        <f>N52*VLOOKUP('Données projet'!$B$9,Paramètres!$A$1:$I$89,3,0)*VLOOKUP('Données projet'!$B$9,Paramètres!$A$1:$I$89,5,0)</f>
        <v>211.76064000000011</v>
      </c>
      <c r="P52" s="13">
        <f t="shared" si="33"/>
        <v>52.320142683061327</v>
      </c>
      <c r="Q52" s="20">
        <f t="shared" si="53"/>
        <v>459.94069650633202</v>
      </c>
      <c r="R52" s="59">
        <f t="shared" si="0"/>
        <v>753.27402983966533</v>
      </c>
      <c r="S52" s="59">
        <f ca="1">AVERAGE(OFFSET($R$3,0,0,'Données projet'!$E$9+1,1))-AVERAGE(OFFSET($H$3,0,0,'Données projet'!$E$9+1,1))</f>
        <v>304.32767345253382</v>
      </c>
      <c r="T52" s="59">
        <f t="shared" si="34"/>
        <v>427.16091343339173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46.786526441114312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46.786526441114312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9.8000000000000007</v>
      </c>
      <c r="AI52" s="13">
        <f>IF('Données projet'!$A$62&gt;35,AI51+AH52-AQ51,IF(A52&lt;'Données projet'!$A$62,$AF$205^A52,IF(A52='Données projet'!$A$62,'Données projet'!$B$62,AI51+AH52-AQ51)))</f>
        <v>293.19999999999993</v>
      </c>
      <c r="AJ52" s="13">
        <f>AI52*VLOOKUP('Données projet'!$B$10,Paramètres!$A$1:$I$89,3,0)*VLOOKUP('Données projet'!$B$10,Paramètres!$A$1:$I$89,5,0)</f>
        <v>233.26991999999993</v>
      </c>
      <c r="AK52" s="13">
        <f t="shared" si="35"/>
        <v>56.989132736134763</v>
      </c>
      <c r="AL52" s="20">
        <f t="shared" si="4"/>
        <v>505.53451684876785</v>
      </c>
      <c r="AM52" s="59">
        <f t="shared" si="5"/>
        <v>798.86785018210117</v>
      </c>
      <c r="AN52" s="59">
        <f ca="1">AVERAGE(OFFSET($AM$3,0,0,'Données projet'!$E$10+1,1))-AVERAGE(OFFSET($H$3,0,0,'Données projet'!$E$10+1,1))</f>
        <v>405.40026823646758</v>
      </c>
      <c r="AO52" s="59">
        <f t="shared" si="36"/>
        <v>393.0787141050053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41.635576818050495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41.635576818050495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20.399999999999999</v>
      </c>
      <c r="BD52" s="12">
        <f>IF('Données projet'!$A$88&gt;35,BD51+BC52-BL51,IF(A52&lt;'Données projet'!$A$88,$BA$205^A52,IF(A52='Données projet'!$A$88,'Données projet'!$B$88,BD51+BC52-BL51)))</f>
        <v>703.59999999999957</v>
      </c>
      <c r="BE52" s="13">
        <f>BD52*VLOOKUP('Données projet'!$B$11,Paramètres!$A$1:$I$89,3,0)*VLOOKUP('Données projet'!$B$11,Paramètres!$A$1:$I$89,5,0)</f>
        <v>393.3123999999998</v>
      </c>
      <c r="BF52" s="13">
        <f t="shared" si="37"/>
        <v>90.419529407700907</v>
      </c>
      <c r="BG52" s="20">
        <f t="shared" si="7"/>
        <v>842.49977705174535</v>
      </c>
      <c r="BH52" s="59">
        <f t="shared" si="8"/>
        <v>1135.8331103850787</v>
      </c>
      <c r="BI52" s="59">
        <f ca="1">AVERAGE(OFFSET($BH$3,0,0,'Données projet'!$E$11+1,1))-AVERAGE(OFFSET($H$3,0,0,'Données projet'!$E$11+1,1))</f>
        <v>555.15881087162279</v>
      </c>
      <c r="BJ52" s="59">
        <f t="shared" si="38"/>
        <v>668.20427590250733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72.646955772409981</v>
      </c>
      <c r="BQ52" s="21">
        <f>EXP(-LN(2)/25)*BQ51+(1-EXP(-LN(2)/25))/(LN(2)/25)*Calculateur!BL52*Calculateur!BN52*VLOOKUP('Données projet'!$B$11,Paramètres!$A$1:$I$89,3,0)*0.475*44/12</f>
        <v>34.119854657531384</v>
      </c>
      <c r="BR52" s="21">
        <f>EXP(-LN(2)/2)*BR51+(1-EXP(-LN(2)/2))/(LN(2)/2)*BL52*BO52*VLOOKUP('Données projet'!$B$11,Paramètres!$A$1:$I$89,3,0)*0.475*44/12</f>
        <v>1.1745753045066738E-3</v>
      </c>
      <c r="BS52" s="22">
        <f t="shared" si="9"/>
        <v>106.76798500524586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9.8000000000000007</v>
      </c>
      <c r="BY52" s="12">
        <f>IF('Données projet'!$A$114&gt;35,BY51+BX52-CG51,IF(A52&lt;'Données projet'!$A$114,$BV$205^A52,IF(A52='Données projet'!$A$114,'Données projet'!$B$114,BY51+BX52-CG51)))</f>
        <v>293.19999999999993</v>
      </c>
      <c r="BZ52" s="13">
        <f>BY52*VLOOKUP('Données projet'!$B$12,Paramètres!$A$1:$I$89,3,0)*VLOOKUP('Données projet'!$B$12,Paramètres!$A$1:$I$89,5,0)</f>
        <v>192.10463999999996</v>
      </c>
      <c r="CA52" s="13">
        <f t="shared" si="39"/>
        <v>48.004960126879922</v>
      </c>
      <c r="CB52" s="20">
        <f t="shared" si="10"/>
        <v>418.19088688764913</v>
      </c>
      <c r="CC52" s="59">
        <f t="shared" si="11"/>
        <v>711.52422022098244</v>
      </c>
      <c r="CD52" s="59">
        <f ca="1">AVERAGE(OFFSET($CC$3,0,0,'Données projet'!$E$12+1,1))-AVERAGE(OFFSET($H$3,0,0,'Données projet'!$E$12+1,1))</f>
        <v>340.49092994349405</v>
      </c>
      <c r="CE52" s="59">
        <f t="shared" si="40"/>
        <v>331.54434271908832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27.818665088197992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27.818665088197992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</v>
      </c>
      <c r="CT52" s="12">
        <f>IF('Données projet'!$A$140&gt;35,CT51+CS52-DB51,IF(A52&lt;'Données projet'!$A$140,$CQ$205^A52,IF(A52='Données projet'!$A$140,'Données projet'!$B$140,CT51+CS52-DB51)))</f>
        <v>220.00000000000003</v>
      </c>
      <c r="CU52" s="17">
        <f>CT52*VLOOKUP('Données projet'!$B$13,Paramètres!$A$1:$I$89,3,0)*VLOOKUP('Données projet'!$B$13,Paramètres!$A$1:$I$89,5,0)</f>
        <v>199.05600000000001</v>
      </c>
      <c r="CV52" s="13">
        <f t="shared" si="41"/>
        <v>49.536648006253934</v>
      </c>
      <c r="CW52" s="20">
        <f t="shared" si="13"/>
        <v>432.96552861089231</v>
      </c>
      <c r="CX52" s="59">
        <f t="shared" si="14"/>
        <v>726.29886194422556</v>
      </c>
      <c r="CY52" s="59">
        <f ca="1">AVERAGE(OFFSET($CX$3,0,0,'Données projet'!$E$13+1,1))-AVERAGE(OFFSET($H$3,0,0,'Données projet'!$E$13+1,1))</f>
        <v>439.19854273764042</v>
      </c>
      <c r="CZ52" s="59">
        <f t="shared" si="42"/>
        <v>278.21741231699929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30.328994713712277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30.328994713712277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11</v>
      </c>
      <c r="DO52" s="12">
        <f>IF('Données projet'!$A$166&gt;35,DO51+DN52-DW51,IF(A52&lt;'Données projet'!$A$166,$DL$205^A52,IF(A52='Données projet'!$A$166,'Données projet'!$B$166,DO51+DN52-DW51)))</f>
        <v>220.00000000000003</v>
      </c>
      <c r="DP52" s="17">
        <f>DO52*VLOOKUP('Données projet'!$B$14,Paramètres!$A$1:$I$89,3,0)*VLOOKUP('Données projet'!$B$14,Paramètres!$A$1:$I$89,5,0)</f>
        <v>185.32800000000006</v>
      </c>
      <c r="DQ52" s="13">
        <f t="shared" si="43"/>
        <v>46.505548070897625</v>
      </c>
      <c r="DR52" s="20">
        <f t="shared" si="16"/>
        <v>403.77676289014676</v>
      </c>
      <c r="DS52" s="59">
        <f t="shared" si="17"/>
        <v>697.11009622348001</v>
      </c>
      <c r="DT52" s="59">
        <f ca="1">AVERAGE(OFFSET($DS$3,0,0,'Données projet'!$E$14+1,1))-AVERAGE(OFFSET($H$3,0,0,'Données projet'!$E$14+1,1))</f>
        <v>411.72284844766</v>
      </c>
      <c r="DU52" s="59">
        <f t="shared" si="44"/>
        <v>261.95434270986397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28.237339905870062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28.237339905870062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17.8</v>
      </c>
      <c r="EJ52" s="12">
        <f>IF('Données projet'!$A$192&gt;35,EJ51+EI52-ER51,IF(A52&lt;'Données projet'!$A$192,$EG$205^A52,IF(A52='Données projet'!$A$192,'Données projet'!$B$192,EJ51+EI52-ER51)))</f>
        <v>611.19999999999982</v>
      </c>
      <c r="EK52" s="17">
        <f>EJ52*VLOOKUP('Données projet'!$B$15,Paramètres!$A$1:$I$89,3,0)*VLOOKUP('Données projet'!$B$15,Paramètres!$A$1:$I$89,5,0)</f>
        <v>341.66079999999988</v>
      </c>
      <c r="EL52" s="13">
        <f t="shared" si="45"/>
        <v>79.842980844864144</v>
      </c>
      <c r="EM52" s="20">
        <f t="shared" si="19"/>
        <v>734.11908497147158</v>
      </c>
      <c r="EN52" s="59">
        <f t="shared" si="20"/>
        <v>1027.452418304805</v>
      </c>
      <c r="EO52" s="59">
        <f ca="1">AVERAGE(OFFSET($EN$3,0,0,'Données projet'!$E$15+1,1))-AVERAGE(OFFSET($H$3,0,0,'Données projet'!$E$15+1,1))</f>
        <v>443.34220761968419</v>
      </c>
      <c r="EP52" s="59">
        <f t="shared" si="46"/>
        <v>546.58234447298014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70.766914949242206</v>
      </c>
      <c r="EW52" s="21">
        <f>EXP(-LN(2)/25)*EW51+(1-EXP(-LN(2)/25))/(LN(2)/25)*Calculateur!ER52*Calculateur!ET52*VLOOKUP('Données projet'!$B$15,Paramètres!$A$1:$I$89,3,0)*0.475*44/12</f>
        <v>12.953897574359525</v>
      </c>
      <c r="EX52" s="21">
        <f>EXP(-LN(2)/2)*EX51+(1-EXP(-LN(2)/2))/(LN(2)/2)*ER52*EU52*VLOOKUP('Données projet'!$B$15,Paramètres!$A$1:$I$89,3,0)*0.475*44/12</f>
        <v>8.3441318684408967E-3</v>
      </c>
      <c r="EY52" s="22">
        <f t="shared" si="21"/>
        <v>83.729156655470177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252</v>
      </c>
      <c r="L53" s="12">
        <f>VLOOKUP(A53,'Données projet'!$A$35:$I$55,9,0)</f>
        <v>9.6</v>
      </c>
      <c r="M53" s="12">
        <f t="array" ref="M53">INDEX(L:L,MIN(IF(ISNUMBER(L53:L249),ROW(L53:L249),"")))</f>
        <v>9.6</v>
      </c>
      <c r="N53" s="13">
        <f>IF('Données projet'!$A$36&gt;35,N52+M53-V52,IF(A53&lt;'Données projet'!$A$36,$K$205^A53,IF(A53='Données projet'!$A$36,'Données projet'!$B$36,N52+M53-V52)))</f>
        <v>252.00000000000009</v>
      </c>
      <c r="O53" s="13">
        <f>N53*VLOOKUP('Données projet'!$B$9,Paramètres!$A$1:$I$89,3,0)*VLOOKUP('Données projet'!$B$9,Paramètres!$A$1:$I$89,5,0)</f>
        <v>220.14720000000011</v>
      </c>
      <c r="P53" s="13">
        <f t="shared" si="33"/>
        <v>54.146877667769687</v>
      </c>
      <c r="Q53" s="20">
        <f t="shared" si="53"/>
        <v>477.72885193803239</v>
      </c>
      <c r="R53" s="59">
        <f t="shared" si="0"/>
        <v>771.06218527136571</v>
      </c>
      <c r="S53" s="59">
        <f ca="1">AVERAGE(OFFSET($R$3,0,0,'Données projet'!$E$9+1,1))-AVERAGE(OFFSET($H$3,0,0,'Données projet'!$E$9+1,1))</f>
        <v>304.32767345253382</v>
      </c>
      <c r="T53" s="59">
        <f t="shared" si="34"/>
        <v>427.16091343339173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37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61.233977468406763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61.233977468406763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303</v>
      </c>
      <c r="AG53" s="12">
        <f>VLOOKUP(A53,'Données projet'!$A$61:$I$81,9,0)</f>
        <v>9.8000000000000007</v>
      </c>
      <c r="AH53" s="12">
        <f t="array" ref="AH53">INDEX(AG:AG,MIN(IF(ISNUMBER(AG53:AG249),ROW(AG53:AG249),"")))</f>
        <v>9.8000000000000007</v>
      </c>
      <c r="AI53" s="13">
        <f>IF('Données projet'!$A$62&gt;35,AI52+AH53-AQ52,IF(A53&lt;'Données projet'!$A$62,$AF$205^A53,IF(A53='Données projet'!$A$62,'Données projet'!$B$62,AI52+AH53-AQ52)))</f>
        <v>302.99999999999994</v>
      </c>
      <c r="AJ53" s="13">
        <f>AI53*VLOOKUP('Données projet'!$B$10,Paramètres!$A$1:$I$89,3,0)*VLOOKUP('Données projet'!$B$10,Paramètres!$A$1:$I$89,5,0)</f>
        <v>241.06679999999997</v>
      </c>
      <c r="AK53" s="13">
        <f t="shared" si="35"/>
        <v>58.668998418543559</v>
      </c>
      <c r="AL53" s="20">
        <f t="shared" si="4"/>
        <v>522.03984891229663</v>
      </c>
      <c r="AM53" s="59">
        <f t="shared" si="5"/>
        <v>815.37318224563001</v>
      </c>
      <c r="AN53" s="59">
        <f ca="1">AVERAGE(OFFSET($AM$3,0,0,'Données projet'!$E$10+1,1))-AVERAGE(OFFSET($H$3,0,0,'Données projet'!$E$10+1,1))</f>
        <v>405.40026823646758</v>
      </c>
      <c r="AO53" s="59">
        <f t="shared" si="36"/>
        <v>393.0787141050053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0.53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50.608099715777719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50.608099715777719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724</v>
      </c>
      <c r="BB53" s="12">
        <f>VLOOKUP(A53,'Données projet'!$A$87:$I$107,9,0)</f>
        <v>20.399999999999999</v>
      </c>
      <c r="BC53" s="12">
        <f t="array" ref="BC53">INDEX(BB:BB,MIN(IF(ISNUMBER(BB53:BB249),ROW(BB53:BB249),"")))</f>
        <v>20.399999999999999</v>
      </c>
      <c r="BD53" s="12">
        <f>IF('Données projet'!$A$88&gt;35,BD52+BC53-BL52,IF(A53&lt;'Données projet'!$A$88,$BA$205^A53,IF(A53='Données projet'!$A$88,'Données projet'!$B$88,BD52+BC53-BL52)))</f>
        <v>723.99999999999955</v>
      </c>
      <c r="BE53" s="13">
        <f>BD53*VLOOKUP('Données projet'!$B$11,Paramètres!$A$1:$I$89,3,0)*VLOOKUP('Données projet'!$B$11,Paramètres!$A$1:$I$89,5,0)</f>
        <v>404.71599999999978</v>
      </c>
      <c r="BF53" s="13">
        <f t="shared" si="37"/>
        <v>92.732108655131142</v>
      </c>
      <c r="BG53" s="20">
        <f t="shared" si="7"/>
        <v>866.38878924101971</v>
      </c>
      <c r="BH53" s="59">
        <f t="shared" si="8"/>
        <v>1159.7221225743531</v>
      </c>
      <c r="BI53" s="59">
        <f ca="1">AVERAGE(OFFSET($BH$3,0,0,'Données projet'!$E$11+1,1))-AVERAGE(OFFSET($H$3,0,0,'Données projet'!$E$11+1,1))</f>
        <v>555.15881087162279</v>
      </c>
      <c r="BJ53" s="59">
        <f t="shared" si="38"/>
        <v>668.20427590250733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62</v>
      </c>
      <c r="BM53" s="16">
        <f>IF(ISNA(VLOOKUP(A53,'Données projet'!$A$87:$I$107,5,0)),0%,VLOOKUP(A53,'Données projet'!$A$87:$I$107,5,0)*VLOOKUP('Données projet'!$B$11,Paramètres!$A$1:$I$89,7,0))</f>
        <v>0.55000000000000004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96.509232273123743</v>
      </c>
      <c r="BQ53" s="21">
        <f>EXP(-LN(2)/25)*BQ52+(1-EXP(-LN(2)/25))/(LN(2)/25)*Calculateur!BL53*Calculateur!BN53*VLOOKUP('Données projet'!$B$11,Paramètres!$A$1:$I$89,3,0)*0.475*44/12</f>
        <v>33.186845437636016</v>
      </c>
      <c r="BR53" s="21">
        <f>EXP(-LN(2)/2)*BR52+(1-EXP(-LN(2)/2))/(LN(2)/2)*BL53*BO53*VLOOKUP('Données projet'!$B$11,Paramètres!$A$1:$I$89,3,0)*0.475*44/12</f>
        <v>8.30550162830923E-4</v>
      </c>
      <c r="BS53" s="22">
        <f t="shared" si="9"/>
        <v>129.69690826092258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303</v>
      </c>
      <c r="BW53" s="12">
        <f>VLOOKUP(A53,'Données projet'!$A$113:$I$133,9,0)</f>
        <v>9.8000000000000007</v>
      </c>
      <c r="BX53" s="12">
        <f t="array" ref="BX53">INDEX(BW:BW,MIN(IF(ISNUMBER(BW53:BW249),ROW(BW53:BW249),"")))</f>
        <v>9.8000000000000007</v>
      </c>
      <c r="BY53" s="12">
        <f>IF('Données projet'!$A$114&gt;35,BY52+BX53-CG52,IF(A53&lt;'Données projet'!$A$114,$BV$205^A53,IF(A53='Données projet'!$A$114,'Données projet'!$B$114,BY52+BX53-CG52)))</f>
        <v>302.99999999999994</v>
      </c>
      <c r="BZ53" s="13">
        <f>BY53*VLOOKUP('Données projet'!$B$12,Paramètres!$A$1:$I$89,3,0)*VLOOKUP('Données projet'!$B$12,Paramètres!$A$1:$I$89,5,0)</f>
        <v>198.52559999999997</v>
      </c>
      <c r="CA53" s="13">
        <f t="shared" si="39"/>
        <v>49.419999823587155</v>
      </c>
      <c r="CB53" s="20">
        <f t="shared" si="10"/>
        <v>431.83858635941419</v>
      </c>
      <c r="CC53" s="59">
        <f t="shared" si="11"/>
        <v>725.17191969274745</v>
      </c>
      <c r="CD53" s="59">
        <f ca="1">AVERAGE(OFFSET($CC$3,0,0,'Données projet'!$E$12+1,1))-AVERAGE(OFFSET($H$3,0,0,'Données projet'!$E$12+1,1))</f>
        <v>340.49092994349405</v>
      </c>
      <c r="CE53" s="59">
        <f t="shared" si="40"/>
        <v>331.54434271908832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33.813624893338712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33.813624893338712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231</v>
      </c>
      <c r="CR53" s="12">
        <f>VLOOKUP(A53,'Données projet'!$A$139:$I$159,9,0)</f>
        <v>11</v>
      </c>
      <c r="CS53" s="12">
        <f t="array" ref="CS53">INDEX(CR:CR,MIN(IF(ISNUMBER(CR53:CR249),ROW(CR53:CR249),"")))</f>
        <v>11</v>
      </c>
      <c r="CT53" s="12">
        <f>IF('Données projet'!$A$140&gt;35,CT52+CS53-DB52,IF(A53&lt;'Données projet'!$A$140,$CQ$205^A53,IF(A53='Données projet'!$A$140,'Données projet'!$B$140,CT52+CS53-DB52)))</f>
        <v>231.00000000000003</v>
      </c>
      <c r="CU53" s="17">
        <f>CT53*VLOOKUP('Données projet'!$B$13,Paramètres!$A$1:$I$89,3,0)*VLOOKUP('Données projet'!$B$13,Paramètres!$A$1:$I$89,5,0)</f>
        <v>209.00880000000004</v>
      </c>
      <c r="CV53" s="13">
        <f t="shared" si="41"/>
        <v>51.718923953824252</v>
      </c>
      <c r="CW53" s="20">
        <f t="shared" si="13"/>
        <v>454.10078588624395</v>
      </c>
      <c r="CX53" s="59">
        <f t="shared" si="14"/>
        <v>747.43411921957727</v>
      </c>
      <c r="CY53" s="59">
        <f ca="1">AVERAGE(OFFSET($CX$3,0,0,'Données projet'!$E$13+1,1))-AVERAGE(OFFSET($H$3,0,0,'Données projet'!$E$13+1,1))</f>
        <v>439.19854273764042</v>
      </c>
      <c r="CZ53" s="59">
        <f t="shared" si="42"/>
        <v>278.21741231699929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28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41.777026003029555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41.777026003029555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231</v>
      </c>
      <c r="DM53" s="12">
        <f>VLOOKUP(A53,'Données projet'!$A$165:$I$185,9,0)</f>
        <v>11</v>
      </c>
      <c r="DN53" s="12">
        <f t="array" ref="DN53">INDEX(DM:DM,MIN(IF(ISNUMBER(DM53:DM249),ROW(DM53:DM249),"")))</f>
        <v>11</v>
      </c>
      <c r="DO53" s="12">
        <f>IF('Données projet'!$A$166&gt;35,DO52+DN53-DW52,IF(A53&lt;'Données projet'!$A$166,$DL$205^A53,IF(A53='Données projet'!$A$166,'Données projet'!$B$166,DO52+DN53-DW52)))</f>
        <v>231.00000000000003</v>
      </c>
      <c r="DP53" s="17">
        <f>DO53*VLOOKUP('Données projet'!$B$14,Paramètres!$A$1:$I$89,3,0)*VLOOKUP('Données projet'!$B$14,Paramètres!$A$1:$I$89,5,0)</f>
        <v>194.59440000000004</v>
      </c>
      <c r="DQ53" s="13">
        <f t="shared" si="43"/>
        <v>48.554292648263456</v>
      </c>
      <c r="DR53" s="20">
        <f t="shared" si="16"/>
        <v>423.48397302905886</v>
      </c>
      <c r="DS53" s="59">
        <f t="shared" si="17"/>
        <v>716.81730636239217</v>
      </c>
      <c r="DT53" s="59">
        <f ca="1">AVERAGE(OFFSET($DS$3,0,0,'Données projet'!$E$14+1,1))-AVERAGE(OFFSET($H$3,0,0,'Données projet'!$E$14+1,1))</f>
        <v>411.72284844766</v>
      </c>
      <c r="DU53" s="59">
        <f t="shared" si="44"/>
        <v>261.95434270986397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28</v>
      </c>
      <c r="DX53" s="16">
        <f>IF(ISNA(VLOOKUP(A53,'Données projet'!$A$165:$I$185,5,0)),0%,VLOOKUP(A53,'Données projet'!$A$165:$I$185,5,0)*VLOOKUP('Données projet'!$B$14,Paramètres!$A$1:$I$89,7,0))</f>
        <v>0.43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38.895851795924088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38.895851795924088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629</v>
      </c>
      <c r="EH53" s="12">
        <f>VLOOKUP(A53,'Données projet'!$A$191:$I$211,9,0)</f>
        <v>17.8</v>
      </c>
      <c r="EI53" s="12">
        <f t="array" ref="EI53">INDEX(EH:EH,MIN(IF(ISNUMBER(EH53:EH249),ROW(EH53:EH249),"")))</f>
        <v>17.8</v>
      </c>
      <c r="EJ53" s="12">
        <f>IF('Données projet'!$A$192&gt;35,EJ52+EI53-ER52,IF(A53&lt;'Données projet'!$A$192,$EG$205^A53,IF(A53='Données projet'!$A$192,'Données projet'!$B$192,EJ52+EI53-ER52)))</f>
        <v>628.99999999999977</v>
      </c>
      <c r="EK53" s="17">
        <f>EJ53*VLOOKUP('Données projet'!$B$15,Paramètres!$A$1:$I$89,3,0)*VLOOKUP('Données projet'!$B$15,Paramètres!$A$1:$I$89,5,0)</f>
        <v>351.61099999999988</v>
      </c>
      <c r="EL53" s="13">
        <f t="shared" si="45"/>
        <v>81.89414415728541</v>
      </c>
      <c r="EM53" s="20">
        <f t="shared" si="19"/>
        <v>755.02145940727178</v>
      </c>
      <c r="EN53" s="59">
        <f t="shared" si="20"/>
        <v>1048.354792740605</v>
      </c>
      <c r="EO53" s="59">
        <f ca="1">AVERAGE(OFFSET($EN$3,0,0,'Données projet'!$E$15+1,1))-AVERAGE(OFFSET($H$3,0,0,'Données projet'!$E$15+1,1))</f>
        <v>443.34220761968419</v>
      </c>
      <c r="EP53" s="59">
        <f t="shared" si="46"/>
        <v>546.58234447298014</v>
      </c>
      <c r="EQ53" s="15">
        <f>IF(ISNA(VLOOKUP(A53,'Données projet'!$A$191:$I$211,3,0)),0,VLOOKUP(A53,'Données projet'!$A$191:$I$211,3,0))</f>
        <v>6</v>
      </c>
      <c r="ER53" s="15">
        <f>IF(ISNA(VLOOKUP(A53,'Données projet'!$A$191:$I$211,4,0)),0,VLOOKUP(A53,'Données projet'!$A$191:$I$211,4,0))</f>
        <v>48</v>
      </c>
      <c r="ES53" s="16">
        <f>IF(ISNA(VLOOKUP(A53,'Données projet'!$A$191:$I$211,5,0)),0%,VLOOKUP(A53,'Données projet'!$A$191:$I$211,5,0)*VLOOKUP('Données projet'!$B$15,Paramètres!$A$1:$I$89,7,0))</f>
        <v>0.55000000000000004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88.956126518238207</v>
      </c>
      <c r="EW53" s="21">
        <f>EXP(-LN(2)/25)*EW52+(1-EXP(-LN(2)/25))/(LN(2)/25)*Calculateur!ER53*Calculateur!ET53*VLOOKUP('Données projet'!$B$15,Paramètres!$A$1:$I$89,3,0)*0.475*44/12</f>
        <v>12.599672563972797</v>
      </c>
      <c r="EX53" s="21">
        <f>EXP(-LN(2)/2)*EX52+(1-EXP(-LN(2)/2))/(LN(2)/2)*ER53*EU53*VLOOKUP('Données projet'!$B$15,Paramètres!$A$1:$I$89,3,0)*0.475*44/12</f>
        <v>5.9001922272893352E-3</v>
      </c>
      <c r="EY53" s="22">
        <f t="shared" si="21"/>
        <v>101.5616992744383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8.6</v>
      </c>
      <c r="N54" s="13">
        <f>IF('Données projet'!$A$36&gt;35,N53+M54-V53,IF(A54&lt;'Données projet'!$A$36,$K$205^A54,IF(A54='Données projet'!$A$36,'Données projet'!$B$36,N53+M54-V53)))</f>
        <v>223.60000000000008</v>
      </c>
      <c r="O54" s="13">
        <f>N54*VLOOKUP('Données projet'!$B$9,Paramètres!$A$1:$I$89,3,0)*VLOOKUP('Données projet'!$B$9,Paramètres!$A$1:$I$89,5,0)</f>
        <v>195.33696000000009</v>
      </c>
      <c r="P54" s="13">
        <f t="shared" si="33"/>
        <v>48.717969863105488</v>
      </c>
      <c r="Q54" s="20">
        <f t="shared" si="53"/>
        <v>425.06233617824211</v>
      </c>
      <c r="R54" s="59">
        <f t="shared" si="0"/>
        <v>718.39566951157542</v>
      </c>
      <c r="S54" s="59">
        <f ca="1">AVERAGE(OFFSET($R$3,0,0,'Données projet'!$E$9+1,1))-AVERAGE(OFFSET($H$3,0,0,'Données projet'!$E$9+1,1))</f>
        <v>304.32767345253382</v>
      </c>
      <c r="T54" s="59">
        <f t="shared" si="34"/>
        <v>427.16091343339173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60.033216519289653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60.033216519289653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8.4</v>
      </c>
      <c r="AI54" s="13">
        <f>IF('Données projet'!$A$62&gt;35,AI53+AH54-AQ53,IF(A54&lt;'Données projet'!$A$62,$AF$205^A54,IF(A54='Données projet'!$A$62,'Données projet'!$B$62,AI53+AH54-AQ53)))</f>
        <v>290.39999999999992</v>
      </c>
      <c r="AJ54" s="13">
        <f>AI54*VLOOKUP('Données projet'!$B$10,Paramètres!$A$1:$I$89,3,0)*VLOOKUP('Données projet'!$B$10,Paramètres!$A$1:$I$89,5,0)</f>
        <v>231.04223999999994</v>
      </c>
      <c r="AK54" s="13">
        <f t="shared" si="35"/>
        <v>56.507978852931409</v>
      </c>
      <c r="AL54" s="20">
        <f t="shared" si="4"/>
        <v>500.81663116885539</v>
      </c>
      <c r="AM54" s="59">
        <f t="shared" si="5"/>
        <v>794.14996450218871</v>
      </c>
      <c r="AN54" s="59">
        <f ca="1">AVERAGE(OFFSET($AM$3,0,0,'Données projet'!$E$10+1,1))-AVERAGE(OFFSET($H$3,0,0,'Données projet'!$E$10+1,1))</f>
        <v>405.40026823646758</v>
      </c>
      <c r="AO54" s="59">
        <f t="shared" si="36"/>
        <v>393.0787141050053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49.615705748244196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49.615705748244196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15.4</v>
      </c>
      <c r="BD54" s="12">
        <f>IF('Données projet'!$A$88&gt;35,BD53+BC54-BL53,IF(A54&lt;'Données projet'!$A$88,$BA$205^A54,IF(A54='Données projet'!$A$88,'Données projet'!$B$88,BD53+BC54-BL53)))</f>
        <v>677.39999999999952</v>
      </c>
      <c r="BE54" s="13">
        <f>BD54*VLOOKUP('Données projet'!$B$11,Paramètres!$A$1:$I$89,3,0)*VLOOKUP('Données projet'!$B$11,Paramètres!$A$1:$I$89,5,0)</f>
        <v>378.66659999999979</v>
      </c>
      <c r="BF54" s="13">
        <f t="shared" si="37"/>
        <v>87.437946637883755</v>
      </c>
      <c r="BG54" s="20">
        <f t="shared" si="7"/>
        <v>811.79875206098052</v>
      </c>
      <c r="BH54" s="59">
        <f t="shared" si="8"/>
        <v>1105.1320853943139</v>
      </c>
      <c r="BI54" s="59">
        <f ca="1">AVERAGE(OFFSET($BH$3,0,0,'Données projet'!$E$11+1,1))-AVERAGE(OFFSET($H$3,0,0,'Données projet'!$E$11+1,1))</f>
        <v>555.15881087162279</v>
      </c>
      <c r="BJ54" s="59">
        <f t="shared" si="38"/>
        <v>668.20427590250733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94.616745093067053</v>
      </c>
      <c r="BQ54" s="21">
        <f>EXP(-LN(2)/25)*BQ53+(1-EXP(-LN(2)/25))/(LN(2)/25)*Calculateur!BL54*Calculateur!BN54*VLOOKUP('Données projet'!$B$11,Paramètres!$A$1:$I$89,3,0)*0.475*44/12</f>
        <v>32.279349403923504</v>
      </c>
      <c r="BR54" s="21">
        <f>EXP(-LN(2)/2)*BR53+(1-EXP(-LN(2)/2))/(LN(2)/2)*BL54*BO54*VLOOKUP('Données projet'!$B$11,Paramètres!$A$1:$I$89,3,0)*0.475*44/12</f>
        <v>5.8728765225333688E-4</v>
      </c>
      <c r="BS54" s="22">
        <f t="shared" si="9"/>
        <v>126.89668178464281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8.4</v>
      </c>
      <c r="BY54" s="12">
        <f>IF('Données projet'!$A$114&gt;35,BY53+BX54-CG53,IF(A54&lt;'Données projet'!$A$114,$BV$205^A54,IF(A54='Données projet'!$A$114,'Données projet'!$B$114,BY53+BX54-CG53)))</f>
        <v>290.39999999999992</v>
      </c>
      <c r="BZ54" s="13">
        <f>BY54*VLOOKUP('Données projet'!$B$12,Paramètres!$A$1:$I$89,3,0)*VLOOKUP('Données projet'!$B$12,Paramètres!$A$1:$I$89,5,0)</f>
        <v>190.27007999999995</v>
      </c>
      <c r="CA54" s="13">
        <f t="shared" si="39"/>
        <v>47.599658767320413</v>
      </c>
      <c r="CB54" s="20">
        <f t="shared" si="10"/>
        <v>414.28979501974959</v>
      </c>
      <c r="CC54" s="59">
        <f t="shared" si="11"/>
        <v>707.62312835308285</v>
      </c>
      <c r="CD54" s="59">
        <f ca="1">AVERAGE(OFFSET($CC$3,0,0,'Données projet'!$E$12+1,1))-AVERAGE(OFFSET($H$3,0,0,'Données projet'!$E$12+1,1))</f>
        <v>340.49092994349405</v>
      </c>
      <c r="CE54" s="59">
        <f t="shared" si="40"/>
        <v>331.54434271908832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33.150560333455047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33.150560333455047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10.199999999999999</v>
      </c>
      <c r="CT54" s="12">
        <f>IF('Données projet'!$A$140&gt;35,CT53+CS54-DB53,IF(A54&lt;'Données projet'!$A$140,$CQ$205^A54,IF(A54='Données projet'!$A$140,'Données projet'!$B$140,CT53+CS54-DB53)))</f>
        <v>213.20000000000002</v>
      </c>
      <c r="CU54" s="17">
        <f>CT54*VLOOKUP('Données projet'!$B$13,Paramètres!$A$1:$I$89,3,0)*VLOOKUP('Données projet'!$B$13,Paramètres!$A$1:$I$89,5,0)</f>
        <v>192.90336000000002</v>
      </c>
      <c r="CV54" s="13">
        <f t="shared" si="41"/>
        <v>48.181276881765257</v>
      </c>
      <c r="CW54" s="20">
        <f t="shared" si="13"/>
        <v>419.88907590240791</v>
      </c>
      <c r="CX54" s="59">
        <f t="shared" si="14"/>
        <v>713.22240923574122</v>
      </c>
      <c r="CY54" s="59">
        <f ca="1">AVERAGE(OFFSET($CX$3,0,0,'Données projet'!$E$13+1,1))-AVERAGE(OFFSET($H$3,0,0,'Données projet'!$E$13+1,1))</f>
        <v>439.19854273764042</v>
      </c>
      <c r="CZ54" s="59">
        <f t="shared" si="42"/>
        <v>278.21741231699929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40.95780400457992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40.95780400457992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10.199999999999999</v>
      </c>
      <c r="DO54" s="12">
        <f>IF('Données projet'!$A$166&gt;35,DO53+DN54-DW53,IF(A54&lt;'Données projet'!$A$166,$DL$205^A54,IF(A54='Données projet'!$A$166,'Données projet'!$B$166,DO53+DN54-DW53)))</f>
        <v>213.20000000000002</v>
      </c>
      <c r="DP54" s="17">
        <f>DO54*VLOOKUP('Données projet'!$B$14,Paramètres!$A$1:$I$89,3,0)*VLOOKUP('Données projet'!$B$14,Paramètres!$A$1:$I$89,5,0)</f>
        <v>179.59968000000003</v>
      </c>
      <c r="DQ54" s="13">
        <f t="shared" si="43"/>
        <v>45.233110804333748</v>
      </c>
      <c r="DR54" s="20">
        <f t="shared" si="16"/>
        <v>391.58377731754803</v>
      </c>
      <c r="DS54" s="59">
        <f t="shared" si="17"/>
        <v>684.91711065088134</v>
      </c>
      <c r="DT54" s="59">
        <f ca="1">AVERAGE(OFFSET($DS$3,0,0,'Données projet'!$E$14+1,1))-AVERAGE(OFFSET($H$3,0,0,'Données projet'!$E$14+1,1))</f>
        <v>411.72284844766</v>
      </c>
      <c r="DU54" s="59">
        <f t="shared" si="44"/>
        <v>261.95434270986397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38.133127866333048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38.133127866333048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13.8</v>
      </c>
      <c r="EJ54" s="12">
        <f>IF('Données projet'!$A$192&gt;35,EJ53+EI54-ER53,IF(A54&lt;'Données projet'!$A$192,$EG$205^A54,IF(A54='Données projet'!$A$192,'Données projet'!$B$192,EJ53+EI54-ER53)))</f>
        <v>594.79999999999973</v>
      </c>
      <c r="EK54" s="17">
        <f>EJ54*VLOOKUP('Données projet'!$B$15,Paramètres!$A$1:$I$89,3,0)*VLOOKUP('Données projet'!$B$15,Paramètres!$A$1:$I$89,5,0)</f>
        <v>332.49319999999983</v>
      </c>
      <c r="EL54" s="13">
        <f t="shared" si="45"/>
        <v>77.946984490524827</v>
      </c>
      <c r="EM54" s="20">
        <f t="shared" si="19"/>
        <v>714.84998798766367</v>
      </c>
      <c r="EN54" s="59">
        <f t="shared" si="20"/>
        <v>1008.183321320997</v>
      </c>
      <c r="EO54" s="59">
        <f ca="1">AVERAGE(OFFSET($EN$3,0,0,'Données projet'!$E$15+1,1))-AVERAGE(OFFSET($H$3,0,0,'Données projet'!$E$15+1,1))</f>
        <v>443.34220761968419</v>
      </c>
      <c r="EP54" s="59">
        <f t="shared" si="46"/>
        <v>546.58234447298014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87.211751135095213</v>
      </c>
      <c r="EW54" s="21">
        <f>EXP(-LN(2)/25)*EW53+(1-EXP(-LN(2)/25))/(LN(2)/25)*Calculateur!ER54*Calculateur!ET54*VLOOKUP('Données projet'!$B$15,Paramètres!$A$1:$I$89,3,0)*0.475*44/12</f>
        <v>12.255133855122978</v>
      </c>
      <c r="EX54" s="21">
        <f>EXP(-LN(2)/2)*EX53+(1-EXP(-LN(2)/2))/(LN(2)/2)*ER54*EU54*VLOOKUP('Données projet'!$B$15,Paramètres!$A$1:$I$89,3,0)*0.475*44/12</f>
        <v>4.1720659342204484E-3</v>
      </c>
      <c r="EY54" s="22">
        <f t="shared" si="21"/>
        <v>99.471057056152418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8.6</v>
      </c>
      <c r="N55" s="13">
        <f>IF('Données projet'!$A$36&gt;35,N54+M55-V54,IF(A55&lt;'Données projet'!$A$36,$K$205^A55,IF(A55='Données projet'!$A$36,'Données projet'!$B$36,N54+M55-V54)))</f>
        <v>232.20000000000007</v>
      </c>
      <c r="O55" s="13">
        <f>N55*VLOOKUP('Données projet'!$B$9,Paramètres!$A$1:$I$89,3,0)*VLOOKUP('Données projet'!$B$9,Paramètres!$A$1:$I$89,5,0)</f>
        <v>202.84992000000011</v>
      </c>
      <c r="P55" s="13">
        <f t="shared" si="33"/>
        <v>50.369977187686075</v>
      </c>
      <c r="Q55" s="20">
        <f t="shared" si="53"/>
        <v>441.02465426855338</v>
      </c>
      <c r="R55" s="59">
        <f t="shared" si="0"/>
        <v>734.35798760188663</v>
      </c>
      <c r="S55" s="59">
        <f ca="1">AVERAGE(OFFSET($R$3,0,0,'Données projet'!$E$9+1,1))-AVERAGE(OFFSET($H$3,0,0,'Données projet'!$E$9+1,1))</f>
        <v>304.32767345253382</v>
      </c>
      <c r="T55" s="59">
        <f t="shared" si="34"/>
        <v>427.16091343339173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58.856001759992864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58.856001759992864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8.4</v>
      </c>
      <c r="AI55" s="13">
        <f>IF('Données projet'!$A$62&gt;35,AI54+AH55-AQ54,IF(A55&lt;'Données projet'!$A$62,$AF$205^A55,IF(A55='Données projet'!$A$62,'Données projet'!$B$62,AI54+AH55-AQ54)))</f>
        <v>298.7999999999999</v>
      </c>
      <c r="AJ55" s="13">
        <f>AI55*VLOOKUP('Données projet'!$B$10,Paramètres!$A$1:$I$89,3,0)*VLOOKUP('Données projet'!$B$10,Paramètres!$A$1:$I$89,5,0)</f>
        <v>237.72527999999994</v>
      </c>
      <c r="AK55" s="13">
        <f t="shared" si="35"/>
        <v>57.949842464086196</v>
      </c>
      <c r="AL55" s="20">
        <f t="shared" si="4"/>
        <v>514.96750495828326</v>
      </c>
      <c r="AM55" s="59">
        <f t="shared" si="5"/>
        <v>808.30083829161663</v>
      </c>
      <c r="AN55" s="59">
        <f ca="1">AVERAGE(OFFSET($AM$3,0,0,'Données projet'!$E$10+1,1))-AVERAGE(OFFSET($H$3,0,0,'Données projet'!$E$10+1,1))</f>
        <v>405.40026823646758</v>
      </c>
      <c r="AO55" s="59">
        <f t="shared" si="36"/>
        <v>393.0787141050053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48.642772021113451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48.642772021113451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15.4</v>
      </c>
      <c r="BD55" s="12">
        <f>IF('Données projet'!$A$88&gt;35,BD54+BC55-BL54,IF(A55&lt;'Données projet'!$A$88,$BA$205^A55,IF(A55='Données projet'!$A$88,'Données projet'!$B$88,BD54+BC55-BL54)))</f>
        <v>692.7999999999995</v>
      </c>
      <c r="BE55" s="13">
        <f>BD55*VLOOKUP('Données projet'!$B$11,Paramètres!$A$1:$I$89,3,0)*VLOOKUP('Données projet'!$B$11,Paramètres!$A$1:$I$89,5,0)</f>
        <v>387.2751999999997</v>
      </c>
      <c r="BF55" s="13">
        <f t="shared" si="37"/>
        <v>89.192073473767834</v>
      </c>
      <c r="BG55" s="20">
        <f t="shared" si="7"/>
        <v>829.84716796681175</v>
      </c>
      <c r="BH55" s="59">
        <f t="shared" si="8"/>
        <v>1123.1805013001451</v>
      </c>
      <c r="BI55" s="59">
        <f ca="1">AVERAGE(OFFSET($BH$3,0,0,'Données projet'!$E$11+1,1))-AVERAGE(OFFSET($H$3,0,0,'Données projet'!$E$11+1,1))</f>
        <v>555.15881087162279</v>
      </c>
      <c r="BJ55" s="59">
        <f t="shared" si="38"/>
        <v>668.20427590250733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92.761368432308075</v>
      </c>
      <c r="BQ55" s="21">
        <f>EXP(-LN(2)/25)*BQ54+(1-EXP(-LN(2)/25))/(LN(2)/25)*Calculateur!BL55*Calculateur!BN55*VLOOKUP('Données projet'!$B$11,Paramètres!$A$1:$I$89,3,0)*0.475*44/12</f>
        <v>31.396668896976006</v>
      </c>
      <c r="BR55" s="21">
        <f>EXP(-LN(2)/2)*BR54+(1-EXP(-LN(2)/2))/(LN(2)/2)*BL55*BO55*VLOOKUP('Données projet'!$B$11,Paramètres!$A$1:$I$89,3,0)*0.475*44/12</f>
        <v>4.152750814154615E-4</v>
      </c>
      <c r="BS55" s="22">
        <f t="shared" si="9"/>
        <v>124.15845260436549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8.4</v>
      </c>
      <c r="BY55" s="12">
        <f>IF('Données projet'!$A$114&gt;35,BY54+BX55-CG54,IF(A55&lt;'Données projet'!$A$114,$BV$205^A55,IF(A55='Données projet'!$A$114,'Données projet'!$B$114,BY54+BX55-CG54)))</f>
        <v>298.7999999999999</v>
      </c>
      <c r="BZ55" s="13">
        <f>BY55*VLOOKUP('Données projet'!$B$12,Paramètres!$A$1:$I$89,3,0)*VLOOKUP('Données projet'!$B$12,Paramètres!$A$1:$I$89,5,0)</f>
        <v>195.77375999999992</v>
      </c>
      <c r="CA55" s="13">
        <f t="shared" si="39"/>
        <v>48.814216733702644</v>
      </c>
      <c r="CB55" s="20">
        <f t="shared" si="10"/>
        <v>425.99072614453195</v>
      </c>
      <c r="CC55" s="59">
        <f t="shared" si="11"/>
        <v>719.32405947786526</v>
      </c>
      <c r="CD55" s="59">
        <f ca="1">AVERAGE(OFFSET($CC$3,0,0,'Données projet'!$E$12+1,1))-AVERAGE(OFFSET($H$3,0,0,'Données projet'!$E$12+1,1))</f>
        <v>340.49092994349405</v>
      </c>
      <c r="CE55" s="59">
        <f t="shared" si="40"/>
        <v>331.54434271908832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32.500498065161253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32.500498065161253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10.199999999999999</v>
      </c>
      <c r="CT55" s="12">
        <f>IF('Données projet'!$A$140&gt;35,CT54+CS55-DB54,IF(A55&lt;'Données projet'!$A$140,$CQ$205^A55,IF(A55='Données projet'!$A$140,'Données projet'!$B$140,CT54+CS55-DB54)))</f>
        <v>223.4</v>
      </c>
      <c r="CU55" s="17">
        <f>CT55*VLOOKUP('Données projet'!$B$13,Paramètres!$A$1:$I$89,3,0)*VLOOKUP('Données projet'!$B$13,Paramètres!$A$1:$I$89,5,0)</f>
        <v>202.13232000000002</v>
      </c>
      <c r="CV55" s="13">
        <f t="shared" si="41"/>
        <v>50.212497488959627</v>
      </c>
      <c r="CW55" s="20">
        <f t="shared" si="13"/>
        <v>439.50055712660469</v>
      </c>
      <c r="CX55" s="59">
        <f t="shared" si="14"/>
        <v>732.83389045993795</v>
      </c>
      <c r="CY55" s="59">
        <f ca="1">AVERAGE(OFFSET($CX$3,0,0,'Données projet'!$E$13+1,1))-AVERAGE(OFFSET($H$3,0,0,'Données projet'!$E$13+1,1))</f>
        <v>439.19854273764042</v>
      </c>
      <c r="CZ55" s="59">
        <f t="shared" si="42"/>
        <v>278.21741231699929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40.154646449843803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40.154646449843803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10.199999999999999</v>
      </c>
      <c r="DO55" s="12">
        <f>IF('Données projet'!$A$166&gt;35,DO54+DN55-DW54,IF(A55&lt;'Données projet'!$A$166,$DL$205^A55,IF(A55='Données projet'!$A$166,'Données projet'!$B$166,DO54+DN55-DW54)))</f>
        <v>223.4</v>
      </c>
      <c r="DP55" s="17">
        <f>DO55*VLOOKUP('Données projet'!$B$14,Paramètres!$A$1:$I$89,3,0)*VLOOKUP('Données projet'!$B$14,Paramètres!$A$1:$I$89,5,0)</f>
        <v>188.19216000000003</v>
      </c>
      <c r="DQ55" s="13">
        <f t="shared" si="43"/>
        <v>47.140042972585213</v>
      </c>
      <c r="DR55" s="20">
        <f t="shared" si="16"/>
        <v>409.870253510586</v>
      </c>
      <c r="DS55" s="59">
        <f t="shared" si="17"/>
        <v>703.20358684391931</v>
      </c>
      <c r="DT55" s="59">
        <f ca="1">AVERAGE(OFFSET($DS$3,0,0,'Données projet'!$E$14+1,1))-AVERAGE(OFFSET($H$3,0,0,'Données projet'!$E$14+1,1))</f>
        <v>411.72284844766</v>
      </c>
      <c r="DU55" s="59">
        <f t="shared" si="44"/>
        <v>261.95434270986397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37.385360487785626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37.385360487785626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13.8</v>
      </c>
      <c r="EJ55" s="12">
        <f>IF('Données projet'!$A$192&gt;35,EJ54+EI55-ER54,IF(A55&lt;'Données projet'!$A$192,$EG$205^A55,IF(A55='Données projet'!$A$192,'Données projet'!$B$192,EJ54+EI55-ER54)))</f>
        <v>608.59999999999968</v>
      </c>
      <c r="EK55" s="17">
        <f>EJ55*VLOOKUP('Données projet'!$B$15,Paramètres!$A$1:$I$89,3,0)*VLOOKUP('Données projet'!$B$15,Paramètres!$A$1:$I$89,5,0)</f>
        <v>340.20739999999984</v>
      </c>
      <c r="EL55" s="13">
        <f t="shared" si="45"/>
        <v>79.542795053996059</v>
      </c>
      <c r="EM55" s="20">
        <f t="shared" si="19"/>
        <v>731.06492305237623</v>
      </c>
      <c r="EN55" s="59">
        <f t="shared" si="20"/>
        <v>1024.3982563857096</v>
      </c>
      <c r="EO55" s="59">
        <f ca="1">AVERAGE(OFFSET($EN$3,0,0,'Données projet'!$E$15+1,1))-AVERAGE(OFFSET($H$3,0,0,'Données projet'!$E$15+1,1))</f>
        <v>443.34220761968419</v>
      </c>
      <c r="EP55" s="59">
        <f t="shared" si="46"/>
        <v>546.58234447298014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85.501581889251725</v>
      </c>
      <c r="EW55" s="21">
        <f>EXP(-LN(2)/25)*EW54+(1-EXP(-LN(2)/25))/(LN(2)/25)*Calculateur!ER55*Calculateur!ET55*VLOOKUP('Données projet'!$B$15,Paramètres!$A$1:$I$89,3,0)*0.475*44/12</f>
        <v>11.92001657538516</v>
      </c>
      <c r="EX55" s="21">
        <f>EXP(-LN(2)/2)*EX54+(1-EXP(-LN(2)/2))/(LN(2)/2)*ER55*EU55*VLOOKUP('Données projet'!$B$15,Paramètres!$A$1:$I$89,3,0)*0.475*44/12</f>
        <v>2.9500961136446676E-3</v>
      </c>
      <c r="EY55" s="22">
        <f t="shared" si="21"/>
        <v>97.424548560750537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8.6</v>
      </c>
      <c r="N56" s="13">
        <f>IF('Données projet'!$A$36&gt;35,N55+M56-V55,IF(A56&lt;'Données projet'!$A$36,$K$205^A56,IF(A56='Données projet'!$A$36,'Données projet'!$B$36,N55+M56-V55)))</f>
        <v>240.80000000000007</v>
      </c>
      <c r="O56" s="13">
        <f>N56*VLOOKUP('Données projet'!$B$9,Paramètres!$A$1:$I$89,3,0)*VLOOKUP('Données projet'!$B$9,Paramètres!$A$1:$I$89,5,0)</f>
        <v>210.36288000000008</v>
      </c>
      <c r="P56" s="13">
        <f t="shared" si="33"/>
        <v>52.014876138342963</v>
      </c>
      <c r="Q56" s="20">
        <f t="shared" si="53"/>
        <v>456.97459194094745</v>
      </c>
      <c r="R56" s="59">
        <f t="shared" si="0"/>
        <v>750.30792527428071</v>
      </c>
      <c r="S56" s="59">
        <f ca="1">AVERAGE(OFFSET($R$3,0,0,'Données projet'!$E$9+1,1))-AVERAGE(OFFSET($H$3,0,0,'Données projet'!$E$9+1,1))</f>
        <v>304.32767345253382</v>
      </c>
      <c r="T56" s="59">
        <f t="shared" si="34"/>
        <v>427.16091343339173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57.701871464095781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57.701871464095781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8.4</v>
      </c>
      <c r="AI56" s="13">
        <f>IF('Données projet'!$A$62&gt;35,AI55+AH56-AQ55,IF(A56&lt;'Données projet'!$A$62,$AF$205^A56,IF(A56='Données projet'!$A$62,'Données projet'!$B$62,AI55+AH56-AQ55)))</f>
        <v>307.19999999999987</v>
      </c>
      <c r="AJ56" s="13">
        <f>AI56*VLOOKUP('Données projet'!$B$10,Paramètres!$A$1:$I$89,3,0)*VLOOKUP('Données projet'!$B$10,Paramètres!$A$1:$I$89,5,0)</f>
        <v>244.40831999999992</v>
      </c>
      <c r="AK56" s="13">
        <f t="shared" si="35"/>
        <v>59.38699493610541</v>
      </c>
      <c r="AL56" s="20">
        <f t="shared" si="4"/>
        <v>529.11017351371675</v>
      </c>
      <c r="AM56" s="59">
        <f t="shared" si="5"/>
        <v>822.44350684705</v>
      </c>
      <c r="AN56" s="59">
        <f ca="1">AVERAGE(OFFSET($AM$3,0,0,'Données projet'!$E$10+1,1))-AVERAGE(OFFSET($H$3,0,0,'Données projet'!$E$10+1,1))</f>
        <v>405.40026823646758</v>
      </c>
      <c r="AO56" s="59">
        <f t="shared" si="36"/>
        <v>393.0787141050053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47.688916930940763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47.688916930940763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15.4</v>
      </c>
      <c r="BD56" s="12">
        <f>IF('Données projet'!$A$88&gt;35,BD55+BC56-BL55,IF(A56&lt;'Données projet'!$A$88,$BA$205^A56,IF(A56='Données projet'!$A$88,'Données projet'!$B$88,BD55+BC56-BL55)))</f>
        <v>708.19999999999948</v>
      </c>
      <c r="BE56" s="13">
        <f>BD56*VLOOKUP('Données projet'!$B$11,Paramètres!$A$1:$I$89,3,0)*VLOOKUP('Données projet'!$B$11,Paramètres!$A$1:$I$89,5,0)</f>
        <v>395.88379999999972</v>
      </c>
      <c r="BF56" s="13">
        <f t="shared" si="37"/>
        <v>90.941667130422957</v>
      </c>
      <c r="BG56" s="20">
        <f t="shared" si="7"/>
        <v>847.8876885854861</v>
      </c>
      <c r="BH56" s="59">
        <f t="shared" si="8"/>
        <v>1141.2210219188194</v>
      </c>
      <c r="BI56" s="59">
        <f ca="1">AVERAGE(OFFSET($BH$3,0,0,'Données projet'!$E$11+1,1))-AVERAGE(OFFSET($H$3,0,0,'Données projet'!$E$11+1,1))</f>
        <v>555.15881087162279</v>
      </c>
      <c r="BJ56" s="59">
        <f t="shared" si="38"/>
        <v>668.20427590250733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90.94237457619856</v>
      </c>
      <c r="BQ56" s="21">
        <f>EXP(-LN(2)/25)*BQ55+(1-EXP(-LN(2)/25))/(LN(2)/25)*Calculateur!BL56*Calculateur!BN56*VLOOKUP('Données projet'!$B$11,Paramètres!$A$1:$I$89,3,0)*0.475*44/12</f>
        <v>30.538125334909139</v>
      </c>
      <c r="BR56" s="21">
        <f>EXP(-LN(2)/2)*BR55+(1-EXP(-LN(2)/2))/(LN(2)/2)*BL56*BO56*VLOOKUP('Données projet'!$B$11,Paramètres!$A$1:$I$89,3,0)*0.475*44/12</f>
        <v>2.9364382612666844E-4</v>
      </c>
      <c r="BS56" s="22">
        <f t="shared" si="9"/>
        <v>121.48079355493383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8.4</v>
      </c>
      <c r="BY56" s="12">
        <f>IF('Données projet'!$A$114&gt;35,BY55+BX56-CG55,IF(A56&lt;'Données projet'!$A$114,$BV$205^A56,IF(A56='Données projet'!$A$114,'Données projet'!$B$114,BY55+BX56-CG55)))</f>
        <v>307.19999999999987</v>
      </c>
      <c r="BZ56" s="13">
        <f>BY56*VLOOKUP('Données projet'!$B$12,Paramètres!$A$1:$I$89,3,0)*VLOOKUP('Données projet'!$B$12,Paramètres!$A$1:$I$89,5,0)</f>
        <v>201.27743999999993</v>
      </c>
      <c r="CA56" s="13">
        <f t="shared" si="39"/>
        <v>50.024806258462775</v>
      </c>
      <c r="CB56" s="20">
        <f t="shared" si="10"/>
        <v>437.68474556682253</v>
      </c>
      <c r="CC56" s="59">
        <f t="shared" si="11"/>
        <v>731.01807890015584</v>
      </c>
      <c r="CD56" s="59">
        <f ca="1">AVERAGE(OFFSET($CC$3,0,0,'Données projet'!$E$12+1,1))-AVERAGE(OFFSET($H$3,0,0,'Données projet'!$E$12+1,1))</f>
        <v>340.49092994349405</v>
      </c>
      <c r="CE56" s="59">
        <f t="shared" si="40"/>
        <v>331.54434271908832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31.863183121449868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31.863183121449868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10.199999999999999</v>
      </c>
      <c r="CT56" s="12">
        <f>IF('Données projet'!$A$140&gt;35,CT55+CS56-DB55,IF(A56&lt;'Données projet'!$A$140,$CQ$205^A56,IF(A56='Données projet'!$A$140,'Données projet'!$B$140,CT55+CS56-DB55)))</f>
        <v>233.6</v>
      </c>
      <c r="CU56" s="17">
        <f>CT56*VLOOKUP('Données projet'!$B$13,Paramètres!$A$1:$I$89,3,0)*VLOOKUP('Données projet'!$B$13,Paramètres!$A$1:$I$89,5,0)</f>
        <v>211.36127999999999</v>
      </c>
      <c r="CV56" s="13">
        <f t="shared" si="41"/>
        <v>52.232947669705631</v>
      </c>
      <c r="CW56" s="20">
        <f t="shared" si="13"/>
        <v>459.09327985807062</v>
      </c>
      <c r="CX56" s="59">
        <f t="shared" si="14"/>
        <v>752.42661319140393</v>
      </c>
      <c r="CY56" s="59">
        <f ca="1">AVERAGE(OFFSET($CX$3,0,0,'Données projet'!$E$13+1,1))-AVERAGE(OFFSET($H$3,0,0,'Données projet'!$E$13+1,1))</f>
        <v>439.19854273764042</v>
      </c>
      <c r="CZ56" s="59">
        <f t="shared" si="42"/>
        <v>278.21741231699929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39.367238324878322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39.367238324878322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10.199999999999999</v>
      </c>
      <c r="DO56" s="12">
        <f>IF('Données projet'!$A$166&gt;35,DO55+DN56-DW55,IF(A56&lt;'Données projet'!$A$166,$DL$205^A56,IF(A56='Données projet'!$A$166,'Données projet'!$B$166,DO55+DN56-DW55)))</f>
        <v>233.6</v>
      </c>
      <c r="DP56" s="17">
        <f>DO56*VLOOKUP('Données projet'!$B$14,Paramètres!$A$1:$I$89,3,0)*VLOOKUP('Données projet'!$B$14,Paramètres!$A$1:$I$89,5,0)</f>
        <v>196.78464000000002</v>
      </c>
      <c r="DQ56" s="13">
        <f t="shared" si="43"/>
        <v>49.036863746442876</v>
      </c>
      <c r="DR56" s="20">
        <f t="shared" si="16"/>
        <v>428.1391190250547</v>
      </c>
      <c r="DS56" s="59">
        <f t="shared" si="17"/>
        <v>721.47245235838795</v>
      </c>
      <c r="DT56" s="59">
        <f ca="1">AVERAGE(OFFSET($DS$3,0,0,'Données projet'!$E$14+1,1))-AVERAGE(OFFSET($H$3,0,0,'Données projet'!$E$14+1,1))</f>
        <v>411.72284844766</v>
      </c>
      <c r="DU56" s="59">
        <f t="shared" si="44"/>
        <v>261.95434270986397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36.652256371438455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36.652256371438455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13.8</v>
      </c>
      <c r="EJ56" s="12">
        <f>IF('Données projet'!$A$192&gt;35,EJ55+EI56-ER55,IF(A56&lt;'Données projet'!$A$192,$EG$205^A56,IF(A56='Données projet'!$A$192,'Données projet'!$B$192,EJ55+EI56-ER55)))</f>
        <v>622.39999999999964</v>
      </c>
      <c r="EK56" s="17">
        <f>EJ56*VLOOKUP('Données projet'!$B$15,Paramètres!$A$1:$I$89,3,0)*VLOOKUP('Données projet'!$B$15,Paramètres!$A$1:$I$89,5,0)</f>
        <v>347.92159999999978</v>
      </c>
      <c r="EL56" s="13">
        <f t="shared" si="45"/>
        <v>81.134398856989449</v>
      </c>
      <c r="EM56" s="20">
        <f t="shared" si="19"/>
        <v>747.27253134258956</v>
      </c>
      <c r="EN56" s="59">
        <f t="shared" si="20"/>
        <v>1040.6058646759229</v>
      </c>
      <c r="EO56" s="59">
        <f ca="1">AVERAGE(OFFSET($EN$3,0,0,'Données projet'!$E$15+1,1))-AVERAGE(OFFSET($H$3,0,0,'Données projet'!$E$15+1,1))</f>
        <v>443.34220761968419</v>
      </c>
      <c r="EP56" s="59">
        <f t="shared" si="46"/>
        <v>546.58234447298014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83.824948019218979</v>
      </c>
      <c r="EW56" s="21">
        <f>EXP(-LN(2)/25)*EW55+(1-EXP(-LN(2)/25))/(LN(2)/25)*Calculateur!ER56*Calculateur!ET56*VLOOKUP('Données projet'!$B$15,Paramètres!$A$1:$I$89,3,0)*0.475*44/12</f>
        <v>11.594063095284826</v>
      </c>
      <c r="EX56" s="21">
        <f>EXP(-LN(2)/2)*EX55+(1-EXP(-LN(2)/2))/(LN(2)/2)*ER56*EU56*VLOOKUP('Données projet'!$B$15,Paramètres!$A$1:$I$89,3,0)*0.475*44/12</f>
        <v>2.0860329671102242E-3</v>
      </c>
      <c r="EY56" s="22">
        <f t="shared" si="21"/>
        <v>95.421097147470917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8.6</v>
      </c>
      <c r="N57" s="13">
        <f>IF('Données projet'!$A$36&gt;35,N56+M57-V56,IF(A57&lt;'Données projet'!$A$36,$K$205^A57,IF(A57='Données projet'!$A$36,'Données projet'!$B$36,N56+M57-V56)))</f>
        <v>249.40000000000006</v>
      </c>
      <c r="O57" s="13">
        <f>N57*VLOOKUP('Données projet'!$B$9,Paramètres!$A$1:$I$89,3,0)*VLOOKUP('Données projet'!$B$9,Paramètres!$A$1:$I$89,5,0)</f>
        <v>217.87584000000007</v>
      </c>
      <c r="P57" s="13">
        <f t="shared" si="33"/>
        <v>53.652949670124926</v>
      </c>
      <c r="Q57" s="20">
        <f t="shared" si="53"/>
        <v>472.91264200880101</v>
      </c>
      <c r="R57" s="59">
        <f t="shared" si="0"/>
        <v>766.24597534213433</v>
      </c>
      <c r="S57" s="59">
        <f ca="1">AVERAGE(OFFSET($R$3,0,0,'Données projet'!$E$9+1,1))-AVERAGE(OFFSET($H$3,0,0,'Données projet'!$E$9+1,1))</f>
        <v>304.32767345253382</v>
      </c>
      <c r="T57" s="59">
        <f t="shared" si="34"/>
        <v>427.16091343339173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56.570372959351275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56.570372959351275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8.4</v>
      </c>
      <c r="AI57" s="13">
        <f>IF('Données projet'!$A$62&gt;35,AI56+AH57-AQ56,IF(A57&lt;'Données projet'!$A$62,$AF$205^A57,IF(A57='Données projet'!$A$62,'Données projet'!$B$62,AI56+AH57-AQ56)))</f>
        <v>315.59999999999985</v>
      </c>
      <c r="AJ57" s="13">
        <f>AI57*VLOOKUP('Données projet'!$B$10,Paramètres!$A$1:$I$89,3,0)*VLOOKUP('Données projet'!$B$10,Paramètres!$A$1:$I$89,5,0)</f>
        <v>251.0913599999999</v>
      </c>
      <c r="AK57" s="13">
        <f t="shared" si="35"/>
        <v>60.81957989149403</v>
      </c>
      <c r="AL57" s="20">
        <f t="shared" si="4"/>
        <v>543.24488697768527</v>
      </c>
      <c r="AM57" s="59">
        <f t="shared" si="5"/>
        <v>836.57822031101864</v>
      </c>
      <c r="AN57" s="59">
        <f ca="1">AVERAGE(OFFSET($AM$3,0,0,'Données projet'!$E$10+1,1))-AVERAGE(OFFSET($H$3,0,0,'Données projet'!$E$10+1,1))</f>
        <v>405.40026823646758</v>
      </c>
      <c r="AO57" s="59">
        <f t="shared" si="36"/>
        <v>393.0787141050053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46.753766357292207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46.753766357292207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15.4</v>
      </c>
      <c r="BD57" s="12">
        <f>IF('Données projet'!$A$88&gt;35,BD56+BC57-BL56,IF(A57&lt;'Données projet'!$A$88,$BA$205^A57,IF(A57='Données projet'!$A$88,'Données projet'!$B$88,BD56+BC57-BL56)))</f>
        <v>723.59999999999945</v>
      </c>
      <c r="BE57" s="13">
        <f>BD57*VLOOKUP('Données projet'!$B$11,Paramètres!$A$1:$I$89,3,0)*VLOOKUP('Données projet'!$B$11,Paramètres!$A$1:$I$89,5,0)</f>
        <v>404.49239999999969</v>
      </c>
      <c r="BF57" s="13">
        <f t="shared" si="37"/>
        <v>92.686837535548761</v>
      </c>
      <c r="BG57" s="20">
        <f t="shared" si="7"/>
        <v>865.92050537441344</v>
      </c>
      <c r="BH57" s="59">
        <f t="shared" si="8"/>
        <v>1159.2538387077468</v>
      </c>
      <c r="BI57" s="59">
        <f ca="1">AVERAGE(OFFSET($BH$3,0,0,'Données projet'!$E$11+1,1))-AVERAGE(OFFSET($H$3,0,0,'Données projet'!$E$11+1,1))</f>
        <v>555.15881087162279</v>
      </c>
      <c r="BJ57" s="59">
        <f t="shared" si="38"/>
        <v>668.20427590250733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89.159050080130655</v>
      </c>
      <c r="BQ57" s="21">
        <f>EXP(-LN(2)/25)*BQ56+(1-EXP(-LN(2)/25))/(LN(2)/25)*Calculateur!BL57*Calculateur!BN57*VLOOKUP('Données projet'!$B$11,Paramètres!$A$1:$I$89,3,0)*0.475*44/12</f>
        <v>29.703058691695833</v>
      </c>
      <c r="BR57" s="21">
        <f>EXP(-LN(2)/2)*BR56+(1-EXP(-LN(2)/2))/(LN(2)/2)*BL57*BO57*VLOOKUP('Données projet'!$B$11,Paramètres!$A$1:$I$89,3,0)*0.475*44/12</f>
        <v>2.0763754070773075E-4</v>
      </c>
      <c r="BS57" s="22">
        <f t="shared" si="9"/>
        <v>118.8623164093672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8.4</v>
      </c>
      <c r="BY57" s="12">
        <f>IF('Données projet'!$A$114&gt;35,BY56+BX57-CG56,IF(A57&lt;'Données projet'!$A$114,$BV$205^A57,IF(A57='Données projet'!$A$114,'Données projet'!$B$114,BY56+BX57-CG56)))</f>
        <v>315.59999999999985</v>
      </c>
      <c r="BZ57" s="13">
        <f>BY57*VLOOKUP('Données projet'!$B$12,Paramètres!$A$1:$I$89,3,0)*VLOOKUP('Données projet'!$B$12,Paramètres!$A$1:$I$89,5,0)</f>
        <v>206.7811199999999</v>
      </c>
      <c r="CA57" s="13">
        <f t="shared" si="39"/>
        <v>51.231548322431593</v>
      </c>
      <c r="CB57" s="20">
        <f t="shared" si="10"/>
        <v>449.37206399490151</v>
      </c>
      <c r="CC57" s="59">
        <f t="shared" si="11"/>
        <v>742.70539732823477</v>
      </c>
      <c r="CD57" s="59">
        <f ca="1">AVERAGE(OFFSET($CC$3,0,0,'Données projet'!$E$12+1,1))-AVERAGE(OFFSET($H$3,0,0,'Données projet'!$E$12+1,1))</f>
        <v>340.49092994349405</v>
      </c>
      <c r="CE57" s="59">
        <f t="shared" si="40"/>
        <v>331.54434271908832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31.238365535060932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31.238365535060932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10.199999999999999</v>
      </c>
      <c r="CT57" s="12">
        <f>IF('Données projet'!$A$140&gt;35,CT56+CS57-DB56,IF(A57&lt;'Données projet'!$A$140,$CQ$205^A57,IF(A57='Données projet'!$A$140,'Données projet'!$B$140,CT56+CS57-DB56)))</f>
        <v>243.79999999999998</v>
      </c>
      <c r="CU57" s="17">
        <f>CT57*VLOOKUP('Données projet'!$B$13,Paramètres!$A$1:$I$89,3,0)*VLOOKUP('Données projet'!$B$13,Paramètres!$A$1:$I$89,5,0)</f>
        <v>220.59023999999997</v>
      </c>
      <c r="CV57" s="13">
        <f t="shared" si="41"/>
        <v>54.24315145708789</v>
      </c>
      <c r="CW57" s="20">
        <f t="shared" si="13"/>
        <v>478.66815678776129</v>
      </c>
      <c r="CX57" s="59">
        <f t="shared" si="14"/>
        <v>772.00149012109455</v>
      </c>
      <c r="CY57" s="59">
        <f ca="1">AVERAGE(OFFSET($CX$3,0,0,'Données projet'!$E$13+1,1))-AVERAGE(OFFSET($H$3,0,0,'Données projet'!$E$13+1,1))</f>
        <v>439.19854273764042</v>
      </c>
      <c r="CZ57" s="59">
        <f t="shared" si="42"/>
        <v>278.21741231699929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38.595270792971881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38.595270792971881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10.199999999999999</v>
      </c>
      <c r="DO57" s="12">
        <f>IF('Données projet'!$A$166&gt;35,DO56+DN57-DW56,IF(A57&lt;'Données projet'!$A$166,$DL$205^A57,IF(A57='Données projet'!$A$166,'Données projet'!$B$166,DO56+DN57-DW56)))</f>
        <v>243.79999999999998</v>
      </c>
      <c r="DP57" s="17">
        <f>DO57*VLOOKUP('Données projet'!$B$14,Paramètres!$A$1:$I$89,3,0)*VLOOKUP('Données projet'!$B$14,Paramètres!$A$1:$I$89,5,0)</f>
        <v>205.37711999999999</v>
      </c>
      <c r="DQ57" s="13">
        <f t="shared" si="43"/>
        <v>50.924065093909938</v>
      </c>
      <c r="DR57" s="20">
        <f t="shared" si="16"/>
        <v>446.39123070522641</v>
      </c>
      <c r="DS57" s="59">
        <f t="shared" si="17"/>
        <v>739.72456403855972</v>
      </c>
      <c r="DT57" s="59">
        <f ca="1">AVERAGE(OFFSET($DS$3,0,0,'Données projet'!$E$14+1,1))-AVERAGE(OFFSET($H$3,0,0,'Données projet'!$E$14+1,1))</f>
        <v>411.72284844766</v>
      </c>
      <c r="DU57" s="59">
        <f t="shared" si="44"/>
        <v>261.95434270986397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35.933527979663495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35.933527979663495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13.8</v>
      </c>
      <c r="EJ57" s="12">
        <f>IF('Données projet'!$A$192&gt;35,EJ56+EI57-ER56,IF(A57&lt;'Données projet'!$A$192,$EG$205^A57,IF(A57='Données projet'!$A$192,'Données projet'!$B$192,EJ56+EI57-ER56)))</f>
        <v>636.19999999999959</v>
      </c>
      <c r="EK57" s="17">
        <f>EJ57*VLOOKUP('Données projet'!$B$15,Paramètres!$A$1:$I$89,3,0)*VLOOKUP('Données projet'!$B$15,Paramètres!$A$1:$I$89,5,0)</f>
        <v>355.63579999999973</v>
      </c>
      <c r="EL57" s="13">
        <f t="shared" si="45"/>
        <v>82.721899912765039</v>
      </c>
      <c r="EM57" s="20">
        <f t="shared" si="19"/>
        <v>763.47299401473185</v>
      </c>
      <c r="EN57" s="59">
        <f t="shared" si="20"/>
        <v>1056.8063273480652</v>
      </c>
      <c r="EO57" s="59">
        <f ca="1">AVERAGE(OFFSET($EN$3,0,0,'Données projet'!$E$15+1,1))-AVERAGE(OFFSET($H$3,0,0,'Données projet'!$E$15+1,1))</f>
        <v>443.34220761968419</v>
      </c>
      <c r="EP57" s="59">
        <f t="shared" si="46"/>
        <v>546.58234447298014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82.181191916731905</v>
      </c>
      <c r="EW57" s="21">
        <f>EXP(-LN(2)/25)*EW56+(1-EXP(-LN(2)/25))/(LN(2)/25)*Calculateur!ER57*Calculateur!ET57*VLOOKUP('Données projet'!$B$15,Paramètres!$A$1:$I$89,3,0)*0.475*44/12</f>
        <v>11.277022830238982</v>
      </c>
      <c r="EX57" s="21">
        <f>EXP(-LN(2)/2)*EX56+(1-EXP(-LN(2)/2))/(LN(2)/2)*ER57*EU57*VLOOKUP('Données projet'!$B$15,Paramètres!$A$1:$I$89,3,0)*0.475*44/12</f>
        <v>1.4750480568223338E-3</v>
      </c>
      <c r="EY57" s="22">
        <f t="shared" si="21"/>
        <v>93.4596897950277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258</v>
      </c>
      <c r="L58" s="12">
        <f>VLOOKUP(A58,'Données projet'!$A$35:$I$55,9,0)</f>
        <v>8.6</v>
      </c>
      <c r="M58" s="12">
        <f t="array" ref="M58">INDEX(L:L,MIN(IF(ISNUMBER(L58:L254),ROW(L58:L254),"")))</f>
        <v>8.6</v>
      </c>
      <c r="N58" s="13">
        <f>IF('Données projet'!$A$36&gt;35,N57+M58-V57,IF(A58&lt;'Données projet'!$A$36,$K$205^A58,IF(A58='Données projet'!$A$36,'Données projet'!$B$36,N57+M58-V57)))</f>
        <v>258.00000000000006</v>
      </c>
      <c r="O58" s="13">
        <f>N58*VLOOKUP('Données projet'!$B$9,Paramètres!$A$1:$I$89,3,0)*VLOOKUP('Données projet'!$B$9,Paramètres!$A$1:$I$89,5,0)</f>
        <v>225.38880000000009</v>
      </c>
      <c r="P58" s="13">
        <f t="shared" si="33"/>
        <v>55.284460117161593</v>
      </c>
      <c r="Q58" s="20">
        <f t="shared" si="53"/>
        <v>488.83926137072331</v>
      </c>
      <c r="R58" s="59">
        <f t="shared" si="0"/>
        <v>782.17259470405656</v>
      </c>
      <c r="S58" s="59">
        <f ca="1">AVERAGE(OFFSET($R$3,0,0,'Données projet'!$E$9+1,1))-AVERAGE(OFFSET($H$3,0,0,'Données projet'!$E$9+1,1))</f>
        <v>304.32767345253382</v>
      </c>
      <c r="T58" s="59">
        <f t="shared" si="34"/>
        <v>427.16091343339173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34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69.58016551258585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69.58016551258585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324</v>
      </c>
      <c r="AG58" s="12">
        <f>VLOOKUP(A58,'Données projet'!$A$61:$I$81,9,0)</f>
        <v>8.4</v>
      </c>
      <c r="AH58" s="12">
        <f t="array" ref="AH58">INDEX(AG:AG,MIN(IF(ISNUMBER(AG58:AG254),ROW(AG58:AG254),"")))</f>
        <v>8.4</v>
      </c>
      <c r="AI58" s="13">
        <f>IF('Données projet'!$A$62&gt;35,AI57+AH58-AQ57,IF(A58&lt;'Données projet'!$A$62,$AF$205^A58,IF(A58='Données projet'!$A$62,'Données projet'!$B$62,AI57+AH58-AQ57)))</f>
        <v>323.99999999999983</v>
      </c>
      <c r="AJ58" s="13">
        <f>AI58*VLOOKUP('Données projet'!$B$10,Paramètres!$A$1:$I$89,3,0)*VLOOKUP('Données projet'!$B$10,Paramètres!$A$1:$I$89,5,0)</f>
        <v>257.7743999999999</v>
      </c>
      <c r="AK58" s="13">
        <f t="shared" si="35"/>
        <v>62.247732872134243</v>
      </c>
      <c r="AL58" s="20">
        <f t="shared" si="4"/>
        <v>557.37188141896695</v>
      </c>
      <c r="AM58" s="59">
        <f t="shared" si="5"/>
        <v>850.70521475230021</v>
      </c>
      <c r="AN58" s="59">
        <f ca="1">AVERAGE(OFFSET($AM$3,0,0,'Données projet'!$E$10+1,1))-AVERAGE(OFFSET($H$3,0,0,'Données projet'!$E$10+1,1))</f>
        <v>405.40026823646758</v>
      </c>
      <c r="AO58" s="59">
        <f t="shared" si="36"/>
        <v>393.0787141050053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18</v>
      </c>
      <c r="AR58" s="16">
        <f>IF(ISNA(VLOOKUP(A58,'Données projet'!$A$61:$I$81,5,0)),0%,VLOOKUP(A58,'Données projet'!$A$61:$I$81,5,0)*VLOOKUP('Données projet'!$B$10,Paramètres!$A$1:$I$89,7,0))</f>
        <v>0.53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54.227500227951566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54.227500227951566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739</v>
      </c>
      <c r="BB58" s="12">
        <f>VLOOKUP(A58,'Données projet'!$A$87:$I$107,9,0)</f>
        <v>15.4</v>
      </c>
      <c r="BC58" s="12">
        <f t="array" ref="BC58">INDEX(BB:BB,MIN(IF(ISNUMBER(BB58:BB254),ROW(BB58:BB254),"")))</f>
        <v>15.4</v>
      </c>
      <c r="BD58" s="12">
        <f>IF('Données projet'!$A$88&gt;35,BD57+BC58-BL57,IF(A58&lt;'Données projet'!$A$88,$BA$205^A58,IF(A58='Données projet'!$A$88,'Données projet'!$B$88,BD57+BC58-BL57)))</f>
        <v>738.99999999999943</v>
      </c>
      <c r="BE58" s="13">
        <f>BD58*VLOOKUP('Données projet'!$B$11,Paramètres!$A$1:$I$89,3,0)*VLOOKUP('Données projet'!$B$11,Paramètres!$A$1:$I$89,5,0)</f>
        <v>413.10099999999971</v>
      </c>
      <c r="BF58" s="13">
        <f t="shared" si="37"/>
        <v>94.427689670462271</v>
      </c>
      <c r="BG58" s="20">
        <f t="shared" si="7"/>
        <v>883.94580117605472</v>
      </c>
      <c r="BH58" s="59">
        <f t="shared" si="8"/>
        <v>1177.2791345093881</v>
      </c>
      <c r="BI58" s="59">
        <f ca="1">AVERAGE(OFFSET($BH$3,0,0,'Données projet'!$E$11+1,1))-AVERAGE(OFFSET($H$3,0,0,'Données projet'!$E$11+1,1))</f>
        <v>555.15881087162279</v>
      </c>
      <c r="BJ58" s="59">
        <f t="shared" si="38"/>
        <v>668.20427590250733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46</v>
      </c>
      <c r="BM58" s="16">
        <f>IF(ISNA(VLOOKUP(A58,'Données projet'!$A$87:$I$107,5,0)),0%,VLOOKUP(A58,'Données projet'!$A$87:$I$107,5,0)*VLOOKUP('Données projet'!$B$11,Paramètres!$A$1:$I$89,7,0))</f>
        <v>0.55000000000000004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106.17189861365489</v>
      </c>
      <c r="BQ58" s="21">
        <f>EXP(-LN(2)/25)*BQ57+(1-EXP(-LN(2)/25))/(LN(2)/25)*Calculateur!BL58*Calculateur!BN58*VLOOKUP('Données projet'!$B$11,Paramètres!$A$1:$I$89,3,0)*0.475*44/12</f>
        <v>28.890826989755443</v>
      </c>
      <c r="BR58" s="21">
        <f>EXP(-LN(2)/2)*BR57+(1-EXP(-LN(2)/2))/(LN(2)/2)*BL58*BO58*VLOOKUP('Données projet'!$B$11,Paramètres!$A$1:$I$89,3,0)*0.475*44/12</f>
        <v>1.4682191306333422E-4</v>
      </c>
      <c r="BS58" s="22">
        <f t="shared" si="9"/>
        <v>135.06287242532341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324</v>
      </c>
      <c r="BW58" s="12">
        <f>VLOOKUP(A58,'Données projet'!$A$113:$I$133,9,0)</f>
        <v>8.4</v>
      </c>
      <c r="BX58" s="12">
        <f t="array" ref="BX58">INDEX(BW:BW,MIN(IF(ISNUMBER(BW58:BW254),ROW(BW58:BW254),"")))</f>
        <v>8.4</v>
      </c>
      <c r="BY58" s="12">
        <f>IF('Données projet'!$A$114&gt;35,BY57+BX58-CG57,IF(A58&lt;'Données projet'!$A$114,$BV$205^A58,IF(A58='Données projet'!$A$114,'Données projet'!$B$114,BY57+BX58-CG57)))</f>
        <v>323.99999999999983</v>
      </c>
      <c r="BZ58" s="13">
        <f>BY58*VLOOKUP('Données projet'!$B$12,Paramètres!$A$1:$I$89,3,0)*VLOOKUP('Données projet'!$B$12,Paramètres!$A$1:$I$89,5,0)</f>
        <v>212.2847999999999</v>
      </c>
      <c r="CA58" s="13">
        <f t="shared" si="39"/>
        <v>52.434557099704143</v>
      </c>
      <c r="CB58" s="20">
        <f t="shared" si="10"/>
        <v>461.05288028198453</v>
      </c>
      <c r="CC58" s="59">
        <f t="shared" si="11"/>
        <v>754.38621361531784</v>
      </c>
      <c r="CD58" s="59">
        <f ca="1">AVERAGE(OFFSET($CC$3,0,0,'Données projet'!$E$12+1,1))-AVERAGE(OFFSET($H$3,0,0,'Données projet'!$E$12+1,1))</f>
        <v>340.49092994349405</v>
      </c>
      <c r="CE58" s="59">
        <f t="shared" si="40"/>
        <v>331.54434271908832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18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36.231914691705697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36.231914691705697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254</v>
      </c>
      <c r="CR58" s="12">
        <f>VLOOKUP(A58,'Données projet'!$A$139:$I$159,9,0)</f>
        <v>10.199999999999999</v>
      </c>
      <c r="CS58" s="12">
        <f t="array" ref="CS58">INDEX(CR:CR,MIN(IF(ISNUMBER(CR58:CR254),ROW(CR58:CR254),"")))</f>
        <v>10.199999999999999</v>
      </c>
      <c r="CT58" s="12">
        <f>IF('Données projet'!$A$140&gt;35,CT57+CS58-DB57,IF(A58&lt;'Données projet'!$A$140,$CQ$205^A58,IF(A58='Données projet'!$A$140,'Données projet'!$B$140,CT57+CS58-DB57)))</f>
        <v>253.99999999999997</v>
      </c>
      <c r="CU58" s="17">
        <f>CT58*VLOOKUP('Données projet'!$B$13,Paramètres!$A$1:$I$89,3,0)*VLOOKUP('Données projet'!$B$13,Paramètres!$A$1:$I$89,5,0)</f>
        <v>229.81919999999997</v>
      </c>
      <c r="CV58" s="13">
        <f t="shared" si="41"/>
        <v>56.243586554989342</v>
      </c>
      <c r="CW58" s="20">
        <f t="shared" si="13"/>
        <v>498.22601991660639</v>
      </c>
      <c r="CX58" s="59">
        <f t="shared" si="14"/>
        <v>791.5593532499397</v>
      </c>
      <c r="CY58" s="59">
        <f ca="1">AVERAGE(OFFSET($CX$3,0,0,'Données projet'!$E$13+1,1))-AVERAGE(OFFSET($H$3,0,0,'Données projet'!$E$13+1,1))</f>
        <v>439.19854273764042</v>
      </c>
      <c r="CZ58" s="59">
        <f t="shared" si="42"/>
        <v>278.21741231699929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28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49.881205450305444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49.881205450305444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254</v>
      </c>
      <c r="DM58" s="12">
        <f>VLOOKUP(A58,'Données projet'!$A$165:$I$185,9,0)</f>
        <v>10.199999999999999</v>
      </c>
      <c r="DN58" s="12">
        <f t="array" ref="DN58">INDEX(DM:DM,MIN(IF(ISNUMBER(DM58:DM254),ROW(DM58:DM254),"")))</f>
        <v>10.199999999999999</v>
      </c>
      <c r="DO58" s="12">
        <f>IF('Données projet'!$A$166&gt;35,DO57+DN58-DW57,IF(A58&lt;'Données projet'!$A$166,$DL$205^A58,IF(A58='Données projet'!$A$166,'Données projet'!$B$166,DO57+DN58-DW57)))</f>
        <v>253.99999999999997</v>
      </c>
      <c r="DP58" s="17">
        <f>DO58*VLOOKUP('Données projet'!$B$14,Paramètres!$A$1:$I$89,3,0)*VLOOKUP('Données projet'!$B$14,Paramètres!$A$1:$I$89,5,0)</f>
        <v>213.96960000000001</v>
      </c>
      <c r="DQ58" s="13">
        <f t="shared" si="43"/>
        <v>52.802095488627479</v>
      </c>
      <c r="DR58" s="20">
        <f t="shared" si="16"/>
        <v>464.62736964269283</v>
      </c>
      <c r="DS58" s="59">
        <f t="shared" si="17"/>
        <v>757.96070297602614</v>
      </c>
      <c r="DT58" s="59">
        <f ca="1">AVERAGE(OFFSET($DS$3,0,0,'Données projet'!$E$14+1,1))-AVERAGE(OFFSET($H$3,0,0,'Données projet'!$E$14+1,1))</f>
        <v>411.72284844766</v>
      </c>
      <c r="DU58" s="59">
        <f t="shared" si="44"/>
        <v>261.95434270986397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28</v>
      </c>
      <c r="DX58" s="16">
        <f>IF(ISNA(VLOOKUP(A58,'Données projet'!$A$165:$I$185,5,0)),0%,VLOOKUP(A58,'Données projet'!$A$165:$I$185,5,0)*VLOOKUP('Données projet'!$B$14,Paramètres!$A$1:$I$89,7,0))</f>
        <v>0.43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46.441122315801636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46.441122315801636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650</v>
      </c>
      <c r="EH58" s="12">
        <f>VLOOKUP(A58,'Données projet'!$A$191:$I$211,9,0)</f>
        <v>13.8</v>
      </c>
      <c r="EI58" s="12">
        <f t="array" ref="EI58">INDEX(EH:EH,MIN(IF(ISNUMBER(EH58:EH254),ROW(EH58:EH254),"")))</f>
        <v>13.8</v>
      </c>
      <c r="EJ58" s="12">
        <f>IF('Données projet'!$A$192&gt;35,EJ57+EI58-ER57,IF(A58&lt;'Données projet'!$A$192,$EG$205^A58,IF(A58='Données projet'!$A$192,'Données projet'!$B$192,EJ57+EI58-ER57)))</f>
        <v>649.99999999999955</v>
      </c>
      <c r="EK58" s="17">
        <f>EJ58*VLOOKUP('Données projet'!$B$15,Paramètres!$A$1:$I$89,3,0)*VLOOKUP('Données projet'!$B$15,Paramètres!$A$1:$I$89,5,0)</f>
        <v>363.34999999999974</v>
      </c>
      <c r="EL58" s="13">
        <f t="shared" si="45"/>
        <v>84.305397464498199</v>
      </c>
      <c r="EM58" s="20">
        <f t="shared" si="19"/>
        <v>779.66648391733395</v>
      </c>
      <c r="EN58" s="59">
        <f t="shared" si="20"/>
        <v>1072.9998172506673</v>
      </c>
      <c r="EO58" s="59">
        <f ca="1">AVERAGE(OFFSET($EN$3,0,0,'Données projet'!$E$15+1,1))-AVERAGE(OFFSET($H$3,0,0,'Données projet'!$E$15+1,1))</f>
        <v>443.34220761968419</v>
      </c>
      <c r="EP58" s="59">
        <f t="shared" si="46"/>
        <v>546.58234447298014</v>
      </c>
      <c r="EQ58" s="15">
        <f>IF(ISNA(VLOOKUP(A58,'Données projet'!$A$191:$I$211,3,0)),0,VLOOKUP(A58,'Données projet'!$A$191:$I$211,3,0))</f>
        <v>7</v>
      </c>
      <c r="ER58" s="15">
        <f>IF(ISNA(VLOOKUP(A58,'Données projet'!$A$191:$I$211,4,0)),0,VLOOKUP(A58,'Données projet'!$A$191:$I$211,4,0))</f>
        <v>35</v>
      </c>
      <c r="ES58" s="16">
        <f>IF(ISNA(VLOOKUP(A58,'Données projet'!$A$191:$I$211,5,0)),0%,VLOOKUP(A58,'Données projet'!$A$191:$I$211,5,0)*VLOOKUP('Données projet'!$B$15,Paramètres!$A$1:$I$89,7,0))</f>
        <v>0.55000000000000004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94.844497332693408</v>
      </c>
      <c r="EW58" s="21">
        <f>EXP(-LN(2)/25)*EW57+(1-EXP(-LN(2)/25))/(LN(2)/25)*Calculateur!ER58*Calculateur!ET58*VLOOKUP('Données projet'!$B$15,Paramètres!$A$1:$I$89,3,0)*0.475*44/12</f>
        <v>10.96865204791324</v>
      </c>
      <c r="EX58" s="21">
        <f>EXP(-LN(2)/2)*EX57+(1-EXP(-LN(2)/2))/(LN(2)/2)*ER58*EU58*VLOOKUP('Données projet'!$B$15,Paramètres!$A$1:$I$89,3,0)*0.475*44/12</f>
        <v>1.0430164835551121E-3</v>
      </c>
      <c r="EY58" s="22">
        <f t="shared" si="21"/>
        <v>105.8141923970902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224.00000000000006</v>
      </c>
      <c r="O59" s="13">
        <f>N59*VLOOKUP('Données projet'!$B$9,Paramètres!$A$1:$I$89,3,0)*VLOOKUP('Données projet'!$B$9,Paramètres!$A$1:$I$89,5,0)</f>
        <v>195.68640000000008</v>
      </c>
      <c r="P59" s="13">
        <f t="shared" si="33"/>
        <v>48.794969360985156</v>
      </c>
      <c r="Q59" s="20">
        <f t="shared" si="53"/>
        <v>425.8050516370493</v>
      </c>
      <c r="R59" s="59">
        <f t="shared" si="0"/>
        <v>719.13838497038262</v>
      </c>
      <c r="S59" s="59">
        <f ca="1">AVERAGE(OFFSET($R$3,0,0,'Données projet'!$E$9+1,1))-AVERAGE(OFFSET($H$3,0,0,'Données projet'!$E$9+1,1))</f>
        <v>304.32767345253382</v>
      </c>
      <c r="T59" s="59">
        <f t="shared" si="34"/>
        <v>427.16091343339173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68.215740906594434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68.215740906594434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7.4</v>
      </c>
      <c r="AI59" s="13">
        <f>IF('Données projet'!$A$62&gt;35,AI58+AH59-AQ58,IF(A59&lt;'Données projet'!$A$62,$AF$205^A59,IF(A59='Données projet'!$A$62,'Données projet'!$B$62,AI58+AH59-AQ58)))</f>
        <v>313.39999999999981</v>
      </c>
      <c r="AJ59" s="13">
        <f>AI59*VLOOKUP('Données projet'!$B$10,Paramètres!$A$1:$I$89,3,0)*VLOOKUP('Données projet'!$B$10,Paramètres!$A$1:$I$89,5,0)</f>
        <v>249.34103999999988</v>
      </c>
      <c r="AK59" s="13">
        <f t="shared" si="35"/>
        <v>60.444812818312201</v>
      </c>
      <c r="AL59" s="20">
        <f t="shared" si="4"/>
        <v>539.54369365856019</v>
      </c>
      <c r="AM59" s="59">
        <f t="shared" si="5"/>
        <v>832.87702699189344</v>
      </c>
      <c r="AN59" s="59">
        <f ca="1">AVERAGE(OFFSET($AM$3,0,0,'Données projet'!$E$10+1,1))-AVERAGE(OFFSET($H$3,0,0,'Données projet'!$E$10+1,1))</f>
        <v>405.40026823646758</v>
      </c>
      <c r="AO59" s="59">
        <f t="shared" si="36"/>
        <v>393.0787141050053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53.164132023990639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53.164132023990639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12.2</v>
      </c>
      <c r="BD59" s="12">
        <f>IF('Données projet'!$A$88&gt;35,BD58+BC59-BL58,IF(A59&lt;'Données projet'!$A$88,$BA$205^A59,IF(A59='Données projet'!$A$88,'Données projet'!$B$88,BD58+BC59-BL58)))</f>
        <v>705.19999999999948</v>
      </c>
      <c r="BE59" s="13">
        <f>BD59*VLOOKUP('Données projet'!$B$11,Paramètres!$A$1:$I$89,3,0)*VLOOKUP('Données projet'!$B$11,Paramètres!$A$1:$I$89,5,0)</f>
        <v>394.2067999999997</v>
      </c>
      <c r="BF59" s="13">
        <f t="shared" si="37"/>
        <v>90.601187466199292</v>
      </c>
      <c r="BG59" s="20">
        <f t="shared" si="7"/>
        <v>844.37391150362998</v>
      </c>
      <c r="BH59" s="59">
        <f t="shared" si="8"/>
        <v>1137.7072448369634</v>
      </c>
      <c r="BI59" s="59">
        <f ca="1">AVERAGE(OFFSET($BH$3,0,0,'Données projet'!$E$11+1,1))-AVERAGE(OFFSET($H$3,0,0,'Données projet'!$E$11+1,1))</f>
        <v>555.15881087162279</v>
      </c>
      <c r="BJ59" s="59">
        <f t="shared" si="38"/>
        <v>668.20427590250733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104.08993244030491</v>
      </c>
      <c r="BQ59" s="21">
        <f>EXP(-LN(2)/25)*BQ58+(1-EXP(-LN(2)/25))/(LN(2)/25)*Calculateur!BL59*Calculateur!BN59*VLOOKUP('Données projet'!$B$11,Paramètres!$A$1:$I$89,3,0)*0.475*44/12</f>
        <v>28.10080580641802</v>
      </c>
      <c r="BR59" s="21">
        <f>EXP(-LN(2)/2)*BR58+(1-EXP(-LN(2)/2))/(LN(2)/2)*BL59*BO59*VLOOKUP('Données projet'!$B$11,Paramètres!$A$1:$I$89,3,0)*0.475*44/12</f>
        <v>1.0381877035386538E-4</v>
      </c>
      <c r="BS59" s="22">
        <f t="shared" si="9"/>
        <v>132.19084206549329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7.4</v>
      </c>
      <c r="BY59" s="12">
        <f>IF('Données projet'!$A$114&gt;35,BY58+BX59-CG58,IF(A59&lt;'Données projet'!$A$114,$BV$205^A59,IF(A59='Données projet'!$A$114,'Données projet'!$B$114,BY58+BX59-CG58)))</f>
        <v>313.39999999999981</v>
      </c>
      <c r="BZ59" s="13">
        <f>BY59*VLOOKUP('Données projet'!$B$12,Paramètres!$A$1:$I$89,3,0)*VLOOKUP('Données projet'!$B$12,Paramètres!$A$1:$I$89,5,0)</f>
        <v>205.33967999999984</v>
      </c>
      <c r="CA59" s="13">
        <f t="shared" si="39"/>
        <v>50.91586219875856</v>
      </c>
      <c r="CB59" s="20">
        <f t="shared" si="10"/>
        <v>446.31173599617085</v>
      </c>
      <c r="CC59" s="59">
        <f t="shared" si="11"/>
        <v>739.64506932950417</v>
      </c>
      <c r="CD59" s="59">
        <f ca="1">AVERAGE(OFFSET($CC$3,0,0,'Données projet'!$E$12+1,1))-AVERAGE(OFFSET($H$3,0,0,'Données projet'!$E$12+1,1))</f>
        <v>340.49092994349405</v>
      </c>
      <c r="CE59" s="59">
        <f t="shared" si="40"/>
        <v>331.54434271908832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35.521428943887187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35.521428943887187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9.4</v>
      </c>
      <c r="CT59" s="12">
        <f>IF('Données projet'!$A$140&gt;35,CT58+CS59-DB58,IF(A59&lt;'Données projet'!$A$140,$CQ$205^A59,IF(A59='Données projet'!$A$140,'Données projet'!$B$140,CT58+CS59-DB58)))</f>
        <v>235.39999999999998</v>
      </c>
      <c r="CU59" s="17">
        <f>CT59*VLOOKUP('Données projet'!$B$13,Paramètres!$A$1:$I$89,3,0)*VLOOKUP('Données projet'!$B$13,Paramètres!$A$1:$I$89,5,0)</f>
        <v>212.98991999999998</v>
      </c>
      <c r="CV59" s="13">
        <f t="shared" si="41"/>
        <v>52.588419883221171</v>
      </c>
      <c r="CW59" s="20">
        <f t="shared" si="13"/>
        <v>462.54894196327677</v>
      </c>
      <c r="CX59" s="59">
        <f t="shared" si="14"/>
        <v>755.88227529661003</v>
      </c>
      <c r="CY59" s="59">
        <f ca="1">AVERAGE(OFFSET($CX$3,0,0,'Données projet'!$E$13+1,1))-AVERAGE(OFFSET($H$3,0,0,'Données projet'!$E$13+1,1))</f>
        <v>439.19854273764042</v>
      </c>
      <c r="CZ59" s="59">
        <f t="shared" si="42"/>
        <v>278.21741231699929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48.903065435956108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48.903065435956108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9.4</v>
      </c>
      <c r="DO59" s="12">
        <f>IF('Données projet'!$A$166&gt;35,DO58+DN59-DW58,IF(A59&lt;'Données projet'!$A$166,$DL$205^A59,IF(A59='Données projet'!$A$166,'Données projet'!$B$166,DO58+DN59-DW58)))</f>
        <v>235.39999999999998</v>
      </c>
      <c r="DP59" s="17">
        <f>DO59*VLOOKUP('Données projet'!$B$14,Paramètres!$A$1:$I$89,3,0)*VLOOKUP('Données projet'!$B$14,Paramètres!$A$1:$I$89,5,0)</f>
        <v>198.30096</v>
      </c>
      <c r="DQ59" s="13">
        <f t="shared" si="43"/>
        <v>49.3705849564736</v>
      </c>
      <c r="DR59" s="20">
        <f t="shared" si="16"/>
        <v>431.36127413252484</v>
      </c>
      <c r="DS59" s="59">
        <f t="shared" si="17"/>
        <v>724.6946074658581</v>
      </c>
      <c r="DT59" s="59">
        <f ca="1">AVERAGE(OFFSET($DS$3,0,0,'Données projet'!$E$14+1,1))-AVERAGE(OFFSET($H$3,0,0,'Données projet'!$E$14+1,1))</f>
        <v>411.72284844766</v>
      </c>
      <c r="DU59" s="59">
        <f t="shared" si="44"/>
        <v>261.95434270986397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45.530440233476391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45.530440233476391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10.199999999999999</v>
      </c>
      <c r="EJ59" s="12">
        <f>IF('Données projet'!$A$192&gt;35,EJ58+EI59-ER58,IF(A59&lt;'Données projet'!$A$192,$EG$205^A59,IF(A59='Données projet'!$A$192,'Données projet'!$B$192,EJ58+EI59-ER58)))</f>
        <v>625.19999999999959</v>
      </c>
      <c r="EK59" s="17">
        <f>EJ59*VLOOKUP('Données projet'!$B$15,Paramètres!$A$1:$I$89,3,0)*VLOOKUP('Données projet'!$B$15,Paramètres!$A$1:$I$89,5,0)</f>
        <v>349.48679999999979</v>
      </c>
      <c r="EL59" s="13">
        <f t="shared" si="45"/>
        <v>81.45682900536228</v>
      </c>
      <c r="EM59" s="20">
        <f t="shared" si="19"/>
        <v>750.56015385100557</v>
      </c>
      <c r="EN59" s="59">
        <f t="shared" si="20"/>
        <v>1043.8934871843389</v>
      </c>
      <c r="EO59" s="59">
        <f ca="1">AVERAGE(OFFSET($EN$3,0,0,'Données projet'!$E$15+1,1))-AVERAGE(OFFSET($H$3,0,0,'Données projet'!$E$15+1,1))</f>
        <v>443.34220761968419</v>
      </c>
      <c r="EP59" s="59">
        <f t="shared" si="46"/>
        <v>546.58234447298014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92.984654589430505</v>
      </c>
      <c r="EW59" s="21">
        <f>EXP(-LN(2)/25)*EW58+(1-EXP(-LN(2)/25))/(LN(2)/25)*Calculateur!ER59*Calculateur!ET59*VLOOKUP('Données projet'!$B$15,Paramètres!$A$1:$I$89,3,0)*0.475*44/12</f>
        <v>10.668713680846711</v>
      </c>
      <c r="EX59" s="21">
        <f>EXP(-LN(2)/2)*EX58+(1-EXP(-LN(2)/2))/(LN(2)/2)*ER59*EU59*VLOOKUP('Données projet'!$B$15,Paramètres!$A$1:$I$89,3,0)*0.475*44/12</f>
        <v>7.375240284111669E-4</v>
      </c>
      <c r="EY59" s="22">
        <f t="shared" si="21"/>
        <v>103.65410579430562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224.00000000000006</v>
      </c>
      <c r="O60" s="13">
        <f>N60*VLOOKUP('Données projet'!$B$9,Paramètres!$A$1:$I$89,3,0)*VLOOKUP('Données projet'!$B$9,Paramètres!$A$1:$I$89,5,0)</f>
        <v>195.68640000000008</v>
      </c>
      <c r="P60" s="13">
        <f t="shared" si="33"/>
        <v>48.794969360985156</v>
      </c>
      <c r="Q60" s="20">
        <f t="shared" si="53"/>
        <v>425.8050516370493</v>
      </c>
      <c r="R60" s="59">
        <f t="shared" si="0"/>
        <v>719.13838497038262</v>
      </c>
      <c r="S60" s="59">
        <f ca="1">AVERAGE(OFFSET($R$3,0,0,'Données projet'!$E$9+1,1))-AVERAGE(OFFSET($H$3,0,0,'Données projet'!$E$9+1,1))</f>
        <v>304.32767345253382</v>
      </c>
      <c r="T60" s="59">
        <f t="shared" si="34"/>
        <v>427.16091343339173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66.878071834909676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66.878071834909676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7.4</v>
      </c>
      <c r="AI60" s="13">
        <f>IF('Données projet'!$A$62&gt;35,AI59+AH60-AQ59,IF(A60&lt;'Données projet'!$A$62,$AF$205^A60,IF(A60='Données projet'!$A$62,'Données projet'!$B$62,AI59+AH60-AQ59)))</f>
        <v>320.79999999999978</v>
      </c>
      <c r="AJ60" s="13">
        <f>AI60*VLOOKUP('Données projet'!$B$10,Paramètres!$A$1:$I$89,3,0)*VLOOKUP('Données projet'!$B$10,Paramètres!$A$1:$I$89,5,0)</f>
        <v>255.22847999999985</v>
      </c>
      <c r="AK60" s="13">
        <f t="shared" si="35"/>
        <v>61.704188876103551</v>
      </c>
      <c r="AL60" s="20">
        <f t="shared" si="4"/>
        <v>551.99106495921342</v>
      </c>
      <c r="AM60" s="59">
        <f t="shared" si="5"/>
        <v>845.32439829254668</v>
      </c>
      <c r="AN60" s="59">
        <f ca="1">AVERAGE(OFFSET($AM$3,0,0,'Données projet'!$E$10+1,1))-AVERAGE(OFFSET($H$3,0,0,'Données projet'!$E$10+1,1))</f>
        <v>405.40026823646758</v>
      </c>
      <c r="AO60" s="59">
        <f t="shared" si="36"/>
        <v>393.0787141050053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52.121615821918823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52.121615821918823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12.2</v>
      </c>
      <c r="BD60" s="12">
        <f>IF('Données projet'!$A$88&gt;35,BD59+BC60-BL59,IF(A60&lt;'Données projet'!$A$88,$BA$205^A60,IF(A60='Données projet'!$A$88,'Données projet'!$B$88,BD59+BC60-BL59)))</f>
        <v>717.39999999999952</v>
      </c>
      <c r="BE60" s="13">
        <f>BD60*VLOOKUP('Données projet'!$B$11,Paramètres!$A$1:$I$89,3,0)*VLOOKUP('Données projet'!$B$11,Paramètres!$A$1:$I$89,5,0)</f>
        <v>401.02659999999975</v>
      </c>
      <c r="BF60" s="13">
        <f t="shared" si="37"/>
        <v>91.984761558101539</v>
      </c>
      <c r="BG60" s="20">
        <f t="shared" si="7"/>
        <v>858.66145471369293</v>
      </c>
      <c r="BH60" s="59">
        <f t="shared" si="8"/>
        <v>1151.9947880470263</v>
      </c>
      <c r="BI60" s="59">
        <f ca="1">AVERAGE(OFFSET($BH$3,0,0,'Données projet'!$E$11+1,1))-AVERAGE(OFFSET($H$3,0,0,'Données projet'!$E$11+1,1))</f>
        <v>555.15881087162279</v>
      </c>
      <c r="BJ60" s="59">
        <f t="shared" si="38"/>
        <v>668.20427590250733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102.04879235374034</v>
      </c>
      <c r="BQ60" s="21">
        <f>EXP(-LN(2)/25)*BQ59+(1-EXP(-LN(2)/25))/(LN(2)/25)*Calculateur!BL60*Calculateur!BN60*VLOOKUP('Données projet'!$B$11,Paramètres!$A$1:$I$89,3,0)*0.475*44/12</f>
        <v>27.332387793884365</v>
      </c>
      <c r="BR60" s="21">
        <f>EXP(-LN(2)/2)*BR59+(1-EXP(-LN(2)/2))/(LN(2)/2)*BL60*BO60*VLOOKUP('Données projet'!$B$11,Paramètres!$A$1:$I$89,3,0)*0.475*44/12</f>
        <v>7.3410956531667109E-5</v>
      </c>
      <c r="BS60" s="22">
        <f t="shared" si="9"/>
        <v>129.38125355858125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7.4</v>
      </c>
      <c r="BY60" s="12">
        <f>IF('Données projet'!$A$114&gt;35,BY59+BX60-CG59,IF(A60&lt;'Données projet'!$A$114,$BV$205^A60,IF(A60='Données projet'!$A$114,'Données projet'!$B$114,BY59+BX60-CG59)))</f>
        <v>320.79999999999978</v>
      </c>
      <c r="BZ60" s="13">
        <f>BY60*VLOOKUP('Données projet'!$B$12,Paramètres!$A$1:$I$89,3,0)*VLOOKUP('Données projet'!$B$12,Paramètres!$A$1:$I$89,5,0)</f>
        <v>210.18815999999987</v>
      </c>
      <c r="CA60" s="13">
        <f t="shared" si="39"/>
        <v>51.976701248879515</v>
      </c>
      <c r="CB60" s="20">
        <f t="shared" si="10"/>
        <v>456.60380000846493</v>
      </c>
      <c r="CC60" s="59">
        <f t="shared" si="11"/>
        <v>749.93713334179824</v>
      </c>
      <c r="CD60" s="59">
        <f ca="1">AVERAGE(OFFSET($CC$3,0,0,'Données projet'!$E$12+1,1))-AVERAGE(OFFSET($H$3,0,0,'Données projet'!$E$12+1,1))</f>
        <v>340.49092994349405</v>
      </c>
      <c r="CE60" s="59">
        <f t="shared" si="40"/>
        <v>331.54434271908832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34.824875388229884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34.824875388229884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9.4</v>
      </c>
      <c r="CT60" s="12">
        <f>IF('Données projet'!$A$140&gt;35,CT59+CS60-DB59,IF(A60&lt;'Données projet'!$A$140,$CQ$205^A60,IF(A60='Données projet'!$A$140,'Données projet'!$B$140,CT59+CS60-DB59)))</f>
        <v>244.79999999999998</v>
      </c>
      <c r="CU60" s="17">
        <f>CT60*VLOOKUP('Données projet'!$B$13,Paramètres!$A$1:$I$89,3,0)*VLOOKUP('Données projet'!$B$13,Paramètres!$A$1:$I$89,5,0)</f>
        <v>221.49503999999999</v>
      </c>
      <c r="CV60" s="13">
        <f t="shared" si="41"/>
        <v>54.439697086174412</v>
      </c>
      <c r="CW60" s="20">
        <f t="shared" si="13"/>
        <v>480.58633375842032</v>
      </c>
      <c r="CX60" s="59">
        <f t="shared" si="14"/>
        <v>773.91966709175358</v>
      </c>
      <c r="CY60" s="59">
        <f ca="1">AVERAGE(OFFSET($CX$3,0,0,'Données projet'!$E$13+1,1))-AVERAGE(OFFSET($H$3,0,0,'Données projet'!$E$13+1,1))</f>
        <v>439.19854273764042</v>
      </c>
      <c r="CZ60" s="59">
        <f t="shared" si="42"/>
        <v>278.21741231699929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47.944106150681662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47.944106150681662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9.4</v>
      </c>
      <c r="DO60" s="12">
        <f>IF('Données projet'!$A$166&gt;35,DO59+DN60-DW59,IF(A60&lt;'Données projet'!$A$166,$DL$205^A60,IF(A60='Données projet'!$A$166,'Données projet'!$B$166,DO59+DN60-DW59)))</f>
        <v>244.79999999999998</v>
      </c>
      <c r="DP60" s="17">
        <f>DO60*VLOOKUP('Données projet'!$B$14,Paramètres!$A$1:$I$89,3,0)*VLOOKUP('Données projet'!$B$14,Paramètres!$A$1:$I$89,5,0)</f>
        <v>206.21952000000002</v>
      </c>
      <c r="DQ60" s="13">
        <f t="shared" si="43"/>
        <v>51.108584284640322</v>
      </c>
      <c r="DR60" s="20">
        <f t="shared" si="16"/>
        <v>448.1797816290819</v>
      </c>
      <c r="DS60" s="59">
        <f t="shared" si="17"/>
        <v>741.51311496241522</v>
      </c>
      <c r="DT60" s="59">
        <f ca="1">AVERAGE(OFFSET($DS$3,0,0,'Données projet'!$E$14+1,1))-AVERAGE(OFFSET($H$3,0,0,'Données projet'!$E$14+1,1))</f>
        <v>411.72284844766</v>
      </c>
      <c r="DU60" s="59">
        <f t="shared" si="44"/>
        <v>261.95434270986397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44.637616071324317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44.637616071324317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10.199999999999999</v>
      </c>
      <c r="EJ60" s="12">
        <f>IF('Données projet'!$A$192&gt;35,EJ59+EI60-ER59,IF(A60&lt;'Données projet'!$A$192,$EG$205^A60,IF(A60='Données projet'!$A$192,'Données projet'!$B$192,EJ59+EI60-ER59)))</f>
        <v>635.39999999999964</v>
      </c>
      <c r="EK60" s="17">
        <f>EJ60*VLOOKUP('Données projet'!$B$15,Paramètres!$A$1:$I$89,3,0)*VLOOKUP('Données projet'!$B$15,Paramètres!$A$1:$I$89,5,0)</f>
        <v>355.18859999999984</v>
      </c>
      <c r="EL60" s="13">
        <f t="shared" si="45"/>
        <v>82.629981116726043</v>
      </c>
      <c r="EM60" s="20">
        <f t="shared" si="19"/>
        <v>762.53402877829774</v>
      </c>
      <c r="EN60" s="59">
        <f t="shared" si="20"/>
        <v>1055.8673621116311</v>
      </c>
      <c r="EO60" s="59">
        <f ca="1">AVERAGE(OFFSET($EN$3,0,0,'Données projet'!$E$15+1,1))-AVERAGE(OFFSET($H$3,0,0,'Données projet'!$E$15+1,1))</f>
        <v>443.34220761968419</v>
      </c>
      <c r="EP60" s="59">
        <f t="shared" si="46"/>
        <v>546.58234447298014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91.161282227970929</v>
      </c>
      <c r="EW60" s="21">
        <f>EXP(-LN(2)/25)*EW59+(1-EXP(-LN(2)/25))/(LN(2)/25)*Calculateur!ER60*Calculateur!ET60*VLOOKUP('Données projet'!$B$15,Paramètres!$A$1:$I$89,3,0)*0.475*44/12</f>
        <v>10.376977144200689</v>
      </c>
      <c r="EX60" s="21">
        <f>EXP(-LN(2)/2)*EX59+(1-EXP(-LN(2)/2))/(LN(2)/2)*ER60*EU60*VLOOKUP('Données projet'!$B$15,Paramètres!$A$1:$I$89,3,0)*0.475*44/12</f>
        <v>5.2150824177755605E-4</v>
      </c>
      <c r="EY60" s="22">
        <f t="shared" si="21"/>
        <v>101.5387808804134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224.00000000000006</v>
      </c>
      <c r="O61" s="13">
        <f>N61*VLOOKUP('Données projet'!$B$9,Paramètres!$A$1:$I$89,3,0)*VLOOKUP('Données projet'!$B$9,Paramètres!$A$1:$I$89,5,0)</f>
        <v>195.68640000000008</v>
      </c>
      <c r="P61" s="13">
        <f t="shared" si="33"/>
        <v>48.794969360985156</v>
      </c>
      <c r="Q61" s="20">
        <f t="shared" si="53"/>
        <v>425.8050516370493</v>
      </c>
      <c r="R61" s="59">
        <f t="shared" si="0"/>
        <v>719.13838497038262</v>
      </c>
      <c r="S61" s="59">
        <f ca="1">AVERAGE(OFFSET($R$3,0,0,'Données projet'!$E$9+1,1))-AVERAGE(OFFSET($H$3,0,0,'Données projet'!$E$9+1,1))</f>
        <v>304.32767345253382</v>
      </c>
      <c r="T61" s="59">
        <f t="shared" si="34"/>
        <v>427.16091343339173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65.566633637823074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65.566633637823074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7.4</v>
      </c>
      <c r="AI61" s="13">
        <f>IF('Données projet'!$A$62&gt;35,AI60+AH61-AQ60,IF(A61&lt;'Données projet'!$A$62,$AF$205^A61,IF(A61='Données projet'!$A$62,'Données projet'!$B$62,AI60+AH61-AQ60)))</f>
        <v>328.19999999999976</v>
      </c>
      <c r="AJ61" s="13">
        <f>AI61*VLOOKUP('Données projet'!$B$10,Paramètres!$A$1:$I$89,3,0)*VLOOKUP('Données projet'!$B$10,Paramètres!$A$1:$I$89,5,0)</f>
        <v>261.11591999999985</v>
      </c>
      <c r="AK61" s="13">
        <f t="shared" si="35"/>
        <v>62.960187681145797</v>
      </c>
      <c r="AL61" s="20">
        <f t="shared" si="4"/>
        <v>564.43255421132858</v>
      </c>
      <c r="AM61" s="59">
        <f t="shared" si="5"/>
        <v>857.76588754466184</v>
      </c>
      <c r="AN61" s="59">
        <f ca="1">AVERAGE(OFFSET($AM$3,0,0,'Données projet'!$E$10+1,1))-AVERAGE(OFFSET($H$3,0,0,'Données projet'!$E$10+1,1))</f>
        <v>405.40026823646758</v>
      </c>
      <c r="AO61" s="59">
        <f t="shared" si="36"/>
        <v>393.0787141050053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51.099542726697543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51.099542726697543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12.2</v>
      </c>
      <c r="BD61" s="12">
        <f>IF('Données projet'!$A$88&gt;35,BD60+BC61-BL60,IF(A61&lt;'Données projet'!$A$88,$BA$205^A61,IF(A61='Données projet'!$A$88,'Données projet'!$B$88,BD60+BC61-BL60)))</f>
        <v>729.59999999999957</v>
      </c>
      <c r="BE61" s="13">
        <f>BD61*VLOOKUP('Données projet'!$B$11,Paramètres!$A$1:$I$89,3,0)*VLOOKUP('Données projet'!$B$11,Paramètres!$A$1:$I$89,5,0)</f>
        <v>407.84639999999973</v>
      </c>
      <c r="BF61" s="13">
        <f t="shared" si="37"/>
        <v>93.365599460181741</v>
      </c>
      <c r="BG61" s="20">
        <f t="shared" si="7"/>
        <v>872.94423239314926</v>
      </c>
      <c r="BH61" s="59">
        <f t="shared" si="8"/>
        <v>1166.2775657264826</v>
      </c>
      <c r="BI61" s="59">
        <f ca="1">AVERAGE(OFFSET($BH$3,0,0,'Données projet'!$E$11+1,1))-AVERAGE(OFFSET($H$3,0,0,'Données projet'!$E$11+1,1))</f>
        <v>555.15881087162279</v>
      </c>
      <c r="BJ61" s="59">
        <f t="shared" si="38"/>
        <v>668.20427590250733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100.04767777930078</v>
      </c>
      <c r="BQ61" s="21">
        <f>EXP(-LN(2)/25)*BQ60+(1-EXP(-LN(2)/25))/(LN(2)/25)*Calculateur!BL61*Calculateur!BN61*VLOOKUP('Données projet'!$B$11,Paramètres!$A$1:$I$89,3,0)*0.475*44/12</f>
        <v>26.584982212312791</v>
      </c>
      <c r="BR61" s="21">
        <f>EXP(-LN(2)/2)*BR60+(1-EXP(-LN(2)/2))/(LN(2)/2)*BL61*BO61*VLOOKUP('Données projet'!$B$11,Paramètres!$A$1:$I$89,3,0)*0.475*44/12</f>
        <v>5.1909385176932688E-5</v>
      </c>
      <c r="BS61" s="22">
        <f t="shared" si="9"/>
        <v>126.63271190099876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7.4</v>
      </c>
      <c r="BY61" s="12">
        <f>IF('Données projet'!$A$114&gt;35,BY60+BX61-CG60,IF(A61&lt;'Données projet'!$A$114,$BV$205^A61,IF(A61='Données projet'!$A$114,'Données projet'!$B$114,BY60+BX61-CG60)))</f>
        <v>328.19999999999976</v>
      </c>
      <c r="BZ61" s="13">
        <f>BY61*VLOOKUP('Données projet'!$B$12,Paramètres!$A$1:$I$89,3,0)*VLOOKUP('Données projet'!$B$12,Paramètres!$A$1:$I$89,5,0)</f>
        <v>215.03663999999986</v>
      </c>
      <c r="CA61" s="13">
        <f t="shared" si="39"/>
        <v>53.034695460418575</v>
      </c>
      <c r="CB61" s="20">
        <f t="shared" si="10"/>
        <v>466.89090926022874</v>
      </c>
      <c r="CC61" s="59">
        <f t="shared" si="11"/>
        <v>760.22424259356205</v>
      </c>
      <c r="CD61" s="59">
        <f ca="1">AVERAGE(OFFSET($CC$3,0,0,'Données projet'!$E$12+1,1))-AVERAGE(OFFSET($H$3,0,0,'Données projet'!$E$12+1,1))</f>
        <v>340.49092994349405</v>
      </c>
      <c r="CE61" s="59">
        <f t="shared" si="40"/>
        <v>331.54434271908832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34.141980822943303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34.141980822943303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9.4</v>
      </c>
      <c r="CT61" s="12">
        <f>IF('Données projet'!$A$140&gt;35,CT60+CS61-DB60,IF(A61&lt;'Données projet'!$A$140,$CQ$205^A61,IF(A61='Données projet'!$A$140,'Données projet'!$B$140,CT60+CS61-DB60)))</f>
        <v>254.2</v>
      </c>
      <c r="CU61" s="17">
        <f>CT61*VLOOKUP('Données projet'!$B$13,Paramètres!$A$1:$I$89,3,0)*VLOOKUP('Données projet'!$B$13,Paramètres!$A$1:$I$89,5,0)</f>
        <v>230.00015999999997</v>
      </c>
      <c r="CV61" s="13">
        <f t="shared" si="41"/>
        <v>56.282716126880423</v>
      </c>
      <c r="CW61" s="20">
        <f t="shared" si="13"/>
        <v>498.60934258765002</v>
      </c>
      <c r="CX61" s="59">
        <f t="shared" si="14"/>
        <v>791.94267592098333</v>
      </c>
      <c r="CY61" s="59">
        <f ca="1">AVERAGE(OFFSET($CX$3,0,0,'Données projet'!$E$13+1,1))-AVERAGE(OFFSET($H$3,0,0,'Données projet'!$E$13+1,1))</f>
        <v>439.19854273764042</v>
      </c>
      <c r="CZ61" s="59">
        <f t="shared" si="42"/>
        <v>278.21741231699929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47.00395147208404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47.00395147208404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9.4</v>
      </c>
      <c r="DO61" s="12">
        <f>IF('Données projet'!$A$166&gt;35,DO60+DN61-DW60,IF(A61&lt;'Données projet'!$A$166,$DL$205^A61,IF(A61='Données projet'!$A$166,'Données projet'!$B$166,DO60+DN61-DW60)))</f>
        <v>254.2</v>
      </c>
      <c r="DP61" s="17">
        <f>DO61*VLOOKUP('Données projet'!$B$14,Paramètres!$A$1:$I$89,3,0)*VLOOKUP('Données projet'!$B$14,Paramètres!$A$1:$I$89,5,0)</f>
        <v>214.13808</v>
      </c>
      <c r="DQ61" s="13">
        <f t="shared" si="43"/>
        <v>52.838830759579693</v>
      </c>
      <c r="DR61" s="20">
        <f t="shared" si="16"/>
        <v>464.98478623960131</v>
      </c>
      <c r="DS61" s="59">
        <f t="shared" si="17"/>
        <v>758.31811957293462</v>
      </c>
      <c r="DT61" s="59">
        <f ca="1">AVERAGE(OFFSET($DS$3,0,0,'Données projet'!$E$14+1,1))-AVERAGE(OFFSET($H$3,0,0,'Données projet'!$E$14+1,1))</f>
        <v>411.72284844766</v>
      </c>
      <c r="DU61" s="59">
        <f t="shared" si="44"/>
        <v>261.95434270986397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43.762299646423081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43.762299646423081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10.199999999999999</v>
      </c>
      <c r="EJ61" s="12">
        <f>IF('Données projet'!$A$192&gt;35,EJ60+EI61-ER60,IF(A61&lt;'Données projet'!$A$192,$EG$205^A61,IF(A61='Données projet'!$A$192,'Données projet'!$B$192,EJ60+EI61-ER60)))</f>
        <v>645.59999999999968</v>
      </c>
      <c r="EK61" s="17">
        <f>EJ61*VLOOKUP('Données projet'!$B$15,Paramètres!$A$1:$I$89,3,0)*VLOOKUP('Données projet'!$B$15,Paramètres!$A$1:$I$89,5,0)</f>
        <v>360.89039999999977</v>
      </c>
      <c r="EL61" s="13">
        <f t="shared" si="45"/>
        <v>83.800943075865291</v>
      </c>
      <c r="EM61" s="20">
        <f t="shared" si="19"/>
        <v>774.50408919046504</v>
      </c>
      <c r="EN61" s="59">
        <f t="shared" si="20"/>
        <v>1067.8374225237983</v>
      </c>
      <c r="EO61" s="59">
        <f ca="1">AVERAGE(OFFSET($EN$3,0,0,'Données projet'!$E$15+1,1))-AVERAGE(OFFSET($H$3,0,0,'Données projet'!$E$15+1,1))</f>
        <v>443.34220761968419</v>
      </c>
      <c r="EP61" s="59">
        <f t="shared" si="46"/>
        <v>546.58234447298014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89.373665086372242</v>
      </c>
      <c r="EW61" s="21">
        <f>EXP(-LN(2)/25)*EW60+(1-EXP(-LN(2)/25))/(LN(2)/25)*Calculateur!ER61*Calculateur!ET61*VLOOKUP('Données projet'!$B$15,Paramètres!$A$1:$I$89,3,0)*0.475*44/12</f>
        <v>10.093218158491009</v>
      </c>
      <c r="EX61" s="21">
        <f>EXP(-LN(2)/2)*EX60+(1-EXP(-LN(2)/2))/(LN(2)/2)*ER61*EU61*VLOOKUP('Données projet'!$B$15,Paramètres!$A$1:$I$89,3,0)*0.475*44/12</f>
        <v>3.6876201420558345E-4</v>
      </c>
      <c r="EY61" s="22">
        <f t="shared" si="21"/>
        <v>99.467252006877459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224.00000000000006</v>
      </c>
      <c r="O62" s="13">
        <f>N62*VLOOKUP('Données projet'!$B$9,Paramètres!$A$1:$I$89,3,0)*VLOOKUP('Données projet'!$B$9,Paramètres!$A$1:$I$89,5,0)</f>
        <v>195.68640000000008</v>
      </c>
      <c r="P62" s="13">
        <f t="shared" si="33"/>
        <v>48.794969360985156</v>
      </c>
      <c r="Q62" s="20">
        <f t="shared" si="53"/>
        <v>425.8050516370493</v>
      </c>
      <c r="R62" s="59">
        <f t="shared" si="0"/>
        <v>719.13838497038262</v>
      </c>
      <c r="S62" s="59">
        <f ca="1">AVERAGE(OFFSET($R$3,0,0,'Données projet'!$E$9+1,1))-AVERAGE(OFFSET($H$3,0,0,'Données projet'!$E$9+1,1))</f>
        <v>304.32767345253382</v>
      </c>
      <c r="T62" s="59">
        <f t="shared" si="34"/>
        <v>427.16091343339173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64.280911943883027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64.280911943883027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7.4</v>
      </c>
      <c r="AI62" s="13">
        <f>IF('Données projet'!$A$62&gt;35,AI61+AH62-AQ61,IF(A62&lt;'Données projet'!$A$62,$AF$205^A62,IF(A62='Données projet'!$A$62,'Données projet'!$B$62,AI61+AH62-AQ61)))</f>
        <v>335.59999999999974</v>
      </c>
      <c r="AJ62" s="13">
        <f>AI62*VLOOKUP('Données projet'!$B$10,Paramètres!$A$1:$I$89,3,0)*VLOOKUP('Données projet'!$B$10,Paramètres!$A$1:$I$89,5,0)</f>
        <v>267.00335999999982</v>
      </c>
      <c r="AK62" s="13">
        <f t="shared" si="35"/>
        <v>64.212894147794728</v>
      </c>
      <c r="AL62" s="20">
        <f t="shared" si="4"/>
        <v>576.86830930740882</v>
      </c>
      <c r="AM62" s="59">
        <f t="shared" si="5"/>
        <v>870.20164264074219</v>
      </c>
      <c r="AN62" s="59">
        <f ca="1">AVERAGE(OFFSET($AM$3,0,0,'Données projet'!$E$10+1,1))-AVERAGE(OFFSET($H$3,0,0,'Données projet'!$E$10+1,1))</f>
        <v>405.40026823646758</v>
      </c>
      <c r="AO62" s="59">
        <f t="shared" si="36"/>
        <v>393.0787141050053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50.097511861470515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50.097511861470515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12.2</v>
      </c>
      <c r="BD62" s="12">
        <f>IF('Données projet'!$A$88&gt;35,BD61+BC62-BL61,IF(A62&lt;'Données projet'!$A$88,$BA$205^A62,IF(A62='Données projet'!$A$88,'Données projet'!$B$88,BD61+BC62-BL61)))</f>
        <v>741.79999999999961</v>
      </c>
      <c r="BE62" s="13">
        <f>BD62*VLOOKUP('Données projet'!$B$11,Paramètres!$A$1:$I$89,3,0)*VLOOKUP('Données projet'!$B$11,Paramètres!$A$1:$I$89,5,0)</f>
        <v>414.66619999999978</v>
      </c>
      <c r="BF62" s="13">
        <f t="shared" si="37"/>
        <v>94.743752206399009</v>
      </c>
      <c r="BG62" s="20">
        <f t="shared" si="7"/>
        <v>887.22233342614447</v>
      </c>
      <c r="BH62" s="59">
        <f t="shared" si="8"/>
        <v>1180.5556667594778</v>
      </c>
      <c r="BI62" s="59">
        <f ca="1">AVERAGE(OFFSET($BH$3,0,0,'Données projet'!$E$11+1,1))-AVERAGE(OFFSET($H$3,0,0,'Données projet'!$E$11+1,1))</f>
        <v>555.15881087162279</v>
      </c>
      <c r="BJ62" s="59">
        <f t="shared" si="38"/>
        <v>668.20427590250733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98.08580384110661</v>
      </c>
      <c r="BQ62" s="21">
        <f>EXP(-LN(2)/25)*BQ61+(1-EXP(-LN(2)/25))/(LN(2)/25)*Calculateur!BL62*Calculateur!BN62*VLOOKUP('Données projet'!$B$11,Paramètres!$A$1:$I$89,3,0)*0.475*44/12</f>
        <v>25.858014475673645</v>
      </c>
      <c r="BR62" s="21">
        <f>EXP(-LN(2)/2)*BR61+(1-EXP(-LN(2)/2))/(LN(2)/2)*BL62*BO62*VLOOKUP('Données projet'!$B$11,Paramètres!$A$1:$I$89,3,0)*0.475*44/12</f>
        <v>3.6705478265833555E-5</v>
      </c>
      <c r="BS62" s="22">
        <f t="shared" si="9"/>
        <v>123.94385502225852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7.4</v>
      </c>
      <c r="BY62" s="12">
        <f>IF('Données projet'!$A$114&gt;35,BY61+BX62-CG61,IF(A62&lt;'Données projet'!$A$114,$BV$205^A62,IF(A62='Données projet'!$A$114,'Données projet'!$B$114,BY61+BX62-CG61)))</f>
        <v>335.59999999999974</v>
      </c>
      <c r="BZ62" s="13">
        <f>BY62*VLOOKUP('Données projet'!$B$12,Paramètres!$A$1:$I$89,3,0)*VLOOKUP('Données projet'!$B$12,Paramètres!$A$1:$I$89,5,0)</f>
        <v>219.88511999999983</v>
      </c>
      <c r="CA62" s="13">
        <f t="shared" si="39"/>
        <v>54.089916361227957</v>
      </c>
      <c r="CB62" s="20">
        <f t="shared" si="10"/>
        <v>477.17318832913844</v>
      </c>
      <c r="CC62" s="59">
        <f t="shared" si="11"/>
        <v>770.50652166247176</v>
      </c>
      <c r="CD62" s="59">
        <f ca="1">AVERAGE(OFFSET($CC$3,0,0,'Données projet'!$E$12+1,1))-AVERAGE(OFFSET($H$3,0,0,'Données projet'!$E$12+1,1))</f>
        <v>340.49092994349405</v>
      </c>
      <c r="CE62" s="59">
        <f t="shared" si="40"/>
        <v>331.54434271908832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33.472477403557434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33.472477403557434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9.4</v>
      </c>
      <c r="CT62" s="12">
        <f>IF('Données projet'!$A$140&gt;35,CT61+CS62-DB61,IF(A62&lt;'Données projet'!$A$140,$CQ$205^A62,IF(A62='Données projet'!$A$140,'Données projet'!$B$140,CT61+CS62-DB61)))</f>
        <v>263.59999999999997</v>
      </c>
      <c r="CU62" s="17">
        <f>CT62*VLOOKUP('Données projet'!$B$13,Paramètres!$A$1:$I$89,3,0)*VLOOKUP('Données projet'!$B$13,Paramètres!$A$1:$I$89,5,0)</f>
        <v>238.50527999999997</v>
      </c>
      <c r="CV62" s="13">
        <f t="shared" si="41"/>
        <v>58.117817352909881</v>
      </c>
      <c r="CW62" s="20">
        <f t="shared" si="13"/>
        <v>516.61856122298457</v>
      </c>
      <c r="CX62" s="59">
        <f t="shared" si="14"/>
        <v>809.95189455631794</v>
      </c>
      <c r="CY62" s="59">
        <f ca="1">AVERAGE(OFFSET($CX$3,0,0,'Données projet'!$E$13+1,1))-AVERAGE(OFFSET($H$3,0,0,'Données projet'!$E$13+1,1))</f>
        <v>439.19854273764042</v>
      </c>
      <c r="CZ62" s="59">
        <f t="shared" si="42"/>
        <v>278.21741231699929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46.082232653295982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46.082232653295982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9.4</v>
      </c>
      <c r="DO62" s="12">
        <f>IF('Données projet'!$A$166&gt;35,DO61+DN62-DW61,IF(A62&lt;'Données projet'!$A$166,$DL$205^A62,IF(A62='Données projet'!$A$166,'Données projet'!$B$166,DO61+DN62-DW61)))</f>
        <v>263.59999999999997</v>
      </c>
      <c r="DP62" s="17">
        <f>DO62*VLOOKUP('Données projet'!$B$14,Paramètres!$A$1:$I$89,3,0)*VLOOKUP('Données projet'!$B$14,Paramètres!$A$1:$I$89,5,0)</f>
        <v>222.05663999999999</v>
      </c>
      <c r="DQ62" s="13">
        <f t="shared" si="43"/>
        <v>54.561643903321311</v>
      </c>
      <c r="DR62" s="20">
        <f t="shared" si="16"/>
        <v>481.77684446495124</v>
      </c>
      <c r="DS62" s="59">
        <f t="shared" si="17"/>
        <v>775.11017779828455</v>
      </c>
      <c r="DT62" s="59">
        <f ca="1">AVERAGE(OFFSET($DS$3,0,0,'Données projet'!$E$14+1,1))-AVERAGE(OFFSET($H$3,0,0,'Données projet'!$E$14+1,1))</f>
        <v>411.72284844766</v>
      </c>
      <c r="DU62" s="59">
        <f t="shared" si="44"/>
        <v>261.95434270986397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42.904147642723856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42.904147642723856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10.199999999999999</v>
      </c>
      <c r="EJ62" s="12">
        <f>IF('Données projet'!$A$192&gt;35,EJ61+EI62-ER61,IF(A62&lt;'Données projet'!$A$192,$EG$205^A62,IF(A62='Données projet'!$A$192,'Données projet'!$B$192,EJ61+EI62-ER61)))</f>
        <v>655.79999999999973</v>
      </c>
      <c r="EK62" s="17">
        <f>EJ62*VLOOKUP('Données projet'!$B$15,Paramètres!$A$1:$I$89,3,0)*VLOOKUP('Données projet'!$B$15,Paramètres!$A$1:$I$89,5,0)</f>
        <v>366.59219999999982</v>
      </c>
      <c r="EL62" s="13">
        <f t="shared" si="45"/>
        <v>84.969753481055022</v>
      </c>
      <c r="EM62" s="20">
        <f t="shared" si="19"/>
        <v>786.47040231283711</v>
      </c>
      <c r="EN62" s="59">
        <f t="shared" si="20"/>
        <v>1079.8037356461705</v>
      </c>
      <c r="EO62" s="59">
        <f ca="1">AVERAGE(OFFSET($EN$3,0,0,'Données projet'!$E$15+1,1))-AVERAGE(OFFSET($H$3,0,0,'Données projet'!$E$15+1,1))</f>
        <v>443.34220761968419</v>
      </c>
      <c r="EP62" s="59">
        <f t="shared" si="46"/>
        <v>546.58234447298014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87.621102026581511</v>
      </c>
      <c r="EW62" s="21">
        <f>EXP(-LN(2)/25)*EW61+(1-EXP(-LN(2)/25))/(LN(2)/25)*Calculateur!ER62*Calculateur!ET62*VLOOKUP('Données projet'!$B$15,Paramètres!$A$1:$I$89,3,0)*0.475*44/12</f>
        <v>9.8172185771677984</v>
      </c>
      <c r="EX62" s="21">
        <f>EXP(-LN(2)/2)*EX61+(1-EXP(-LN(2)/2))/(LN(2)/2)*ER62*EU62*VLOOKUP('Données projet'!$B$15,Paramètres!$A$1:$I$89,3,0)*0.475*44/12</f>
        <v>2.6075412088877802E-4</v>
      </c>
      <c r="EY62" s="22">
        <f t="shared" si="21"/>
        <v>97.438581357870191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224.00000000000006</v>
      </c>
      <c r="O63" s="13">
        <f>N63*VLOOKUP('Données projet'!$B$9,Paramètres!$A$1:$I$89,3,0)*VLOOKUP('Données projet'!$B$9,Paramètres!$A$1:$I$89,5,0)</f>
        <v>195.68640000000008</v>
      </c>
      <c r="P63" s="13">
        <f t="shared" si="33"/>
        <v>48.794969360985156</v>
      </c>
      <c r="Q63" s="20">
        <f t="shared" si="53"/>
        <v>425.8050516370493</v>
      </c>
      <c r="R63" s="59">
        <f t="shared" si="0"/>
        <v>719.13838497038262</v>
      </c>
      <c r="S63" s="59">
        <f ca="1">AVERAGE(OFFSET($R$3,0,0,'Données projet'!$E$9+1,1))-AVERAGE(OFFSET($H$3,0,0,'Données projet'!$E$9+1,1))</f>
        <v>304.32767345253382</v>
      </c>
      <c r="T63" s="59">
        <f t="shared" si="34"/>
        <v>427.16091343339173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63.020402468148347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63.020402468148347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343</v>
      </c>
      <c r="AG63" s="12">
        <f>VLOOKUP(A63,'Données projet'!$A$61:$I$81,9,0)</f>
        <v>7.4</v>
      </c>
      <c r="AH63" s="12">
        <f t="array" ref="AH63">INDEX(AG:AG,MIN(IF(ISNUMBER(AG63:AG259),ROW(AG63:AG259),"")))</f>
        <v>7.4</v>
      </c>
      <c r="AI63" s="13">
        <f>IF('Données projet'!$A$62&gt;35,AI62+AH63-AQ62,IF(A63&lt;'Données projet'!$A$62,$AF$205^A63,IF(A63='Données projet'!$A$62,'Données projet'!$B$62,AI62+AH63-AQ62)))</f>
        <v>342.99999999999972</v>
      </c>
      <c r="AJ63" s="13">
        <f>AI63*VLOOKUP('Données projet'!$B$10,Paramètres!$A$1:$I$89,3,0)*VLOOKUP('Données projet'!$B$10,Paramètres!$A$1:$I$89,5,0)</f>
        <v>272.89079999999979</v>
      </c>
      <c r="AK63" s="13">
        <f t="shared" si="35"/>
        <v>65.462389231846373</v>
      </c>
      <c r="AL63" s="20">
        <f t="shared" si="4"/>
        <v>589.29847124546529</v>
      </c>
      <c r="AM63" s="59">
        <f t="shared" si="5"/>
        <v>882.63180457879866</v>
      </c>
      <c r="AN63" s="59">
        <f ca="1">AVERAGE(OFFSET($AM$3,0,0,'Données projet'!$E$10+1,1))-AVERAGE(OFFSET($H$3,0,0,'Données projet'!$E$10+1,1))</f>
        <v>405.40026823646758</v>
      </c>
      <c r="AO63" s="59">
        <f t="shared" si="36"/>
        <v>393.0787141050053</v>
      </c>
      <c r="AP63" s="15">
        <f>IF(ISNA(VLOOKUP(A63,'Données projet'!$A$61:$I$81,3,0)),0,VLOOKUP(A63,'Données projet'!$A$61:$I$81,3,0))</f>
        <v>11</v>
      </c>
      <c r="AQ63" s="15">
        <f>IF(ISNA(VLOOKUP(A63,'Données projet'!$A$61:$I$81,4,0)),0,VLOOKUP(A63,'Données projet'!$A$61:$I$81,4,0))</f>
        <v>17</v>
      </c>
      <c r="AR63" s="16">
        <f>IF(ISNA(VLOOKUP(A63,'Données projet'!$A$61:$I$81,5,0)),0%,VLOOKUP(A63,'Données projet'!$A$61:$I$81,5,0)*VLOOKUP('Données projet'!$B$10,Paramètres!$A$1:$I$89,7,0))</f>
        <v>0.53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57.039535438279415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57.039535438279415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754</v>
      </c>
      <c r="BB63" s="12">
        <f>VLOOKUP(A63,'Données projet'!$A$87:$I$107,9,0)</f>
        <v>12.2</v>
      </c>
      <c r="BC63" s="12">
        <f t="array" ref="BC63">INDEX(BB:BB,MIN(IF(ISNUMBER(BB63:BB259),ROW(BB63:BB259),"")))</f>
        <v>12.2</v>
      </c>
      <c r="BD63" s="12">
        <f>IF('Données projet'!$A$88&gt;35,BD62+BC63-BL62,IF(A63&lt;'Données projet'!$A$88,$BA$205^A63,IF(A63='Données projet'!$A$88,'Données projet'!$B$88,BD62+BC63-BL62)))</f>
        <v>753.99999999999966</v>
      </c>
      <c r="BE63" s="13">
        <f>BD63*VLOOKUP('Données projet'!$B$11,Paramètres!$A$1:$I$89,3,0)*VLOOKUP('Données projet'!$B$11,Paramètres!$A$1:$I$89,5,0)</f>
        <v>421.48599999999982</v>
      </c>
      <c r="BF63" s="13">
        <f t="shared" si="37"/>
        <v>96.119269055816147</v>
      </c>
      <c r="BG63" s="20">
        <f t="shared" si="7"/>
        <v>901.49584360554616</v>
      </c>
      <c r="BH63" s="59">
        <f t="shared" si="8"/>
        <v>1194.8291769388795</v>
      </c>
      <c r="BI63" s="59">
        <f ca="1">AVERAGE(OFFSET($BH$3,0,0,'Données projet'!$E$11+1,1))-AVERAGE(OFFSET($H$3,0,0,'Données projet'!$E$11+1,1))</f>
        <v>555.15881087162279</v>
      </c>
      <c r="BJ63" s="59">
        <f t="shared" si="38"/>
        <v>668.20427590250733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35</v>
      </c>
      <c r="BM63" s="16">
        <f>IF(ISNA(VLOOKUP(A63,'Données projet'!$A$87:$I$107,5,0)),0%,VLOOKUP(A63,'Données projet'!$A$87:$I$107,5,0)*VLOOKUP('Données projet'!$B$11,Paramètres!$A$1:$I$89,7,0))</f>
        <v>0.55000000000000004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110.43722951808651</v>
      </c>
      <c r="BQ63" s="21">
        <f>EXP(-LN(2)/25)*BQ62+(1-EXP(-LN(2)/25))/(LN(2)/25)*Calculateur!BL63*Calculateur!BN63*VLOOKUP('Données projet'!$B$11,Paramètres!$A$1:$I$89,3,0)*0.475*44/12</f>
        <v>25.150925710022467</v>
      </c>
      <c r="BR63" s="21">
        <f>EXP(-LN(2)/2)*BR62+(1-EXP(-LN(2)/2))/(LN(2)/2)*BL63*BO63*VLOOKUP('Données projet'!$B$11,Paramètres!$A$1:$I$89,3,0)*0.475*44/12</f>
        <v>2.5954692588466344E-5</v>
      </c>
      <c r="BS63" s="22">
        <f t="shared" si="9"/>
        <v>135.58818118280155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343</v>
      </c>
      <c r="BW63" s="12">
        <f>VLOOKUP(A63,'Données projet'!$A$113:$I$133,9,0)</f>
        <v>7.4</v>
      </c>
      <c r="BX63" s="12">
        <f t="array" ref="BX63">INDEX(BW:BW,MIN(IF(ISNUMBER(BW63:BW259),ROW(BW63:BW259),"")))</f>
        <v>7.4</v>
      </c>
      <c r="BY63" s="12">
        <f>IF('Données projet'!$A$114&gt;35,BY62+BX63-CG62,IF(A63&lt;'Données projet'!$A$114,$BV$205^A63,IF(A63='Données projet'!$A$114,'Données projet'!$B$114,BY62+BX63-CG62)))</f>
        <v>342.99999999999972</v>
      </c>
      <c r="BZ63" s="13">
        <f>BY63*VLOOKUP('Données projet'!$B$12,Paramètres!$A$1:$I$89,3,0)*VLOOKUP('Données projet'!$B$12,Paramètres!$A$1:$I$89,5,0)</f>
        <v>224.73359999999983</v>
      </c>
      <c r="CA63" s="13">
        <f t="shared" si="39"/>
        <v>55.142432144655537</v>
      </c>
      <c r="CB63" s="20">
        <f t="shared" si="10"/>
        <v>487.45075598527472</v>
      </c>
      <c r="CC63" s="59">
        <f t="shared" si="11"/>
        <v>780.78408931860804</v>
      </c>
      <c r="CD63" s="59">
        <f ca="1">AVERAGE(OFFSET($CC$3,0,0,'Données projet'!$E$12+1,1))-AVERAGE(OFFSET($H$3,0,0,'Données projet'!$E$12+1,1))</f>
        <v>340.49092994349405</v>
      </c>
      <c r="CE63" s="59">
        <f t="shared" si="40"/>
        <v>331.54434271908832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17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38.110766186286575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38.110766186286575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273</v>
      </c>
      <c r="CR63" s="12">
        <f>VLOOKUP(A63,'Données projet'!$A$139:$I$159,9,0)</f>
        <v>9.4</v>
      </c>
      <c r="CS63" s="12">
        <f t="array" ref="CS63">INDEX(CR:CR,MIN(IF(ISNUMBER(CR63:CR259),ROW(CR63:CR259),"")))</f>
        <v>9.4</v>
      </c>
      <c r="CT63" s="12">
        <f>IF('Données projet'!$A$140&gt;35,CT62+CS63-DB62,IF(A63&lt;'Données projet'!$A$140,$CQ$205^A63,IF(A63='Données projet'!$A$140,'Données projet'!$B$140,CT62+CS63-DB62)))</f>
        <v>272.99999999999994</v>
      </c>
      <c r="CU63" s="17">
        <f>CT63*VLOOKUP('Données projet'!$B$13,Paramètres!$A$1:$I$89,3,0)*VLOOKUP('Données projet'!$B$13,Paramètres!$A$1:$I$89,5,0)</f>
        <v>247.01039999999992</v>
      </c>
      <c r="CV63" s="13">
        <f t="shared" si="41"/>
        <v>59.945315462121812</v>
      </c>
      <c r="CW63" s="20">
        <f t="shared" si="13"/>
        <v>534.61453776319524</v>
      </c>
      <c r="CX63" s="59">
        <f t="shared" si="14"/>
        <v>827.94787109652862</v>
      </c>
      <c r="CY63" s="59">
        <f ca="1">AVERAGE(OFFSET($CX$3,0,0,'Données projet'!$E$13+1,1))-AVERAGE(OFFSET($H$3,0,0,'Données projet'!$E$13+1,1))</f>
        <v>439.19854273764042</v>
      </c>
      <c r="CZ63" s="59">
        <f t="shared" si="42"/>
        <v>278.21741231699929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28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57.221352555144406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57.221352555144406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273</v>
      </c>
      <c r="DM63" s="12">
        <f>VLOOKUP(A63,'Données projet'!$A$165:$I$185,9,0)</f>
        <v>9.4</v>
      </c>
      <c r="DN63" s="12">
        <f t="array" ref="DN63">INDEX(DM:DM,MIN(IF(ISNUMBER(DM63:DM259),ROW(DM63:DM259),"")))</f>
        <v>9.4</v>
      </c>
      <c r="DO63" s="12">
        <f>IF('Données projet'!$A$166&gt;35,DO62+DN63-DW62,IF(A63&lt;'Données projet'!$A$166,$DL$205^A63,IF(A63='Données projet'!$A$166,'Données projet'!$B$166,DO62+DN63-DW62)))</f>
        <v>272.99999999999994</v>
      </c>
      <c r="DP63" s="17">
        <f>DO63*VLOOKUP('Données projet'!$B$14,Paramètres!$A$1:$I$89,3,0)*VLOOKUP('Données projet'!$B$14,Paramètres!$A$1:$I$89,5,0)</f>
        <v>229.9752</v>
      </c>
      <c r="DQ63" s="13">
        <f t="shared" si="43"/>
        <v>56.277319157664316</v>
      </c>
      <c r="DR63" s="20">
        <f t="shared" si="16"/>
        <v>498.55647086626527</v>
      </c>
      <c r="DS63" s="59">
        <f t="shared" si="17"/>
        <v>791.88980419959853</v>
      </c>
      <c r="DT63" s="59">
        <f ca="1">AVERAGE(OFFSET($DS$3,0,0,'Données projet'!$E$14+1,1))-AVERAGE(OFFSET($H$3,0,0,'Données projet'!$E$14+1,1))</f>
        <v>411.72284844766</v>
      </c>
      <c r="DU63" s="59">
        <f t="shared" si="44"/>
        <v>261.95434270986397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28</v>
      </c>
      <c r="DX63" s="16">
        <f>IF(ISNA(VLOOKUP(A63,'Données projet'!$A$165:$I$185,5,0)),0%,VLOOKUP(A63,'Données projet'!$A$165:$I$185,5,0)*VLOOKUP('Données projet'!$B$14,Paramètres!$A$1:$I$89,7,0))</f>
        <v>0.43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53.275052378927562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53.275052378927562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666</v>
      </c>
      <c r="EH63" s="12">
        <f>VLOOKUP(A63,'Données projet'!$A$191:$I$211,9,0)</f>
        <v>10.199999999999999</v>
      </c>
      <c r="EI63" s="12">
        <f t="array" ref="EI63">INDEX(EH:EH,MIN(IF(ISNUMBER(EH63:EH259),ROW(EH63:EH259),"")))</f>
        <v>10.199999999999999</v>
      </c>
      <c r="EJ63" s="12">
        <f>IF('Données projet'!$A$192&gt;35,EJ62+EI63-ER62,IF(A63&lt;'Données projet'!$A$192,$EG$205^A63,IF(A63='Données projet'!$A$192,'Données projet'!$B$192,EJ62+EI63-ER62)))</f>
        <v>665.99999999999977</v>
      </c>
      <c r="EK63" s="17">
        <f>EJ63*VLOOKUP('Données projet'!$B$15,Paramètres!$A$1:$I$89,3,0)*VLOOKUP('Données projet'!$B$15,Paramètres!$A$1:$I$89,5,0)</f>
        <v>372.29399999999987</v>
      </c>
      <c r="EL63" s="13">
        <f t="shared" si="45"/>
        <v>86.136449661008839</v>
      </c>
      <c r="EM63" s="20">
        <f t="shared" si="19"/>
        <v>798.43303315959008</v>
      </c>
      <c r="EN63" s="59">
        <f t="shared" si="20"/>
        <v>1091.7663664929235</v>
      </c>
      <c r="EO63" s="59">
        <f ca="1">AVERAGE(OFFSET($EN$3,0,0,'Données projet'!$E$15+1,1))-AVERAGE(OFFSET($H$3,0,0,'Données projet'!$E$15+1,1))</f>
        <v>443.34220761968419</v>
      </c>
      <c r="EP63" s="59">
        <f t="shared" si="46"/>
        <v>546.58234447298014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29</v>
      </c>
      <c r="ES63" s="16">
        <f>IF(ISNA(VLOOKUP(A63,'Données projet'!$A$191:$I$211,5,0)),0%,VLOOKUP(A63,'Données projet'!$A$191:$I$211,5,0)*VLOOKUP('Données projet'!$B$15,Paramètres!$A$1:$I$89,7,0))</f>
        <v>0.55000000000000004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97.730620672357077</v>
      </c>
      <c r="EW63" s="21">
        <f>EXP(-LN(2)/25)*EW62+(1-EXP(-LN(2)/25))/(LN(2)/25)*Calculateur!ER63*Calculateur!ET63*VLOOKUP('Données projet'!$B$15,Paramètres!$A$1:$I$89,3,0)*0.475*44/12</f>
        <v>9.5487662189100568</v>
      </c>
      <c r="EX63" s="21">
        <f>EXP(-LN(2)/2)*EX62+(1-EXP(-LN(2)/2))/(LN(2)/2)*ER63*EU63*VLOOKUP('Données projet'!$B$15,Paramètres!$A$1:$I$89,3,0)*0.475*44/12</f>
        <v>1.8438100710279173E-4</v>
      </c>
      <c r="EY63" s="22">
        <f t="shared" si="21"/>
        <v>107.27957127227424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224.00000000000006</v>
      </c>
      <c r="O64" s="13">
        <f>N64*VLOOKUP('Données projet'!$B$9,Paramètres!$A$1:$I$89,3,0)*VLOOKUP('Données projet'!$B$9,Paramètres!$A$1:$I$89,5,0)</f>
        <v>195.68640000000008</v>
      </c>
      <c r="P64" s="13">
        <f t="shared" si="33"/>
        <v>48.794969360985156</v>
      </c>
      <c r="Q64" s="20">
        <f t="shared" si="53"/>
        <v>425.8050516370493</v>
      </c>
      <c r="R64" s="59">
        <f t="shared" si="0"/>
        <v>719.13838497038262</v>
      </c>
      <c r="S64" s="59">
        <f ca="1">AVERAGE(OFFSET($R$3,0,0,'Données projet'!$E$9+1,1))-AVERAGE(OFFSET($H$3,0,0,'Données projet'!$E$9+1,1))</f>
        <v>304.32767345253382</v>
      </c>
      <c r="T64" s="59">
        <f t="shared" si="34"/>
        <v>427.16091343339173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61.784610814397965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61.784610814397965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</v>
      </c>
      <c r="AI64" s="13">
        <f>IF('Données projet'!$A$62&gt;35,AI63+AH64-AQ63,IF(A64&lt;'Données projet'!$A$62,$AF$205^A64,IF(A64='Données projet'!$A$62,'Données projet'!$B$62,AI63+AH64-AQ63)))</f>
        <v>331.99999999999972</v>
      </c>
      <c r="AJ64" s="13">
        <f>AI64*VLOOKUP('Données projet'!$B$10,Paramètres!$A$1:$I$89,3,0)*VLOOKUP('Données projet'!$B$10,Paramètres!$A$1:$I$89,5,0)</f>
        <v>264.13919999999979</v>
      </c>
      <c r="AK64" s="13">
        <f t="shared" si="35"/>
        <v>63.60387543087441</v>
      </c>
      <c r="AL64" s="20">
        <f t="shared" si="4"/>
        <v>570.81918970877257</v>
      </c>
      <c r="AM64" s="59">
        <f t="shared" si="5"/>
        <v>864.15252304210594</v>
      </c>
      <c r="AN64" s="59">
        <f ca="1">AVERAGE(OFFSET($AM$3,0,0,'Données projet'!$E$10+1,1))-AVERAGE(OFFSET($H$3,0,0,'Données projet'!$E$10+1,1))</f>
        <v>405.40026823646758</v>
      </c>
      <c r="AO64" s="59">
        <f t="shared" si="36"/>
        <v>393.0787141050053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55.921024939016078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55.921024939016078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</v>
      </c>
      <c r="BD64" s="12">
        <f>IF('Données projet'!$A$88&gt;35,BD63+BC64-BL63,IF(A64&lt;'Données projet'!$A$88,$BA$205^A64,IF(A64='Données projet'!$A$88,'Données projet'!$B$88,BD63+BC64-BL63)))</f>
        <v>728.99999999999966</v>
      </c>
      <c r="BE64" s="13">
        <f>BD64*VLOOKUP('Données projet'!$B$11,Paramètres!$A$1:$I$89,3,0)*VLOOKUP('Données projet'!$B$11,Paramètres!$A$1:$I$89,5,0)</f>
        <v>407.51099999999985</v>
      </c>
      <c r="BF64" s="13">
        <f t="shared" si="37"/>
        <v>93.297752590617137</v>
      </c>
      <c r="BG64" s="20">
        <f t="shared" si="7"/>
        <v>872.24191076199133</v>
      </c>
      <c r="BH64" s="59">
        <f t="shared" si="8"/>
        <v>1165.5752440953247</v>
      </c>
      <c r="BI64" s="59">
        <f ca="1">AVERAGE(OFFSET($BH$3,0,0,'Données projet'!$E$11+1,1))-AVERAGE(OFFSET($H$3,0,0,'Données projet'!$E$11+1,1))</f>
        <v>555.15881087162279</v>
      </c>
      <c r="BJ64" s="59">
        <f t="shared" si="38"/>
        <v>668.20427590250733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108.27162280729559</v>
      </c>
      <c r="BQ64" s="21">
        <f>EXP(-LN(2)/25)*BQ63+(1-EXP(-LN(2)/25))/(LN(2)/25)*Calculateur!BL64*Calculateur!BN64*VLOOKUP('Données projet'!$B$11,Paramètres!$A$1:$I$89,3,0)*0.475*44/12</f>
        <v>24.463172323852202</v>
      </c>
      <c r="BR64" s="21">
        <f>EXP(-LN(2)/2)*BR63+(1-EXP(-LN(2)/2))/(LN(2)/2)*BL64*BO64*VLOOKUP('Données projet'!$B$11,Paramètres!$A$1:$I$89,3,0)*0.475*44/12</f>
        <v>1.8352739132916777E-5</v>
      </c>
      <c r="BS64" s="22">
        <f t="shared" si="9"/>
        <v>132.73481348388694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</v>
      </c>
      <c r="BY64" s="12">
        <f>IF('Données projet'!$A$114&gt;35,BY63+BX64-CG63,IF(A64&lt;'Données projet'!$A$114,$BV$205^A64,IF(A64='Données projet'!$A$114,'Données projet'!$B$114,BY63+BX64-CG63)))</f>
        <v>331.99999999999972</v>
      </c>
      <c r="BZ64" s="13">
        <f>BY64*VLOOKUP('Données projet'!$B$12,Paramètres!$A$1:$I$89,3,0)*VLOOKUP('Données projet'!$B$12,Paramètres!$A$1:$I$89,5,0)</f>
        <v>217.52639999999982</v>
      </c>
      <c r="CA64" s="13">
        <f t="shared" si="39"/>
        <v>53.576907690651204</v>
      </c>
      <c r="CB64" s="20">
        <f t="shared" si="10"/>
        <v>472.17159422788382</v>
      </c>
      <c r="CC64" s="59">
        <f t="shared" si="11"/>
        <v>765.50492756121707</v>
      </c>
      <c r="CD64" s="59">
        <f ca="1">AVERAGE(OFFSET($CC$3,0,0,'Données projet'!$E$12+1,1))-AVERAGE(OFFSET($H$3,0,0,'Données projet'!$E$12+1,1))</f>
        <v>340.49092994349405</v>
      </c>
      <c r="CE64" s="59">
        <f t="shared" si="40"/>
        <v>331.54434271908832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37.363437306645586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37.363437306645586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8.8000000000000007</v>
      </c>
      <c r="CT64" s="12">
        <f>IF('Données projet'!$A$140&gt;35,CT63+CS64-DB63,IF(A64&lt;'Données projet'!$A$140,$CQ$205^A64,IF(A64='Données projet'!$A$140,'Données projet'!$B$140,CT63+CS64-DB63)))</f>
        <v>253.79999999999995</v>
      </c>
      <c r="CU64" s="17">
        <f>CT64*VLOOKUP('Données projet'!$B$13,Paramètres!$A$1:$I$89,3,0)*VLOOKUP('Données projet'!$B$13,Paramètres!$A$1:$I$89,5,0)</f>
        <v>229.63823999999994</v>
      </c>
      <c r="CV64" s="13">
        <f t="shared" si="41"/>
        <v>56.204453396569633</v>
      </c>
      <c r="CW64" s="20">
        <f t="shared" si="13"/>
        <v>497.84269099902531</v>
      </c>
      <c r="CX64" s="59">
        <f t="shared" si="14"/>
        <v>791.17602433235857</v>
      </c>
      <c r="CY64" s="59">
        <f ca="1">AVERAGE(OFFSET($CX$3,0,0,'Données projet'!$E$13+1,1))-AVERAGE(OFFSET($H$3,0,0,'Données projet'!$E$13+1,1))</f>
        <v>439.19854273764042</v>
      </c>
      <c r="CZ64" s="59">
        <f t="shared" si="42"/>
        <v>278.21741231699929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56.099276733116838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56.099276733116838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8.8000000000000007</v>
      </c>
      <c r="DO64" s="12">
        <f>IF('Données projet'!$A$166&gt;35,DO63+DN64-DW63,IF(A64&lt;'Données projet'!$A$166,$DL$205^A64,IF(A64='Données projet'!$A$166,'Données projet'!$B$166,DO63+DN64-DW63)))</f>
        <v>253.79999999999995</v>
      </c>
      <c r="DP64" s="17">
        <f>DO64*VLOOKUP('Données projet'!$B$14,Paramètres!$A$1:$I$89,3,0)*VLOOKUP('Données projet'!$B$14,Paramètres!$A$1:$I$89,5,0)</f>
        <v>213.80112</v>
      </c>
      <c r="DQ64" s="13">
        <f t="shared" si="43"/>
        <v>52.765356850602878</v>
      </c>
      <c r="DR64" s="20">
        <f t="shared" si="16"/>
        <v>464.2699471814667</v>
      </c>
      <c r="DS64" s="59">
        <f t="shared" si="17"/>
        <v>757.60328051479996</v>
      </c>
      <c r="DT64" s="59">
        <f ca="1">AVERAGE(OFFSET($DS$3,0,0,'Données projet'!$E$14+1,1))-AVERAGE(OFFSET($H$3,0,0,'Données projet'!$E$14+1,1))</f>
        <v>411.72284844766</v>
      </c>
      <c r="DU64" s="59">
        <f t="shared" si="44"/>
        <v>261.95434270986397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52.230361096350173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52.230361096350173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636.99999999999977</v>
      </c>
      <c r="EK64" s="17">
        <f>EJ64*VLOOKUP('Données projet'!$B$15,Paramètres!$A$1:$I$89,3,0)*VLOOKUP('Données projet'!$B$15,Paramètres!$A$1:$I$89,5,0)</f>
        <v>356.08299999999991</v>
      </c>
      <c r="EL64" s="13">
        <f t="shared" si="45"/>
        <v>82.813805255716545</v>
      </c>
      <c r="EM64" s="20">
        <f t="shared" si="19"/>
        <v>764.41193582037283</v>
      </c>
      <c r="EN64" s="59">
        <f t="shared" si="20"/>
        <v>1057.7452691537062</v>
      </c>
      <c r="EO64" s="59">
        <f ca="1">AVERAGE(OFFSET($EN$3,0,0,'Données projet'!$E$15+1,1))-AVERAGE(OFFSET($H$3,0,0,'Données projet'!$E$15+1,1))</f>
        <v>443.34220761968419</v>
      </c>
      <c r="EP64" s="59">
        <f t="shared" si="46"/>
        <v>546.58234447298014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95.814182810764791</v>
      </c>
      <c r="EW64" s="21">
        <f>EXP(-LN(2)/25)*EW63+(1-EXP(-LN(2)/25))/(LN(2)/25)*Calculateur!ER64*Calculateur!ET64*VLOOKUP('Données projet'!$B$15,Paramètres!$A$1:$I$89,3,0)*0.475*44/12</f>
        <v>9.2876547045061706</v>
      </c>
      <c r="EX64" s="21">
        <f>EXP(-LN(2)/2)*EX63+(1-EXP(-LN(2)/2))/(LN(2)/2)*ER64*EU64*VLOOKUP('Données projet'!$B$15,Paramètres!$A$1:$I$89,3,0)*0.475*44/12</f>
        <v>1.3037706044438901E-4</v>
      </c>
      <c r="EY64" s="22">
        <f t="shared" si="21"/>
        <v>105.1019678923314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224.00000000000006</v>
      </c>
      <c r="O65" s="13">
        <f>N65*VLOOKUP('Données projet'!$B$9,Paramètres!$A$1:$I$89,3,0)*VLOOKUP('Données projet'!$B$9,Paramètres!$A$1:$I$89,5,0)</f>
        <v>195.68640000000008</v>
      </c>
      <c r="P65" s="13">
        <f t="shared" si="33"/>
        <v>48.794969360985156</v>
      </c>
      <c r="Q65" s="20">
        <f t="shared" si="53"/>
        <v>425.8050516370493</v>
      </c>
      <c r="R65" s="59">
        <f t="shared" si="0"/>
        <v>719.13838497038262</v>
      </c>
      <c r="S65" s="59">
        <f ca="1">AVERAGE(OFFSET($R$3,0,0,'Données projet'!$E$9+1,1))-AVERAGE(OFFSET($H$3,0,0,'Données projet'!$E$9+1,1))</f>
        <v>304.32767345253382</v>
      </c>
      <c r="T65" s="59">
        <f t="shared" si="34"/>
        <v>427.16091343339173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60.573052281219141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60.573052281219141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</v>
      </c>
      <c r="AI65" s="13">
        <f>IF('Données projet'!$A$62&gt;35,AI64+AH65-AQ64,IF(A65&lt;'Données projet'!$A$62,$AF$205^A65,IF(A65='Données projet'!$A$62,'Données projet'!$B$62,AI64+AH65-AQ64)))</f>
        <v>337.99999999999972</v>
      </c>
      <c r="AJ65" s="13">
        <f>AI65*VLOOKUP('Données projet'!$B$10,Paramètres!$A$1:$I$89,3,0)*VLOOKUP('Données projet'!$B$10,Paramètres!$A$1:$I$89,5,0)</f>
        <v>268.91279999999978</v>
      </c>
      <c r="AK65" s="13">
        <f t="shared" si="35"/>
        <v>64.618483855217065</v>
      </c>
      <c r="AL65" s="20">
        <f t="shared" si="4"/>
        <v>580.90031938116931</v>
      </c>
      <c r="AM65" s="59">
        <f t="shared" si="5"/>
        <v>874.23365271450257</v>
      </c>
      <c r="AN65" s="59">
        <f ca="1">AVERAGE(OFFSET($AM$3,0,0,'Données projet'!$E$10+1,1))-AVERAGE(OFFSET($H$3,0,0,'Données projet'!$E$10+1,1))</f>
        <v>405.40026823646758</v>
      </c>
      <c r="AO65" s="59">
        <f t="shared" si="36"/>
        <v>393.0787141050053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54.824447748419253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54.824447748419253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</v>
      </c>
      <c r="BD65" s="12">
        <f>IF('Données projet'!$A$88&gt;35,BD64+BC65-BL64,IF(A65&lt;'Données projet'!$A$88,$BA$205^A65,IF(A65='Données projet'!$A$88,'Données projet'!$B$88,BD64+BC65-BL64)))</f>
        <v>738.99999999999966</v>
      </c>
      <c r="BE65" s="13">
        <f>BD65*VLOOKUP('Données projet'!$B$11,Paramètres!$A$1:$I$89,3,0)*VLOOKUP('Données projet'!$B$11,Paramètres!$A$1:$I$89,5,0)</f>
        <v>413.10099999999983</v>
      </c>
      <c r="BF65" s="13">
        <f t="shared" si="37"/>
        <v>94.427689670462357</v>
      </c>
      <c r="BG65" s="20">
        <f t="shared" si="7"/>
        <v>883.94580117605494</v>
      </c>
      <c r="BH65" s="59">
        <f t="shared" si="8"/>
        <v>1177.2791345093883</v>
      </c>
      <c r="BI65" s="59">
        <f ca="1">AVERAGE(OFFSET($BH$3,0,0,'Données projet'!$E$11+1,1))-AVERAGE(OFFSET($H$3,0,0,'Données projet'!$E$11+1,1))</f>
        <v>555.15881087162279</v>
      </c>
      <c r="BJ65" s="59">
        <f t="shared" si="38"/>
        <v>668.20427590250733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106.1484823232136</v>
      </c>
      <c r="BQ65" s="21">
        <f>EXP(-LN(2)/25)*BQ64+(1-EXP(-LN(2)/25))/(LN(2)/25)*Calculateur!BL65*Calculateur!BN65*VLOOKUP('Données projet'!$B$11,Paramètres!$A$1:$I$89,3,0)*0.475*44/12</f>
        <v>23.794225590194142</v>
      </c>
      <c r="BR65" s="21">
        <f>EXP(-LN(2)/2)*BR64+(1-EXP(-LN(2)/2))/(LN(2)/2)*BL65*BO65*VLOOKUP('Données projet'!$B$11,Paramètres!$A$1:$I$89,3,0)*0.475*44/12</f>
        <v>1.2977346294233172E-5</v>
      </c>
      <c r="BS65" s="22">
        <f t="shared" si="9"/>
        <v>129.94272089075403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</v>
      </c>
      <c r="BY65" s="12">
        <f>IF('Données projet'!$A$114&gt;35,BY64+BX65-CG64,IF(A65&lt;'Données projet'!$A$114,$BV$205^A65,IF(A65='Données projet'!$A$114,'Données projet'!$B$114,BY64+BX65-CG64)))</f>
        <v>337.99999999999972</v>
      </c>
      <c r="BZ65" s="13">
        <f>BY65*VLOOKUP('Données projet'!$B$12,Paramètres!$A$1:$I$89,3,0)*VLOOKUP('Données projet'!$B$12,Paramètres!$A$1:$I$89,5,0)</f>
        <v>221.45759999999979</v>
      </c>
      <c r="CA65" s="13">
        <f t="shared" si="39"/>
        <v>54.431566019643213</v>
      </c>
      <c r="CB65" s="20">
        <f t="shared" si="10"/>
        <v>480.5069641508781</v>
      </c>
      <c r="CC65" s="59">
        <f t="shared" si="11"/>
        <v>773.84029748421142</v>
      </c>
      <c r="CD65" s="59">
        <f ca="1">AVERAGE(OFFSET($CC$3,0,0,'Données projet'!$E$12+1,1))-AVERAGE(OFFSET($H$3,0,0,'Données projet'!$E$12+1,1))</f>
        <v>340.49092994349405</v>
      </c>
      <c r="CE65" s="59">
        <f t="shared" si="40"/>
        <v>331.54434271908832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36.630763090508751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36.630763090508751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8.8000000000000007</v>
      </c>
      <c r="CT65" s="12">
        <f>IF('Données projet'!$A$140&gt;35,CT64+CS65-DB64,IF(A65&lt;'Données projet'!$A$140,$CQ$205^A65,IF(A65='Données projet'!$A$140,'Données projet'!$B$140,CT64+CS65-DB64)))</f>
        <v>262.59999999999997</v>
      </c>
      <c r="CU65" s="17">
        <f>CT65*VLOOKUP('Données projet'!$B$13,Paramètres!$A$1:$I$89,3,0)*VLOOKUP('Données projet'!$B$13,Paramètres!$A$1:$I$89,5,0)</f>
        <v>237.60047999999995</v>
      </c>
      <c r="CV65" s="13">
        <f t="shared" si="41"/>
        <v>57.922960533442058</v>
      </c>
      <c r="CW65" s="20">
        <f t="shared" si="13"/>
        <v>514.70332559574479</v>
      </c>
      <c r="CX65" s="59">
        <f t="shared" si="14"/>
        <v>808.03665892907816</v>
      </c>
      <c r="CY65" s="59">
        <f ca="1">AVERAGE(OFFSET($CX$3,0,0,'Données projet'!$E$13+1,1))-AVERAGE(OFFSET($H$3,0,0,'Données projet'!$E$13+1,1))</f>
        <v>439.19854273764042</v>
      </c>
      <c r="CZ65" s="59">
        <f t="shared" si="42"/>
        <v>278.21741231699929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54.999204133560561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54.999204133560561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8.8000000000000007</v>
      </c>
      <c r="DO65" s="12">
        <f>IF('Données projet'!$A$166&gt;35,DO64+DN65-DW64,IF(A65&lt;'Données projet'!$A$166,$DL$205^A65,IF(A65='Données projet'!$A$166,'Données projet'!$B$166,DO64+DN65-DW64)))</f>
        <v>262.59999999999997</v>
      </c>
      <c r="DP65" s="17">
        <f>DO65*VLOOKUP('Données projet'!$B$14,Paramètres!$A$1:$I$89,3,0)*VLOOKUP('Données projet'!$B$14,Paramètres!$A$1:$I$89,5,0)</f>
        <v>221.21424000000002</v>
      </c>
      <c r="DQ65" s="13">
        <f t="shared" si="43"/>
        <v>54.378710185570377</v>
      </c>
      <c r="DR65" s="20">
        <f t="shared" si="16"/>
        <v>479.99105490653511</v>
      </c>
      <c r="DS65" s="59">
        <f t="shared" si="17"/>
        <v>773.32438823986843</v>
      </c>
      <c r="DT65" s="59">
        <f ca="1">AVERAGE(OFFSET($DS$3,0,0,'Données projet'!$E$14+1,1))-AVERAGE(OFFSET($H$3,0,0,'Données projet'!$E$14+1,1))</f>
        <v>411.72284844766</v>
      </c>
      <c r="DU65" s="59">
        <f t="shared" si="44"/>
        <v>261.95434270986397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51.206155572625363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51.206155572625363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636.99999999999977</v>
      </c>
      <c r="EK65" s="17">
        <f>EJ65*VLOOKUP('Données projet'!$B$15,Paramètres!$A$1:$I$89,3,0)*VLOOKUP('Données projet'!$B$15,Paramètres!$A$1:$I$89,5,0)</f>
        <v>356.08299999999991</v>
      </c>
      <c r="EL65" s="13">
        <f t="shared" si="45"/>
        <v>82.813805255716545</v>
      </c>
      <c r="EM65" s="20">
        <f t="shared" si="19"/>
        <v>764.41193582037283</v>
      </c>
      <c r="EN65" s="59">
        <f t="shared" si="20"/>
        <v>1057.7452691537062</v>
      </c>
      <c r="EO65" s="59">
        <f ca="1">AVERAGE(OFFSET($EN$3,0,0,'Données projet'!$E$15+1,1))-AVERAGE(OFFSET($H$3,0,0,'Données projet'!$E$15+1,1))</f>
        <v>443.34220761968419</v>
      </c>
      <c r="EP65" s="59">
        <f t="shared" si="46"/>
        <v>546.58234447298014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93.935325126726653</v>
      </c>
      <c r="EW65" s="21">
        <f>EXP(-LN(2)/25)*EW64+(1-EXP(-LN(2)/25))/(LN(2)/25)*Calculateur!ER65*Calculateur!ET65*VLOOKUP('Données projet'!$B$15,Paramètres!$A$1:$I$89,3,0)*0.475*44/12</f>
        <v>9.0336832981949158</v>
      </c>
      <c r="EX65" s="21">
        <f>EXP(-LN(2)/2)*EX64+(1-EXP(-LN(2)/2))/(LN(2)/2)*ER65*EU65*VLOOKUP('Données projet'!$B$15,Paramètres!$A$1:$I$89,3,0)*0.475*44/12</f>
        <v>9.2190503551395863E-5</v>
      </c>
      <c r="EY65" s="22">
        <f t="shared" si="21"/>
        <v>102.96910061542512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224.00000000000006</v>
      </c>
      <c r="O66" s="13">
        <f>N66*VLOOKUP('Données projet'!$B$9,Paramètres!$A$1:$I$89,3,0)*VLOOKUP('Données projet'!$B$9,Paramètres!$A$1:$I$89,5,0)</f>
        <v>195.68640000000008</v>
      </c>
      <c r="P66" s="13">
        <f t="shared" si="33"/>
        <v>48.794969360985156</v>
      </c>
      <c r="Q66" s="20">
        <f t="shared" si="53"/>
        <v>425.8050516370493</v>
      </c>
      <c r="R66" s="59">
        <f t="shared" si="0"/>
        <v>719.13838497038262</v>
      </c>
      <c r="S66" s="59">
        <f ca="1">AVERAGE(OFFSET($R$3,0,0,'Données projet'!$E$9+1,1))-AVERAGE(OFFSET($H$3,0,0,'Données projet'!$E$9+1,1))</f>
        <v>304.32767345253382</v>
      </c>
      <c r="T66" s="59">
        <f t="shared" si="34"/>
        <v>427.16091343339173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59.385251671898217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59.385251671898217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</v>
      </c>
      <c r="AI66" s="13">
        <f>IF('Données projet'!$A$62&gt;35,AI65+AH66-AQ65,IF(A66&lt;'Données projet'!$A$62,$AF$205^A66,IF(A66='Données projet'!$A$62,'Données projet'!$B$62,AI65+AH66-AQ65)))</f>
        <v>343.99999999999972</v>
      </c>
      <c r="AJ66" s="13">
        <f>AI66*VLOOKUP('Données projet'!$B$10,Paramètres!$A$1:$I$89,3,0)*VLOOKUP('Données projet'!$B$10,Paramètres!$A$1:$I$89,5,0)</f>
        <v>273.68639999999976</v>
      </c>
      <c r="AK66" s="13">
        <f t="shared" si="35"/>
        <v>65.630997870536959</v>
      </c>
      <c r="AL66" s="20">
        <f t="shared" si="4"/>
        <v>590.97780129118485</v>
      </c>
      <c r="AM66" s="59">
        <f t="shared" si="5"/>
        <v>884.31113462451822</v>
      </c>
      <c r="AN66" s="59">
        <f ca="1">AVERAGE(OFFSET($AM$3,0,0,'Données projet'!$E$10+1,1))-AVERAGE(OFFSET($H$3,0,0,'Données projet'!$E$10+1,1))</f>
        <v>405.40026823646758</v>
      </c>
      <c r="AO66" s="59">
        <f t="shared" si="36"/>
        <v>393.0787141050053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53.749373767683991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53.749373767683991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</v>
      </c>
      <c r="BD66" s="12">
        <f>IF('Données projet'!$A$88&gt;35,BD65+BC66-BL65,IF(A66&lt;'Données projet'!$A$88,$BA$205^A66,IF(A66='Données projet'!$A$88,'Données projet'!$B$88,BD65+BC66-BL65)))</f>
        <v>748.99999999999966</v>
      </c>
      <c r="BE66" s="13">
        <f>BD66*VLOOKUP('Données projet'!$B$11,Paramètres!$A$1:$I$89,3,0)*VLOOKUP('Données projet'!$B$11,Paramètres!$A$1:$I$89,5,0)</f>
        <v>418.6909999999998</v>
      </c>
      <c r="BF66" s="13">
        <f t="shared" si="37"/>
        <v>95.555848328260851</v>
      </c>
      <c r="BG66" s="20">
        <f t="shared" si="7"/>
        <v>895.64659417172061</v>
      </c>
      <c r="BH66" s="59">
        <f t="shared" si="8"/>
        <v>1188.9799275050539</v>
      </c>
      <c r="BI66" s="59">
        <f ca="1">AVERAGE(OFFSET($BH$3,0,0,'Données projet'!$E$11+1,1))-AVERAGE(OFFSET($H$3,0,0,'Données projet'!$E$11+1,1))</f>
        <v>555.15881087162279</v>
      </c>
      <c r="BJ66" s="59">
        <f t="shared" si="38"/>
        <v>668.20427590250733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104.06697532903664</v>
      </c>
      <c r="BQ66" s="21">
        <f>EXP(-LN(2)/25)*BQ65+(1-EXP(-LN(2)/25))/(LN(2)/25)*Calculateur!BL66*Calculateur!BN66*VLOOKUP('Données projet'!$B$11,Paramètres!$A$1:$I$89,3,0)*0.475*44/12</f>
        <v>23.14357124014634</v>
      </c>
      <c r="BR66" s="21">
        <f>EXP(-LN(2)/2)*BR65+(1-EXP(-LN(2)/2))/(LN(2)/2)*BL66*BO66*VLOOKUP('Données projet'!$B$11,Paramètres!$A$1:$I$89,3,0)*0.475*44/12</f>
        <v>9.1763695664583887E-6</v>
      </c>
      <c r="BS66" s="22">
        <f t="shared" si="9"/>
        <v>127.21055574555255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</v>
      </c>
      <c r="BY66" s="12">
        <f>IF('Données projet'!$A$114&gt;35,BY65+BX66-CG65,IF(A66&lt;'Données projet'!$A$114,$BV$205^A66,IF(A66='Données projet'!$A$114,'Données projet'!$B$114,BY65+BX66-CG65)))</f>
        <v>343.99999999999972</v>
      </c>
      <c r="BZ66" s="13">
        <f>BY66*VLOOKUP('Données projet'!$B$12,Paramètres!$A$1:$I$89,3,0)*VLOOKUP('Données projet'!$B$12,Paramètres!$A$1:$I$89,5,0)</f>
        <v>225.3887999999998</v>
      </c>
      <c r="CA66" s="13">
        <f t="shared" si="39"/>
        <v>55.284460117161544</v>
      </c>
      <c r="CB66" s="20">
        <f t="shared" si="10"/>
        <v>488.83926137072262</v>
      </c>
      <c r="CC66" s="59">
        <f t="shared" si="11"/>
        <v>782.17259470405588</v>
      </c>
      <c r="CD66" s="59">
        <f ca="1">AVERAGE(OFFSET($CC$3,0,0,'Données projet'!$E$12+1,1))-AVERAGE(OFFSET($H$3,0,0,'Données projet'!$E$12+1,1))</f>
        <v>340.49092994349405</v>
      </c>
      <c r="CE66" s="59">
        <f t="shared" si="40"/>
        <v>331.54434271908832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35.912456168863216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35.912456168863216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8.8000000000000007</v>
      </c>
      <c r="CT66" s="12">
        <f>IF('Données projet'!$A$140&gt;35,CT65+CS66-DB65,IF(A66&lt;'Données projet'!$A$140,$CQ$205^A66,IF(A66='Données projet'!$A$140,'Données projet'!$B$140,CT65+CS66-DB65)))</f>
        <v>271.39999999999998</v>
      </c>
      <c r="CU66" s="17">
        <f>CT66*VLOOKUP('Données projet'!$B$13,Paramètres!$A$1:$I$89,3,0)*VLOOKUP('Données projet'!$B$13,Paramètres!$A$1:$I$89,5,0)</f>
        <v>245.56271999999998</v>
      </c>
      <c r="CV66" s="13">
        <f t="shared" si="41"/>
        <v>59.634776048276898</v>
      </c>
      <c r="CW66" s="20">
        <f t="shared" si="13"/>
        <v>531.55230561741564</v>
      </c>
      <c r="CX66" s="59">
        <f t="shared" si="14"/>
        <v>824.8856389507489</v>
      </c>
      <c r="CY66" s="59">
        <f ca="1">AVERAGE(OFFSET($CX$3,0,0,'Données projet'!$E$13+1,1))-AVERAGE(OFFSET($H$3,0,0,'Données projet'!$E$13+1,1))</f>
        <v>439.19854273764042</v>
      </c>
      <c r="CZ66" s="59">
        <f t="shared" si="42"/>
        <v>278.21741231699929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53.920703286703549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53.920703286703549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8.8000000000000007</v>
      </c>
      <c r="DO66" s="12">
        <f>IF('Données projet'!$A$166&gt;35,DO65+DN66-DW65,IF(A66&lt;'Données projet'!$A$166,$DL$205^A66,IF(A66='Données projet'!$A$166,'Données projet'!$B$166,DO65+DN66-DW65)))</f>
        <v>271.39999999999998</v>
      </c>
      <c r="DP66" s="17">
        <f>DO66*VLOOKUP('Données projet'!$B$14,Paramètres!$A$1:$I$89,3,0)*VLOOKUP('Données projet'!$B$14,Paramètres!$A$1:$I$89,5,0)</f>
        <v>228.62735999999998</v>
      </c>
      <c r="DQ66" s="13">
        <f t="shared" si="43"/>
        <v>55.985781352428695</v>
      </c>
      <c r="DR66" s="20">
        <f t="shared" si="16"/>
        <v>495.70122118881324</v>
      </c>
      <c r="DS66" s="59">
        <f t="shared" si="17"/>
        <v>789.03455452214655</v>
      </c>
      <c r="DT66" s="59">
        <f ca="1">AVERAGE(OFFSET($DS$3,0,0,'Données projet'!$E$14+1,1))-AVERAGE(OFFSET($H$3,0,0,'Données projet'!$E$14+1,1))</f>
        <v>411.72284844766</v>
      </c>
      <c r="DU66" s="59">
        <f t="shared" si="44"/>
        <v>261.95434270986397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50.20203409451711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50.20203409451711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636.99999999999977</v>
      </c>
      <c r="EK66" s="17">
        <f>EJ66*VLOOKUP('Données projet'!$B$15,Paramètres!$A$1:$I$89,3,0)*VLOOKUP('Données projet'!$B$15,Paramètres!$A$1:$I$89,5,0)</f>
        <v>356.08299999999991</v>
      </c>
      <c r="EL66" s="13">
        <f t="shared" si="45"/>
        <v>82.813805255716545</v>
      </c>
      <c r="EM66" s="20">
        <f t="shared" si="19"/>
        <v>764.41193582037283</v>
      </c>
      <c r="EN66" s="59">
        <f t="shared" si="20"/>
        <v>1057.7452691537062</v>
      </c>
      <c r="EO66" s="59">
        <f ca="1">AVERAGE(OFFSET($EN$3,0,0,'Données projet'!$E$15+1,1))-AVERAGE(OFFSET($H$3,0,0,'Données projet'!$E$15+1,1))</f>
        <v>443.34220761968419</v>
      </c>
      <c r="EP66" s="59">
        <f t="shared" si="46"/>
        <v>546.58234447298014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92.093310695882465</v>
      </c>
      <c r="EW66" s="21">
        <f>EXP(-LN(2)/25)*EW65+(1-EXP(-LN(2)/25))/(LN(2)/25)*Calculateur!ER66*Calculateur!ET66*VLOOKUP('Données projet'!$B$15,Paramètres!$A$1:$I$89,3,0)*0.475*44/12</f>
        <v>8.7866567533450173</v>
      </c>
      <c r="EX66" s="21">
        <f>EXP(-LN(2)/2)*EX65+(1-EXP(-LN(2)/2))/(LN(2)/2)*ER66*EU66*VLOOKUP('Données projet'!$B$15,Paramètres!$A$1:$I$89,3,0)*0.475*44/12</f>
        <v>6.5188530222194506E-5</v>
      </c>
      <c r="EY66" s="22">
        <f t="shared" si="21"/>
        <v>100.88003263775771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224.00000000000006</v>
      </c>
      <c r="O67" s="13">
        <f>N67*VLOOKUP('Données projet'!$B$9,Paramètres!$A$1:$I$89,3,0)*VLOOKUP('Données projet'!$B$9,Paramètres!$A$1:$I$89,5,0)</f>
        <v>195.68640000000008</v>
      </c>
      <c r="P67" s="13">
        <f t="shared" si="33"/>
        <v>48.794969360985156</v>
      </c>
      <c r="Q67" s="20">
        <f t="shared" ref="Q67:Q98" si="54">(O67+P67)*0.475*44/12</f>
        <v>425.8050516370493</v>
      </c>
      <c r="R67" s="59">
        <f t="shared" ref="R67:R130" si="55">Q67+(I67+J67)*44/12</f>
        <v>719.13838497038262</v>
      </c>
      <c r="S67" s="59">
        <f ca="1">AVERAGE(OFFSET($R$3,0,0,'Données projet'!$E$9+1,1))-AVERAGE(OFFSET($H$3,0,0,'Données projet'!$E$9+1,1))</f>
        <v>304.32767345253382</v>
      </c>
      <c r="T67" s="59">
        <f t="shared" si="34"/>
        <v>427.16091343339173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58.220743108039244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58.220743108039244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</v>
      </c>
      <c r="AI67" s="13">
        <f>IF('Données projet'!$A$62&gt;35,AI66+AH67-AQ66,IF(A67&lt;'Données projet'!$A$62,$AF$205^A67,IF(A67='Données projet'!$A$62,'Données projet'!$B$62,AI66+AH67-AQ66)))</f>
        <v>349.99999999999972</v>
      </c>
      <c r="AJ67" s="13">
        <f>AI67*VLOOKUP('Données projet'!$B$10,Paramètres!$A$1:$I$89,3,0)*VLOOKUP('Données projet'!$B$10,Paramètres!$A$1:$I$89,5,0)</f>
        <v>278.45999999999981</v>
      </c>
      <c r="AK67" s="13">
        <f t="shared" si="35"/>
        <v>66.641458222154824</v>
      </c>
      <c r="AL67" s="20">
        <f t="shared" si="4"/>
        <v>601.05170640358597</v>
      </c>
      <c r="AM67" s="59">
        <f t="shared" si="5"/>
        <v>894.38503973691923</v>
      </c>
      <c r="AN67" s="59">
        <f ca="1">AVERAGE(OFFSET($AM$3,0,0,'Données projet'!$E$10+1,1))-AVERAGE(OFFSET($H$3,0,0,'Données projet'!$E$10+1,1))</f>
        <v>405.40026823646758</v>
      </c>
      <c r="AO67" s="59">
        <f t="shared" si="36"/>
        <v>393.0787141050053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52.69538133198057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52.69538133198057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</v>
      </c>
      <c r="BD67" s="12">
        <f>IF('Données projet'!$A$88&gt;35,BD66+BC67-BL66,IF(A67&lt;'Données projet'!$A$88,$BA$205^A67,IF(A67='Données projet'!$A$88,'Données projet'!$B$88,BD66+BC67-BL66)))</f>
        <v>758.99999999999966</v>
      </c>
      <c r="BE67" s="13">
        <f>BD67*VLOOKUP('Données projet'!$B$11,Paramètres!$A$1:$I$89,3,0)*VLOOKUP('Données projet'!$B$11,Paramètres!$A$1:$I$89,5,0)</f>
        <v>424.28099999999978</v>
      </c>
      <c r="BF67" s="13">
        <f t="shared" si="37"/>
        <v>96.682255052757768</v>
      </c>
      <c r="BG67" s="20">
        <f t="shared" si="7"/>
        <v>907.34433588355262</v>
      </c>
      <c r="BH67" s="59">
        <f t="shared" si="8"/>
        <v>1200.677669216886</v>
      </c>
      <c r="BI67" s="59">
        <f ca="1">AVERAGE(OFFSET($BH$3,0,0,'Données projet'!$E$11+1,1))-AVERAGE(OFFSET($H$3,0,0,'Données projet'!$E$11+1,1))</f>
        <v>555.15881087162279</v>
      </c>
      <c r="BJ67" s="59">
        <f t="shared" si="38"/>
        <v>668.20427590250733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102.02628541742159</v>
      </c>
      <c r="BQ67" s="21">
        <f>EXP(-LN(2)/25)*BQ66+(1-EXP(-LN(2)/25))/(LN(2)/25)*Calculateur!BL67*Calculateur!BN67*VLOOKUP('Données projet'!$B$11,Paramètres!$A$1:$I$89,3,0)*0.475*44/12</f>
        <v>22.510709067517023</v>
      </c>
      <c r="BR67" s="21">
        <f>EXP(-LN(2)/2)*BR66+(1-EXP(-LN(2)/2))/(LN(2)/2)*BL67*BO67*VLOOKUP('Données projet'!$B$11,Paramètres!$A$1:$I$89,3,0)*0.475*44/12</f>
        <v>6.488673147116586E-6</v>
      </c>
      <c r="BS67" s="22">
        <f t="shared" si="9"/>
        <v>124.53700097361177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</v>
      </c>
      <c r="BY67" s="12">
        <f>IF('Données projet'!$A$114&gt;35,BY66+BX67-CG66,IF(A67&lt;'Données projet'!$A$114,$BV$205^A67,IF(A67='Données projet'!$A$114,'Données projet'!$B$114,BY66+BX67-CG66)))</f>
        <v>349.99999999999972</v>
      </c>
      <c r="BZ67" s="13">
        <f>BY67*VLOOKUP('Données projet'!$B$12,Paramètres!$A$1:$I$89,3,0)*VLOOKUP('Données projet'!$B$12,Paramètres!$A$1:$I$89,5,0)</f>
        <v>229.31999999999982</v>
      </c>
      <c r="CA67" s="13">
        <f t="shared" si="39"/>
        <v>56.135624305144574</v>
      </c>
      <c r="CB67" s="20">
        <f t="shared" si="10"/>
        <v>497.16854566479316</v>
      </c>
      <c r="CC67" s="59">
        <f t="shared" si="11"/>
        <v>790.50187899812647</v>
      </c>
      <c r="CD67" s="59">
        <f ca="1">AVERAGE(OFFSET($CC$3,0,0,'Données projet'!$E$12+1,1))-AVERAGE(OFFSET($H$3,0,0,'Données projet'!$E$12+1,1))</f>
        <v>340.49092994349405</v>
      </c>
      <c r="CE67" s="59">
        <f t="shared" si="40"/>
        <v>331.54434271908832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35.208234807827189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35.208234807827189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8.8000000000000007</v>
      </c>
      <c r="CT67" s="12">
        <f>IF('Données projet'!$A$140&gt;35,CT66+CS67-DB66,IF(A67&lt;'Données projet'!$A$140,$CQ$205^A67,IF(A67='Données projet'!$A$140,'Données projet'!$B$140,CT66+CS67-DB66)))</f>
        <v>280.2</v>
      </c>
      <c r="CU67" s="17">
        <f>CT67*VLOOKUP('Données projet'!$B$13,Paramètres!$A$1:$I$89,3,0)*VLOOKUP('Données projet'!$B$13,Paramètres!$A$1:$I$89,5,0)</f>
        <v>253.52495999999999</v>
      </c>
      <c r="CV67" s="13">
        <f t="shared" si="41"/>
        <v>61.340141798422209</v>
      </c>
      <c r="CW67" s="20">
        <f t="shared" si="13"/>
        <v>548.39005229891859</v>
      </c>
      <c r="CX67" s="59">
        <f t="shared" si="14"/>
        <v>841.72338563225185</v>
      </c>
      <c r="CY67" s="59">
        <f ca="1">AVERAGE(OFFSET($CX$3,0,0,'Données projet'!$E$13+1,1))-AVERAGE(OFFSET($H$3,0,0,'Données projet'!$E$13+1,1))</f>
        <v>439.19854273764042</v>
      </c>
      <c r="CZ67" s="59">
        <f t="shared" si="42"/>
        <v>278.21741231699929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52.863351183632837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52.863351183632837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8.8000000000000007</v>
      </c>
      <c r="DO67" s="12">
        <f>IF('Données projet'!$A$166&gt;35,DO66+DN67-DW66,IF(A67&lt;'Données projet'!$A$166,$DL$205^A67,IF(A67='Données projet'!$A$166,'Données projet'!$B$166,DO66+DN67-DW66)))</f>
        <v>280.2</v>
      </c>
      <c r="DP67" s="17">
        <f>DO67*VLOOKUP('Données projet'!$B$14,Paramètres!$A$1:$I$89,3,0)*VLOOKUP('Données projet'!$B$14,Paramètres!$A$1:$I$89,5,0)</f>
        <v>236.04048</v>
      </c>
      <c r="DQ67" s="13">
        <f t="shared" si="43"/>
        <v>57.586797409506879</v>
      </c>
      <c r="DR67" s="20">
        <f t="shared" si="16"/>
        <v>511.40084148822439</v>
      </c>
      <c r="DS67" s="59">
        <f t="shared" si="17"/>
        <v>804.73417482155764</v>
      </c>
      <c r="DT67" s="59">
        <f ca="1">AVERAGE(OFFSET($DS$3,0,0,'Données projet'!$E$14+1,1))-AVERAGE(OFFSET($H$3,0,0,'Données projet'!$E$14+1,1))</f>
        <v>411.72284844766</v>
      </c>
      <c r="DU67" s="59">
        <f t="shared" si="44"/>
        <v>261.95434270986397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49.217602826140933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49.217602826140933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636.99999999999977</v>
      </c>
      <c r="EK67" s="17">
        <f>EJ67*VLOOKUP('Données projet'!$B$15,Paramètres!$A$1:$I$89,3,0)*VLOOKUP('Données projet'!$B$15,Paramètres!$A$1:$I$89,5,0)</f>
        <v>356.08299999999991</v>
      </c>
      <c r="EL67" s="13">
        <f t="shared" si="45"/>
        <v>82.813805255716545</v>
      </c>
      <c r="EM67" s="20">
        <f t="shared" si="19"/>
        <v>764.41193582037283</v>
      </c>
      <c r="EN67" s="59">
        <f t="shared" si="20"/>
        <v>1057.7452691537062</v>
      </c>
      <c r="EO67" s="59">
        <f ca="1">AVERAGE(OFFSET($EN$3,0,0,'Données projet'!$E$15+1,1))-AVERAGE(OFFSET($H$3,0,0,'Données projet'!$E$15+1,1))</f>
        <v>443.34220761968419</v>
      </c>
      <c r="EP67" s="59">
        <f t="shared" si="46"/>
        <v>546.58234447298014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90.287417044509269</v>
      </c>
      <c r="EW67" s="21">
        <f>EXP(-LN(2)/25)*EW66+(1-EXP(-LN(2)/25))/(LN(2)/25)*Calculateur!ER67*Calculateur!ET67*VLOOKUP('Données projet'!$B$15,Paramètres!$A$1:$I$89,3,0)*0.475*44/12</f>
        <v>8.5463851623546017</v>
      </c>
      <c r="EX67" s="21">
        <f>EXP(-LN(2)/2)*EX66+(1-EXP(-LN(2)/2))/(LN(2)/2)*ER67*EU67*VLOOKUP('Données projet'!$B$15,Paramètres!$A$1:$I$89,3,0)*0.475*44/12</f>
        <v>4.6095251775697931E-5</v>
      </c>
      <c r="EY67" s="22">
        <f t="shared" si="21"/>
        <v>98.833848302115641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224.00000000000006</v>
      </c>
      <c r="O68" s="13">
        <f>N68*VLOOKUP('Données projet'!$B$9,Paramètres!$A$1:$I$89,3,0)*VLOOKUP('Données projet'!$B$9,Paramètres!$A$1:$I$89,5,0)</f>
        <v>195.68640000000008</v>
      </c>
      <c r="P68" s="13">
        <f t="shared" si="33"/>
        <v>48.794969360985156</v>
      </c>
      <c r="Q68" s="20">
        <f t="shared" si="54"/>
        <v>425.8050516370493</v>
      </c>
      <c r="R68" s="59">
        <f t="shared" si="55"/>
        <v>719.13838497038262</v>
      </c>
      <c r="S68" s="59">
        <f ca="1">AVERAGE(OFFSET($R$3,0,0,'Données projet'!$E$9+1,1))-AVERAGE(OFFSET($H$3,0,0,'Données projet'!$E$9+1,1))</f>
        <v>304.32767345253382</v>
      </c>
      <c r="T68" s="59">
        <f t="shared" si="34"/>
        <v>427.16091343339173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57.079069846837456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57.079069846837456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356</v>
      </c>
      <c r="AG68" s="12">
        <f>VLOOKUP(A68,'Données projet'!$A$61:$I$81,9,0)</f>
        <v>6</v>
      </c>
      <c r="AH68" s="12">
        <f t="array" ref="AH68">INDEX(AG:AG,MIN(IF(ISNUMBER(AG68:AG264),ROW(AG68:AG264),"")))</f>
        <v>6</v>
      </c>
      <c r="AI68" s="13">
        <f>IF('Données projet'!$A$62&gt;35,AI67+AH68-AQ67,IF(A68&lt;'Données projet'!$A$62,$AF$205^A68,IF(A68='Données projet'!$A$62,'Données projet'!$B$62,AI67+AH68-AQ67)))</f>
        <v>355.99999999999972</v>
      </c>
      <c r="AJ68" s="13">
        <f>AI68*VLOOKUP('Données projet'!$B$10,Paramètres!$A$1:$I$89,3,0)*VLOOKUP('Données projet'!$B$10,Paramètres!$A$1:$I$89,5,0)</f>
        <v>283.2335999999998</v>
      </c>
      <c r="AK68" s="13">
        <f t="shared" si="35"/>
        <v>67.649904178362377</v>
      </c>
      <c r="AL68" s="20">
        <f t="shared" ref="AL68:AL131" si="58">(AJ68+AK68)*0.475*44/12</f>
        <v>611.12210311064734</v>
      </c>
      <c r="AM68" s="59">
        <f t="shared" ref="AM68:AM131" si="59">AL68+(AD68+AE68)*44/12</f>
        <v>904.45543644398072</v>
      </c>
      <c r="AN68" s="59">
        <f ca="1">AVERAGE(OFFSET($AM$3,0,0,'Données projet'!$E$10+1,1))-AVERAGE(OFFSET($H$3,0,0,'Données projet'!$E$10+1,1))</f>
        <v>405.40026823646758</v>
      </c>
      <c r="AO68" s="59">
        <f t="shared" si="36"/>
        <v>393.0787141050053</v>
      </c>
      <c r="AP68" s="15">
        <f>IF(ISNA(VLOOKUP(A68,'Données projet'!$A$61:$I$81,3,0)),0,VLOOKUP(A68,'Données projet'!$A$61:$I$81,3,0))</f>
        <v>12</v>
      </c>
      <c r="AQ68" s="15">
        <f>IF(ISNA(VLOOKUP(A68,'Données projet'!$A$61:$I$81,4,0)),0,VLOOKUP(A68,'Données projet'!$A$61:$I$81,4,0))</f>
        <v>16</v>
      </c>
      <c r="AR68" s="16">
        <f>IF(ISNA(VLOOKUP(A68,'Données projet'!$A$61:$I$81,5,0)),0%,VLOOKUP(A68,'Données projet'!$A$61:$I$81,5,0)*VLOOKUP('Données projet'!$B$10,Paramètres!$A$1:$I$89,7,0))</f>
        <v>0.53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59.120320789019786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59.120320789019786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769</v>
      </c>
      <c r="BB68" s="12">
        <f>VLOOKUP(A68,'Données projet'!$A$87:$I$107,9,0)</f>
        <v>10</v>
      </c>
      <c r="BC68" s="12">
        <f t="array" ref="BC68">INDEX(BB:BB,MIN(IF(ISNUMBER(BB68:BB264),ROW(BB68:BB264),"")))</f>
        <v>10</v>
      </c>
      <c r="BD68" s="12">
        <f>IF('Données projet'!$A$88&gt;35,BD67+BC68-BL67,IF(A68&lt;'Données projet'!$A$88,$BA$205^A68,IF(A68='Données projet'!$A$88,'Données projet'!$B$88,BD67+BC68-BL67)))</f>
        <v>768.99999999999966</v>
      </c>
      <c r="BE68" s="13">
        <f>BD68*VLOOKUP('Données projet'!$B$11,Paramètres!$A$1:$I$89,3,0)*VLOOKUP('Données projet'!$B$11,Paramètres!$A$1:$I$89,5,0)</f>
        <v>429.87099999999981</v>
      </c>
      <c r="BF68" s="13">
        <f t="shared" si="37"/>
        <v>97.806935594587088</v>
      </c>
      <c r="BG68" s="20">
        <f t="shared" ref="BG68:BG131" si="61">(BE68+BF68)*0.475*44/12</f>
        <v>919.03907116057201</v>
      </c>
      <c r="BH68" s="59">
        <f t="shared" ref="BH68:BH131" si="62">BG68+(AY68+AZ68)*44/12</f>
        <v>1212.3724044939054</v>
      </c>
      <c r="BI68" s="59">
        <f ca="1">AVERAGE(OFFSET($BH$3,0,0,'Données projet'!$E$11+1,1))-AVERAGE(OFFSET($H$3,0,0,'Données projet'!$E$11+1,1))</f>
        <v>555.15881087162279</v>
      </c>
      <c r="BJ68" s="59">
        <f t="shared" si="38"/>
        <v>668.20427590250733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29</v>
      </c>
      <c r="BM68" s="16">
        <f>IF(ISNA(VLOOKUP(A68,'Données projet'!$A$87:$I$107,5,0)),0%,VLOOKUP(A68,'Données projet'!$A$87:$I$107,5,0)*VLOOKUP('Données projet'!$B$11,Paramètres!$A$1:$I$89,7,0))</f>
        <v>0.55000000000000004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111.85332720319708</v>
      </c>
      <c r="BQ68" s="21">
        <f>EXP(-LN(2)/25)*BQ67+(1-EXP(-LN(2)/25))/(LN(2)/25)*Calculateur!BL68*Calculateur!BN68*VLOOKUP('Données projet'!$B$11,Paramètres!$A$1:$I$89,3,0)*0.475*44/12</f>
        <v>21.895152544279028</v>
      </c>
      <c r="BR68" s="21">
        <f>EXP(-LN(2)/2)*BR67+(1-EXP(-LN(2)/2))/(LN(2)/2)*BL68*BO68*VLOOKUP('Données projet'!$B$11,Paramètres!$A$1:$I$89,3,0)*0.475*44/12</f>
        <v>4.5881847832291943E-6</v>
      </c>
      <c r="BS68" s="22">
        <f t="shared" ref="BS68:BS131" si="63">SUM(BP68:BR68)</f>
        <v>133.74848433566089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356</v>
      </c>
      <c r="BW68" s="12">
        <f>VLOOKUP(A68,'Données projet'!$A$113:$I$133,9,0)</f>
        <v>6</v>
      </c>
      <c r="BX68" s="12">
        <f t="array" ref="BX68">INDEX(BW:BW,MIN(IF(ISNUMBER(BW68:BW264),ROW(BW68:BW264),"")))</f>
        <v>6</v>
      </c>
      <c r="BY68" s="12">
        <f>IF('Données projet'!$A$114&gt;35,BY67+BX68-CG67,IF(A68&lt;'Données projet'!$A$114,$BV$205^A68,IF(A68='Données projet'!$A$114,'Données projet'!$B$114,BY67+BX68-CG67)))</f>
        <v>355.99999999999972</v>
      </c>
      <c r="BZ68" s="13">
        <f>BY68*VLOOKUP('Données projet'!$B$12,Paramètres!$A$1:$I$89,3,0)*VLOOKUP('Données projet'!$B$12,Paramètres!$A$1:$I$89,5,0)</f>
        <v>233.25119999999981</v>
      </c>
      <c r="CA68" s="13">
        <f t="shared" si="39"/>
        <v>56.985091661350864</v>
      </c>
      <c r="CB68" s="20">
        <f t="shared" ref="CB68:CB131" si="64">(BZ68+CA68)*0.475*44/12</f>
        <v>505.4948746435191</v>
      </c>
      <c r="CC68" s="59">
        <f t="shared" ref="CC68:CC131" si="65">CB68+(BT68+BU68)*44/12</f>
        <v>798.82820797685235</v>
      </c>
      <c r="CD68" s="59">
        <f ca="1">AVERAGE(OFFSET($CC$3,0,0,'Données projet'!$E$12+1,1))-AVERAGE(OFFSET($H$3,0,0,'Données projet'!$E$12+1,1))</f>
        <v>340.49092994349405</v>
      </c>
      <c r="CE68" s="59">
        <f t="shared" si="40"/>
        <v>331.54434271908832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16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39.501035643717984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39.501035643717984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289</v>
      </c>
      <c r="CR68" s="12">
        <f>VLOOKUP(A68,'Données projet'!$A$139:$I$159,9,0)</f>
        <v>8.8000000000000007</v>
      </c>
      <c r="CS68" s="12">
        <f t="array" ref="CS68">INDEX(CR:CR,MIN(IF(ISNUMBER(CR68:CR264),ROW(CR68:CR264),"")))</f>
        <v>8.8000000000000007</v>
      </c>
      <c r="CT68" s="12">
        <f>IF('Données projet'!$A$140&gt;35,CT67+CS68-DB67,IF(A68&lt;'Données projet'!$A$140,$CQ$205^A68,IF(A68='Données projet'!$A$140,'Données projet'!$B$140,CT67+CS68-DB67)))</f>
        <v>289</v>
      </c>
      <c r="CU68" s="17">
        <f>CT68*VLOOKUP('Données projet'!$B$13,Paramètres!$A$1:$I$89,3,0)*VLOOKUP('Données projet'!$B$13,Paramètres!$A$1:$I$89,5,0)</f>
        <v>261.48719999999997</v>
      </c>
      <c r="CV68" s="13">
        <f t="shared" si="41"/>
        <v>63.039283586802391</v>
      </c>
      <c r="CW68" s="20">
        <f t="shared" ref="CW68:CW131" si="67">(CU68+CV68)*0.475*44/12</f>
        <v>565.21695891368086</v>
      </c>
      <c r="CX68" s="59">
        <f t="shared" ref="CX68:CX131" si="68">CW68+(CO68+CP68)*44/12</f>
        <v>858.55029224701411</v>
      </c>
      <c r="CY68" s="59">
        <f ca="1">AVERAGE(OFFSET($CX$3,0,0,'Données projet'!$E$13+1,1))-AVERAGE(OFFSET($H$3,0,0,'Données projet'!$E$13+1,1))</f>
        <v>439.19854273764042</v>
      </c>
      <c r="CZ68" s="59">
        <f t="shared" si="42"/>
        <v>278.21741231699929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28</v>
      </c>
      <c r="DC68" s="16">
        <f>IF(ISNA(VLOOKUP(A68,'Données projet'!$A$139:$I$159,5,0)),0%,VLOOKUP(A68,'Données projet'!$A$139:$I$159,5,0)*VLOOKUP('Données projet'!$B$13,Paramètres!$A$1:$I$89,7,0))</f>
        <v>0.43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63.869497487175259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63.869497487175259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289</v>
      </c>
      <c r="DM68" s="12">
        <f>VLOOKUP(A68,'Données projet'!$A$165:$I$185,9,0)</f>
        <v>8.8000000000000007</v>
      </c>
      <c r="DN68" s="12">
        <f t="array" ref="DN68">INDEX(DM:DM,MIN(IF(ISNUMBER(DM68:DM264),ROW(DM68:DM264),"")))</f>
        <v>8.8000000000000007</v>
      </c>
      <c r="DO68" s="12">
        <f>IF('Données projet'!$A$166&gt;35,DO67+DN68-DW67,IF(A68&lt;'Données projet'!$A$166,$DL$205^A68,IF(A68='Données projet'!$A$166,'Données projet'!$B$166,DO67+DN68-DW67)))</f>
        <v>289</v>
      </c>
      <c r="DP68" s="17">
        <f>DO68*VLOOKUP('Données projet'!$B$14,Paramètres!$A$1:$I$89,3,0)*VLOOKUP('Données projet'!$B$14,Paramètres!$A$1:$I$89,5,0)</f>
        <v>243.45360000000002</v>
      </c>
      <c r="DQ68" s="13">
        <f t="shared" si="43"/>
        <v>59.181970343065316</v>
      </c>
      <c r="DR68" s="20">
        <f t="shared" ref="DR68:DR131" si="70">(DP68+DQ68)*0.475*44/12</f>
        <v>527.09028501417208</v>
      </c>
      <c r="DS68" s="59">
        <f t="shared" ref="DS68:DS131" si="71">DR68+(DJ68+DK68)*44/12</f>
        <v>820.42361834750545</v>
      </c>
      <c r="DT68" s="59">
        <f ca="1">AVERAGE(OFFSET($DS$3,0,0,'Données projet'!$E$14+1,1))-AVERAGE(OFFSET($H$3,0,0,'Données projet'!$E$14+1,1))</f>
        <v>411.72284844766</v>
      </c>
      <c r="DU68" s="59">
        <f t="shared" si="44"/>
        <v>261.95434270986397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28</v>
      </c>
      <c r="DX68" s="16">
        <f>IF(ISNA(VLOOKUP(A68,'Données projet'!$A$165:$I$185,5,0)),0%,VLOOKUP(A68,'Données projet'!$A$165:$I$185,5,0)*VLOOKUP('Données projet'!$B$14,Paramètres!$A$1:$I$89,7,0))</f>
        <v>0.43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59.464704557025257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59.464704557025257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636.99999999999977</v>
      </c>
      <c r="EK68" s="17">
        <f>EJ68*VLOOKUP('Données projet'!$B$15,Paramètres!$A$1:$I$89,3,0)*VLOOKUP('Données projet'!$B$15,Paramètres!$A$1:$I$89,5,0)</f>
        <v>356.08299999999991</v>
      </c>
      <c r="EL68" s="13">
        <f t="shared" si="45"/>
        <v>82.813805255716545</v>
      </c>
      <c r="EM68" s="20">
        <f t="shared" ref="EM68:EM131" si="73">(EK68+EL68)*0.475*44/12</f>
        <v>764.41193582037283</v>
      </c>
      <c r="EN68" s="59">
        <f t="shared" ref="EN68:EN131" si="74">EM68+(EE68+EF68)*44/12</f>
        <v>1057.7452691537062</v>
      </c>
      <c r="EO68" s="59">
        <f ca="1">AVERAGE(OFFSET($EN$3,0,0,'Données projet'!$E$15+1,1))-AVERAGE(OFFSET($H$3,0,0,'Données projet'!$E$15+1,1))</f>
        <v>443.34220761968419</v>
      </c>
      <c r="EP68" s="59">
        <f t="shared" si="46"/>
        <v>546.58234447298014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88.516935866153133</v>
      </c>
      <c r="EW68" s="21">
        <f>EXP(-LN(2)/25)*EW67+(1-EXP(-LN(2)/25))/(LN(2)/25)*Calculateur!ER68*Calculateur!ET68*VLOOKUP('Données projet'!$B$15,Paramètres!$A$1:$I$89,3,0)*0.475*44/12</f>
        <v>8.3126838106551517</v>
      </c>
      <c r="EX68" s="21">
        <f>EXP(-LN(2)/2)*EX67+(1-EXP(-LN(2)/2))/(LN(2)/2)*ER68*EU68*VLOOKUP('Données projet'!$B$15,Paramètres!$A$1:$I$89,3,0)*0.475*44/12</f>
        <v>3.2594265111097253E-5</v>
      </c>
      <c r="EY68" s="22">
        <f t="shared" ref="EY68:EY131" si="75">SUM(EV68:EX68)</f>
        <v>96.829652271073385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224.00000000000006</v>
      </c>
      <c r="O69" s="13">
        <f>N69*VLOOKUP('Données projet'!$B$9,Paramètres!$A$1:$I$89,3,0)*VLOOKUP('Données projet'!$B$9,Paramètres!$A$1:$I$89,5,0)</f>
        <v>195.68640000000008</v>
      </c>
      <c r="P69" s="13">
        <f t="shared" ref="P69:P132" si="87">EXP(-1.0587+0.8836*LN(O69)+0.284)</f>
        <v>48.794969360985156</v>
      </c>
      <c r="Q69" s="20">
        <f t="shared" si="54"/>
        <v>425.8050516370493</v>
      </c>
      <c r="R69" s="59">
        <f t="shared" si="55"/>
        <v>719.13838497038262</v>
      </c>
      <c r="S69" s="59">
        <f ca="1">AVERAGE(OFFSET($R$3,0,0,'Données projet'!$E$9+1,1))-AVERAGE(OFFSET($H$3,0,0,'Données projet'!$E$9+1,1))</f>
        <v>304.32767345253382</v>
      </c>
      <c r="T69" s="59">
        <f t="shared" ref="T69:T132" si="88">$T$3</f>
        <v>427.16091343339173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55.959784101935902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55.959784101935902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5.2</v>
      </c>
      <c r="AI69" s="13">
        <f>IF('Données projet'!$A$62&gt;35,AI68+AH69-AQ68,IF(A69&lt;'Données projet'!$A$62,$AF$205^A69,IF(A69='Données projet'!$A$62,'Données projet'!$B$62,AI68+AH69-AQ68)))</f>
        <v>345.1999999999997</v>
      </c>
      <c r="AJ69" s="13">
        <f>AI69*VLOOKUP('Données projet'!$B$10,Paramètres!$A$1:$I$89,3,0)*VLOOKUP('Données projet'!$B$10,Paramètres!$A$1:$I$89,5,0)</f>
        <v>274.64111999999977</v>
      </c>
      <c r="AK69" s="13">
        <f t="shared" ref="AK69:AK132" si="89">EXP(-1.0587+0.8836*LN(AJ69)+0.284)</f>
        <v>65.833252956609641</v>
      </c>
      <c r="AL69" s="20">
        <f t="shared" si="58"/>
        <v>592.99286623276123</v>
      </c>
      <c r="AM69" s="59">
        <f t="shared" si="59"/>
        <v>886.3261995660946</v>
      </c>
      <c r="AN69" s="59">
        <f ca="1">AVERAGE(OFFSET($AM$3,0,0,'Données projet'!$E$10+1,1))-AVERAGE(OFFSET($H$3,0,0,'Données projet'!$E$10+1,1))</f>
        <v>405.40026823646758</v>
      </c>
      <c r="AO69" s="59">
        <f t="shared" ref="AO69:AO132" si="90">$AO$3</f>
        <v>393.0787141050053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57.961007358182179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57.961007358182179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739.99999999999966</v>
      </c>
      <c r="BE69" s="13">
        <f>BD69*VLOOKUP('Données projet'!$B$11,Paramètres!$A$1:$I$89,3,0)*VLOOKUP('Données projet'!$B$11,Paramètres!$A$1:$I$89,5,0)</f>
        <v>413.65999999999985</v>
      </c>
      <c r="BF69" s="13">
        <f t="shared" ref="BF69:BF132" si="91">EXP(-1.0587+0.8836*LN(BE69)+0.284)</f>
        <v>94.540585122244352</v>
      </c>
      <c r="BG69" s="20">
        <f t="shared" si="61"/>
        <v>885.11601908790863</v>
      </c>
      <c r="BH69" s="59">
        <f t="shared" si="62"/>
        <v>1178.4493524212419</v>
      </c>
      <c r="BI69" s="59">
        <f ca="1">AVERAGE(OFFSET($BH$3,0,0,'Données projet'!$E$11+1,1))-AVERAGE(OFFSET($H$3,0,0,'Données projet'!$E$11+1,1))</f>
        <v>555.15881087162279</v>
      </c>
      <c r="BJ69" s="59">
        <f t="shared" ref="BJ69:BJ132" si="92">$BJ$3</f>
        <v>668.20427590250733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109.65995168053544</v>
      </c>
      <c r="BQ69" s="21">
        <f>EXP(-LN(2)/25)*BQ68+(1-EXP(-LN(2)/25))/(LN(2)/25)*Calculateur!BL69*Calculateur!BN69*VLOOKUP('Données projet'!$B$11,Paramètres!$A$1:$I$89,3,0)*0.475*44/12</f>
        <v>21.296428446539689</v>
      </c>
      <c r="BR69" s="21">
        <f>EXP(-LN(2)/2)*BR68+(1-EXP(-LN(2)/2))/(LN(2)/2)*BL69*BO69*VLOOKUP('Données projet'!$B$11,Paramètres!$A$1:$I$89,3,0)*0.475*44/12</f>
        <v>3.244336573558293E-6</v>
      </c>
      <c r="BS69" s="22">
        <f t="shared" si="63"/>
        <v>130.9563833714117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345.1999999999997</v>
      </c>
      <c r="BZ69" s="13">
        <f>BY69*VLOOKUP('Données projet'!$B$12,Paramètres!$A$1:$I$89,3,0)*VLOOKUP('Données projet'!$B$12,Paramètres!$A$1:$I$89,5,0)</f>
        <v>226.1750399999998</v>
      </c>
      <c r="CA69" s="13">
        <f t="shared" ref="CA69:CA132" si="93">EXP(-1.0587+0.8836*LN(BZ69)+0.284)</f>
        <v>55.454830271544012</v>
      </c>
      <c r="CB69" s="20">
        <f t="shared" si="64"/>
        <v>490.50535738960554</v>
      </c>
      <c r="CC69" s="59">
        <f t="shared" si="65"/>
        <v>783.83869072293885</v>
      </c>
      <c r="CD69" s="59">
        <f ca="1">AVERAGE(OFFSET($CC$3,0,0,'Données projet'!$E$12+1,1))-AVERAGE(OFFSET($H$3,0,0,'Données projet'!$E$12+1,1))</f>
        <v>340.49092994349405</v>
      </c>
      <c r="CE69" s="59">
        <f t="shared" ref="CE69:CE132" si="94">$CE$3</f>
        <v>331.54434271908832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38.726444427997407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38.726444427997407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8.1999999999999993</v>
      </c>
      <c r="CT69" s="12">
        <f>IF('Données projet'!$A$140&gt;35,CT68+CS69-DB68,IF(A69&lt;'Données projet'!$A$140,$CQ$205^A69,IF(A69='Données projet'!$A$140,'Données projet'!$B$140,CT68+CS69-DB68)))</f>
        <v>269.2</v>
      </c>
      <c r="CU69" s="17">
        <f>CT69*VLOOKUP('Données projet'!$B$13,Paramètres!$A$1:$I$89,3,0)*VLOOKUP('Données projet'!$B$13,Paramètres!$A$1:$I$89,5,0)</f>
        <v>243.57216</v>
      </c>
      <c r="CV69" s="13">
        <f t="shared" ref="CV69:CV132" si="95">EXP(-1.0587+0.8836*LN(CU69)+0.284)</f>
        <v>59.207435995642292</v>
      </c>
      <c r="CW69" s="20">
        <f t="shared" si="67"/>
        <v>527.34112969241028</v>
      </c>
      <c r="CX69" s="59">
        <f t="shared" si="68"/>
        <v>820.67446302574353</v>
      </c>
      <c r="CY69" s="59">
        <f ca="1">AVERAGE(OFFSET($CX$3,0,0,'Données projet'!$E$13+1,1))-AVERAGE(OFFSET($H$3,0,0,'Données projet'!$E$13+1,1))</f>
        <v>439.19854273764042</v>
      </c>
      <c r="CZ69" s="59">
        <f t="shared" ref="CZ69:CZ132" si="96">$CZ$3</f>
        <v>278.21741231699929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62.617055597998579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62.617055597998579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8.1999999999999993</v>
      </c>
      <c r="DO69" s="12">
        <f>IF('Données projet'!$A$166&gt;35,DO68+DN69-DW68,IF(A69&lt;'Données projet'!$A$166,$DL$205^A69,IF(A69='Données projet'!$A$166,'Données projet'!$B$166,DO68+DN69-DW68)))</f>
        <v>269.2</v>
      </c>
      <c r="DP69" s="17">
        <f>DO69*VLOOKUP('Données projet'!$B$14,Paramètres!$A$1:$I$89,3,0)*VLOOKUP('Données projet'!$B$14,Paramètres!$A$1:$I$89,5,0)</f>
        <v>226.77408</v>
      </c>
      <c r="DQ69" s="13">
        <f t="shared" ref="DQ69:DQ132" si="97">EXP(-1.0587+0.8836*LN(DP69)+0.284)</f>
        <v>55.584589827360034</v>
      </c>
      <c r="DR69" s="20">
        <f t="shared" si="70"/>
        <v>491.77468328265195</v>
      </c>
      <c r="DS69" s="59">
        <f t="shared" si="71"/>
        <v>785.10801661598521</v>
      </c>
      <c r="DT69" s="59">
        <f ca="1">AVERAGE(OFFSET($DS$3,0,0,'Données projet'!$E$14+1,1))-AVERAGE(OFFSET($H$3,0,0,'Données projet'!$E$14+1,1))</f>
        <v>411.72284844766</v>
      </c>
      <c r="DU69" s="59">
        <f t="shared" ref="DU69:DU132" si="98">$DU$3</f>
        <v>261.95434270986397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58.298637970550416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58.298637970550416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636.99999999999977</v>
      </c>
      <c r="EK69" s="17">
        <f>EJ69*VLOOKUP('Données projet'!$B$15,Paramètres!$A$1:$I$89,3,0)*VLOOKUP('Données projet'!$B$15,Paramètres!$A$1:$I$89,5,0)</f>
        <v>356.08299999999991</v>
      </c>
      <c r="EL69" s="13">
        <f t="shared" ref="EL69:EL132" si="99">EXP(-1.0587+0.8836*LN(EK69)+0.284)</f>
        <v>82.813805255716545</v>
      </c>
      <c r="EM69" s="20">
        <f t="shared" si="73"/>
        <v>764.41193582037283</v>
      </c>
      <c r="EN69" s="59">
        <f t="shared" si="74"/>
        <v>1057.7452691537062</v>
      </c>
      <c r="EO69" s="59">
        <f ca="1">AVERAGE(OFFSET($EN$3,0,0,'Données projet'!$E$15+1,1))-AVERAGE(OFFSET($H$3,0,0,'Données projet'!$E$15+1,1))</f>
        <v>443.34220761968419</v>
      </c>
      <c r="EP69" s="59">
        <f t="shared" ref="EP69:EP132" si="100">$EP$3</f>
        <v>546.58234447298014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86.781172743817677</v>
      </c>
      <c r="EW69" s="21">
        <f>EXP(-LN(2)/25)*EW68+(1-EXP(-LN(2)/25))/(LN(2)/25)*Calculateur!ER69*Calculateur!ET69*VLOOKUP('Données projet'!$B$15,Paramètres!$A$1:$I$89,3,0)*0.475*44/12</f>
        <v>8.085373034707743</v>
      </c>
      <c r="EX69" s="21">
        <f>EXP(-LN(2)/2)*EX68+(1-EXP(-LN(2)/2))/(LN(2)/2)*ER69*EU69*VLOOKUP('Données projet'!$B$15,Paramètres!$A$1:$I$89,3,0)*0.475*44/12</f>
        <v>2.3047625887848966E-5</v>
      </c>
      <c r="EY69" s="22">
        <f t="shared" si="75"/>
        <v>94.866568826151308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224.00000000000006</v>
      </c>
      <c r="O70" s="13">
        <f>N70*VLOOKUP('Données projet'!$B$9,Paramètres!$A$1:$I$89,3,0)*VLOOKUP('Données projet'!$B$9,Paramètres!$A$1:$I$89,5,0)</f>
        <v>195.68640000000008</v>
      </c>
      <c r="P70" s="13">
        <f t="shared" si="87"/>
        <v>48.794969360985156</v>
      </c>
      <c r="Q70" s="20">
        <f t="shared" si="54"/>
        <v>425.8050516370493</v>
      </c>
      <c r="R70" s="59">
        <f t="shared" si="55"/>
        <v>719.13838497038262</v>
      </c>
      <c r="S70" s="59">
        <f ca="1">AVERAGE(OFFSET($R$3,0,0,'Données projet'!$E$9+1,1))-AVERAGE(OFFSET($H$3,0,0,'Données projet'!$E$9+1,1))</f>
        <v>304.32767345253382</v>
      </c>
      <c r="T70" s="59">
        <f t="shared" si="88"/>
        <v>427.16091343339173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54.862446867794979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54.862446867794979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5.2</v>
      </c>
      <c r="AI70" s="13">
        <f>IF('Données projet'!$A$62&gt;35,AI69+AH70-AQ69,IF(A70&lt;'Données projet'!$A$62,$AF$205^A70,IF(A70='Données projet'!$A$62,'Données projet'!$B$62,AI69+AH70-AQ69)))</f>
        <v>350.39999999999969</v>
      </c>
      <c r="AJ70" s="13">
        <f>AI70*VLOOKUP('Données projet'!$B$10,Paramètres!$A$1:$I$89,3,0)*VLOOKUP('Données projet'!$B$10,Paramètres!$A$1:$I$89,5,0)</f>
        <v>278.77823999999976</v>
      </c>
      <c r="AK70" s="13">
        <f t="shared" si="89"/>
        <v>66.70875019643654</v>
      </c>
      <c r="AL70" s="20">
        <f t="shared" si="58"/>
        <v>601.7231745921265</v>
      </c>
      <c r="AM70" s="59">
        <f t="shared" si="59"/>
        <v>895.05650792545975</v>
      </c>
      <c r="AN70" s="59">
        <f ca="1">AVERAGE(OFFSET($AM$3,0,0,'Données projet'!$E$10+1,1))-AVERAGE(OFFSET($H$3,0,0,'Données projet'!$E$10+1,1))</f>
        <v>405.40026823646758</v>
      </c>
      <c r="AO70" s="59">
        <f t="shared" si="90"/>
        <v>393.0787141050053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56.82442735661192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56.82442735661192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739.99999999999966</v>
      </c>
      <c r="BE70" s="13">
        <f>BD70*VLOOKUP('Données projet'!$B$11,Paramètres!$A$1:$I$89,3,0)*VLOOKUP('Données projet'!$B$11,Paramètres!$A$1:$I$89,5,0)</f>
        <v>413.65999999999985</v>
      </c>
      <c r="BF70" s="13">
        <f t="shared" si="91"/>
        <v>94.540585122244352</v>
      </c>
      <c r="BG70" s="20">
        <f t="shared" si="61"/>
        <v>885.11601908790863</v>
      </c>
      <c r="BH70" s="59">
        <f t="shared" si="62"/>
        <v>1178.4493524212419</v>
      </c>
      <c r="BI70" s="59">
        <f ca="1">AVERAGE(OFFSET($BH$3,0,0,'Données projet'!$E$11+1,1))-AVERAGE(OFFSET($H$3,0,0,'Données projet'!$E$11+1,1))</f>
        <v>555.15881087162279</v>
      </c>
      <c r="BJ70" s="59">
        <f t="shared" si="92"/>
        <v>668.20427590250733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107.50958691404622</v>
      </c>
      <c r="BQ70" s="21">
        <f>EXP(-LN(2)/25)*BQ69+(1-EXP(-LN(2)/25))/(LN(2)/25)*Calculateur!BL70*Calculateur!BN70*VLOOKUP('Données projet'!$B$11,Paramètres!$A$1:$I$89,3,0)*0.475*44/12</f>
        <v>20.714076490738563</v>
      </c>
      <c r="BR70" s="21">
        <f>EXP(-LN(2)/2)*BR69+(1-EXP(-LN(2)/2))/(LN(2)/2)*BL70*BO70*VLOOKUP('Données projet'!$B$11,Paramètres!$A$1:$I$89,3,0)*0.475*44/12</f>
        <v>2.2940923916145972E-6</v>
      </c>
      <c r="BS70" s="22">
        <f t="shared" si="63"/>
        <v>128.22366569887717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350.39999999999969</v>
      </c>
      <c r="BZ70" s="13">
        <f>BY70*VLOOKUP('Données projet'!$B$12,Paramètres!$A$1:$I$89,3,0)*VLOOKUP('Données projet'!$B$12,Paramètres!$A$1:$I$89,5,0)</f>
        <v>229.58207999999979</v>
      </c>
      <c r="CA70" s="13">
        <f t="shared" si="93"/>
        <v>56.192307893526412</v>
      </c>
      <c r="CB70" s="20">
        <f t="shared" si="64"/>
        <v>497.72372558122476</v>
      </c>
      <c r="CC70" s="59">
        <f t="shared" si="65"/>
        <v>791.05705891455807</v>
      </c>
      <c r="CD70" s="59">
        <f ca="1">AVERAGE(OFFSET($CC$3,0,0,'Données projet'!$E$12+1,1))-AVERAGE(OFFSET($H$3,0,0,'Données projet'!$E$12+1,1))</f>
        <v>340.49092994349405</v>
      </c>
      <c r="CE70" s="59">
        <f t="shared" si="94"/>
        <v>331.54434271908832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37.967042473563119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37.967042473563119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8.1999999999999993</v>
      </c>
      <c r="CT70" s="12">
        <f>IF('Données projet'!$A$140&gt;35,CT69+CS70-DB69,IF(A70&lt;'Données projet'!$A$140,$CQ$205^A70,IF(A70='Données projet'!$A$140,'Données projet'!$B$140,CT69+CS70-DB69)))</f>
        <v>277.39999999999998</v>
      </c>
      <c r="CU70" s="17">
        <f>CT70*VLOOKUP('Données projet'!$B$13,Paramètres!$A$1:$I$89,3,0)*VLOOKUP('Données projet'!$B$13,Paramètres!$A$1:$I$89,5,0)</f>
        <v>250.99151999999995</v>
      </c>
      <c r="CV70" s="13">
        <f t="shared" si="95"/>
        <v>60.798211000769406</v>
      </c>
      <c r="CW70" s="20">
        <f t="shared" si="67"/>
        <v>543.03378149300659</v>
      </c>
      <c r="CX70" s="59">
        <f t="shared" si="68"/>
        <v>836.36711482633996</v>
      </c>
      <c r="CY70" s="59">
        <f ca="1">AVERAGE(OFFSET($CX$3,0,0,'Données projet'!$E$13+1,1))-AVERAGE(OFFSET($H$3,0,0,'Données projet'!$E$13+1,1))</f>
        <v>439.19854273764042</v>
      </c>
      <c r="CZ70" s="59">
        <f t="shared" si="96"/>
        <v>278.21741231699929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61.389173330354531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61.389173330354531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8.1999999999999993</v>
      </c>
      <c r="DO70" s="12">
        <f>IF('Données projet'!$A$166&gt;35,DO69+DN70-DW69,IF(A70&lt;'Données projet'!$A$166,$DL$205^A70,IF(A70='Données projet'!$A$166,'Données projet'!$B$166,DO69+DN70-DW69)))</f>
        <v>277.39999999999998</v>
      </c>
      <c r="DP70" s="17">
        <f>DO70*VLOOKUP('Données projet'!$B$14,Paramètres!$A$1:$I$89,3,0)*VLOOKUP('Données projet'!$B$14,Paramètres!$A$1:$I$89,5,0)</f>
        <v>233.68176</v>
      </c>
      <c r="DQ70" s="13">
        <f t="shared" si="97"/>
        <v>57.078026837098335</v>
      </c>
      <c r="DR70" s="20">
        <f t="shared" si="70"/>
        <v>506.40662874127952</v>
      </c>
      <c r="DS70" s="59">
        <f t="shared" si="71"/>
        <v>799.73996207461278</v>
      </c>
      <c r="DT70" s="59">
        <f ca="1">AVERAGE(OFFSET($DS$3,0,0,'Données projet'!$E$14+1,1))-AVERAGE(OFFSET($H$3,0,0,'Données projet'!$E$14+1,1))</f>
        <v>411.72284844766</v>
      </c>
      <c r="DU70" s="59">
        <f t="shared" si="98"/>
        <v>261.95434270986397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57.155437238605955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57.155437238605955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636.99999999999977</v>
      </c>
      <c r="EK70" s="17">
        <f>EJ70*VLOOKUP('Données projet'!$B$15,Paramètres!$A$1:$I$89,3,0)*VLOOKUP('Données projet'!$B$15,Paramètres!$A$1:$I$89,5,0)</f>
        <v>356.08299999999991</v>
      </c>
      <c r="EL70" s="13">
        <f t="shared" si="99"/>
        <v>82.813805255716545</v>
      </c>
      <c r="EM70" s="20">
        <f t="shared" si="73"/>
        <v>764.41193582037283</v>
      </c>
      <c r="EN70" s="59">
        <f t="shared" si="74"/>
        <v>1057.7452691537062</v>
      </c>
      <c r="EO70" s="59">
        <f ca="1">AVERAGE(OFFSET($EN$3,0,0,'Données projet'!$E$15+1,1))-AVERAGE(OFFSET($H$3,0,0,'Données projet'!$E$15+1,1))</f>
        <v>443.34220761968419</v>
      </c>
      <c r="EP70" s="59">
        <f t="shared" si="100"/>
        <v>546.58234447298014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85.079446877600262</v>
      </c>
      <c r="EW70" s="21">
        <f>EXP(-LN(2)/25)*EW69+(1-EXP(-LN(2)/25))/(LN(2)/25)*Calculateur!ER70*Calculateur!ET70*VLOOKUP('Données projet'!$B$15,Paramètres!$A$1:$I$89,3,0)*0.475*44/12</f>
        <v>7.8642780838823709</v>
      </c>
      <c r="EX70" s="21">
        <f>EXP(-LN(2)/2)*EX69+(1-EXP(-LN(2)/2))/(LN(2)/2)*ER70*EU70*VLOOKUP('Données projet'!$B$15,Paramètres!$A$1:$I$89,3,0)*0.475*44/12</f>
        <v>1.6297132555548626E-5</v>
      </c>
      <c r="EY70" s="22">
        <f t="shared" si="75"/>
        <v>92.943741258615191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224.00000000000006</v>
      </c>
      <c r="O71" s="13">
        <f>N71*VLOOKUP('Données projet'!$B$9,Paramètres!$A$1:$I$89,3,0)*VLOOKUP('Données projet'!$B$9,Paramètres!$A$1:$I$89,5,0)</f>
        <v>195.68640000000008</v>
      </c>
      <c r="P71" s="13">
        <f t="shared" si="87"/>
        <v>48.794969360985156</v>
      </c>
      <c r="Q71" s="20">
        <f t="shared" si="54"/>
        <v>425.8050516370493</v>
      </c>
      <c r="R71" s="59">
        <f t="shared" si="55"/>
        <v>719.13838497038262</v>
      </c>
      <c r="S71" s="59">
        <f ca="1">AVERAGE(OFFSET($R$3,0,0,'Données projet'!$E$9+1,1))-AVERAGE(OFFSET($H$3,0,0,'Données projet'!$E$9+1,1))</f>
        <v>304.32767345253382</v>
      </c>
      <c r="T71" s="59">
        <f t="shared" si="88"/>
        <v>427.16091343339173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53.786627747505932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53.786627747505932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5.2</v>
      </c>
      <c r="AI71" s="13">
        <f>IF('Données projet'!$A$62&gt;35,AI70+AH71-AQ70,IF(A71&lt;'Données projet'!$A$62,$AF$205^A71,IF(A71='Données projet'!$A$62,'Données projet'!$B$62,AI70+AH71-AQ70)))</f>
        <v>355.59999999999968</v>
      </c>
      <c r="AJ71" s="13">
        <f>AI71*VLOOKUP('Données projet'!$B$10,Paramètres!$A$1:$I$89,3,0)*VLOOKUP('Données projet'!$B$10,Paramètres!$A$1:$I$89,5,0)</f>
        <v>282.91535999999979</v>
      </c>
      <c r="AK71" s="13">
        <f t="shared" si="89"/>
        <v>67.582736351531807</v>
      </c>
      <c r="AL71" s="20">
        <f t="shared" si="58"/>
        <v>610.45085114558412</v>
      </c>
      <c r="AM71" s="59">
        <f t="shared" si="59"/>
        <v>903.7841844789175</v>
      </c>
      <c r="AN71" s="59">
        <f ca="1">AVERAGE(OFFSET($AM$3,0,0,'Données projet'!$E$10+1,1))-AVERAGE(OFFSET($H$3,0,0,'Données projet'!$E$10+1,1))</f>
        <v>405.40026823646758</v>
      </c>
      <c r="AO71" s="59">
        <f t="shared" si="90"/>
        <v>393.0787141050053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55.710134995627108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55.710134995627108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739.99999999999966</v>
      </c>
      <c r="BE71" s="13">
        <f>BD71*VLOOKUP('Données projet'!$B$11,Paramètres!$A$1:$I$89,3,0)*VLOOKUP('Données projet'!$B$11,Paramètres!$A$1:$I$89,5,0)</f>
        <v>413.65999999999985</v>
      </c>
      <c r="BF71" s="13">
        <f t="shared" si="91"/>
        <v>94.540585122244352</v>
      </c>
      <c r="BG71" s="20">
        <f t="shared" si="61"/>
        <v>885.11601908790863</v>
      </c>
      <c r="BH71" s="59">
        <f t="shared" si="62"/>
        <v>1178.4493524212419</v>
      </c>
      <c r="BI71" s="59">
        <f ca="1">AVERAGE(OFFSET($BH$3,0,0,'Données projet'!$E$11+1,1))-AVERAGE(OFFSET($H$3,0,0,'Données projet'!$E$11+1,1))</f>
        <v>555.15881087162279</v>
      </c>
      <c r="BJ71" s="59">
        <f t="shared" si="92"/>
        <v>668.20427590250733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105.40138948903487</v>
      </c>
      <c r="BQ71" s="21">
        <f>EXP(-LN(2)/25)*BQ70+(1-EXP(-LN(2)/25))/(LN(2)/25)*Calculateur!BL71*Calculateur!BN71*VLOOKUP('Données projet'!$B$11,Paramètres!$A$1:$I$89,3,0)*0.475*44/12</f>
        <v>20.147648979793377</v>
      </c>
      <c r="BR71" s="21">
        <f>EXP(-LN(2)/2)*BR70+(1-EXP(-LN(2)/2))/(LN(2)/2)*BL71*BO71*VLOOKUP('Données projet'!$B$11,Paramètres!$A$1:$I$89,3,0)*0.475*44/12</f>
        <v>1.6221682867791465E-6</v>
      </c>
      <c r="BS71" s="22">
        <f t="shared" si="63"/>
        <v>125.54904009099653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355.59999999999968</v>
      </c>
      <c r="BZ71" s="13">
        <f>BY71*VLOOKUP('Données projet'!$B$12,Paramètres!$A$1:$I$89,3,0)*VLOOKUP('Données projet'!$B$12,Paramètres!$A$1:$I$89,5,0)</f>
        <v>232.98911999999979</v>
      </c>
      <c r="CA71" s="13">
        <f t="shared" si="93"/>
        <v>56.928512648932127</v>
      </c>
      <c r="CB71" s="20">
        <f t="shared" si="64"/>
        <v>504.93987686355644</v>
      </c>
      <c r="CC71" s="59">
        <f t="shared" si="65"/>
        <v>798.27321019688975</v>
      </c>
      <c r="CD71" s="59">
        <f ca="1">AVERAGE(OFFSET($CC$3,0,0,'Données projet'!$E$12+1,1))-AVERAGE(OFFSET($H$3,0,0,'Données projet'!$E$12+1,1))</f>
        <v>340.49092994349405</v>
      </c>
      <c r="CE71" s="59">
        <f t="shared" si="94"/>
        <v>331.54434271908832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37.22253192826583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37.22253192826583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8.1999999999999993</v>
      </c>
      <c r="CT71" s="12">
        <f>IF('Données projet'!$A$140&gt;35,CT70+CS71-DB70,IF(A71&lt;'Données projet'!$A$140,$CQ$205^A71,IF(A71='Données projet'!$A$140,'Données projet'!$B$140,CT70+CS71-DB70)))</f>
        <v>285.59999999999997</v>
      </c>
      <c r="CU71" s="17">
        <f>CT71*VLOOKUP('Données projet'!$B$13,Paramètres!$A$1:$I$89,3,0)*VLOOKUP('Données projet'!$B$13,Paramètres!$A$1:$I$89,5,0)</f>
        <v>258.41087999999996</v>
      </c>
      <c r="CV71" s="13">
        <f t="shared" si="95"/>
        <v>62.383521020316756</v>
      </c>
      <c r="CW71" s="20">
        <f t="shared" si="67"/>
        <v>558.71691511038489</v>
      </c>
      <c r="CX71" s="59">
        <f t="shared" si="68"/>
        <v>852.05024844371815</v>
      </c>
      <c r="CY71" s="59">
        <f ca="1">AVERAGE(OFFSET($CX$3,0,0,'Données projet'!$E$13+1,1))-AVERAGE(OFFSET($H$3,0,0,'Données projet'!$E$13+1,1))</f>
        <v>439.19854273764042</v>
      </c>
      <c r="CZ71" s="59">
        <f t="shared" si="96"/>
        <v>278.21741231699929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60.185369085044755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60.185369085044755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8.1999999999999993</v>
      </c>
      <c r="DO71" s="12">
        <f>IF('Données projet'!$A$166&gt;35,DO70+DN71-DW70,IF(A71&lt;'Données projet'!$A$166,$DL$205^A71,IF(A71='Données projet'!$A$166,'Données projet'!$B$166,DO70+DN71-DW70)))</f>
        <v>285.59999999999997</v>
      </c>
      <c r="DP71" s="17">
        <f>DO71*VLOOKUP('Données projet'!$B$14,Paramètres!$A$1:$I$89,3,0)*VLOOKUP('Données projet'!$B$14,Paramètres!$A$1:$I$89,5,0)</f>
        <v>240.58944</v>
      </c>
      <c r="DQ71" s="13">
        <f t="shared" si="97"/>
        <v>58.56633325847811</v>
      </c>
      <c r="DR71" s="20">
        <f t="shared" si="70"/>
        <v>521.02963842518272</v>
      </c>
      <c r="DS71" s="59">
        <f t="shared" si="71"/>
        <v>814.3629717585161</v>
      </c>
      <c r="DT71" s="59">
        <f ca="1">AVERAGE(OFFSET($DS$3,0,0,'Données projet'!$E$14+1,1))-AVERAGE(OFFSET($H$3,0,0,'Données projet'!$E$14+1,1))</f>
        <v>411.72284844766</v>
      </c>
      <c r="DU71" s="59">
        <f t="shared" si="98"/>
        <v>261.95434270986397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56.034653975731331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56.034653975731331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636.99999999999977</v>
      </c>
      <c r="EK71" s="17">
        <f>EJ71*VLOOKUP('Données projet'!$B$15,Paramètres!$A$1:$I$89,3,0)*VLOOKUP('Données projet'!$B$15,Paramètres!$A$1:$I$89,5,0)</f>
        <v>356.08299999999991</v>
      </c>
      <c r="EL71" s="13">
        <f t="shared" si="99"/>
        <v>82.813805255716545</v>
      </c>
      <c r="EM71" s="20">
        <f t="shared" si="73"/>
        <v>764.41193582037283</v>
      </c>
      <c r="EN71" s="59">
        <f t="shared" si="74"/>
        <v>1057.7452691537062</v>
      </c>
      <c r="EO71" s="59">
        <f ca="1">AVERAGE(OFFSET($EN$3,0,0,'Données projet'!$E$15+1,1))-AVERAGE(OFFSET($H$3,0,0,'Données projet'!$E$15+1,1))</f>
        <v>443.34220761968419</v>
      </c>
      <c r="EP71" s="59">
        <f t="shared" si="100"/>
        <v>546.58234447298014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83.411090817669077</v>
      </c>
      <c r="EW71" s="21">
        <f>EXP(-LN(2)/25)*EW70+(1-EXP(-LN(2)/25))/(LN(2)/25)*Calculateur!ER71*Calculateur!ET71*VLOOKUP('Données projet'!$B$15,Paramètres!$A$1:$I$89,3,0)*0.475*44/12</f>
        <v>7.6492289861141973</v>
      </c>
      <c r="EX71" s="21">
        <f>EXP(-LN(2)/2)*EX70+(1-EXP(-LN(2)/2))/(LN(2)/2)*ER71*EU71*VLOOKUP('Données projet'!$B$15,Paramètres!$A$1:$I$89,3,0)*0.475*44/12</f>
        <v>1.1523812943924483E-5</v>
      </c>
      <c r="EY71" s="22">
        <f t="shared" si="75"/>
        <v>91.060331327596217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224.00000000000006</v>
      </c>
      <c r="O72" s="13">
        <f>N72*VLOOKUP('Données projet'!$B$9,Paramètres!$A$1:$I$89,3,0)*VLOOKUP('Données projet'!$B$9,Paramètres!$A$1:$I$89,5,0)</f>
        <v>195.68640000000008</v>
      </c>
      <c r="P72" s="13">
        <f t="shared" si="87"/>
        <v>48.794969360985156</v>
      </c>
      <c r="Q72" s="20">
        <f t="shared" si="54"/>
        <v>425.8050516370493</v>
      </c>
      <c r="R72" s="59">
        <f t="shared" si="55"/>
        <v>719.13838497038262</v>
      </c>
      <c r="S72" s="59">
        <f ca="1">AVERAGE(OFFSET($R$3,0,0,'Données projet'!$E$9+1,1))-AVERAGE(OFFSET($H$3,0,0,'Données projet'!$E$9+1,1))</f>
        <v>304.32767345253382</v>
      </c>
      <c r="T72" s="59">
        <f t="shared" si="88"/>
        <v>427.16091343339173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52.73190478398088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52.73190478398088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5.2</v>
      </c>
      <c r="AI72" s="13">
        <f>IF('Données projet'!$A$62&gt;35,AI71+AH72-AQ71,IF(A72&lt;'Données projet'!$A$62,$AF$205^A72,IF(A72='Données projet'!$A$62,'Données projet'!$B$62,AI71+AH72-AQ71)))</f>
        <v>360.79999999999967</v>
      </c>
      <c r="AJ72" s="13">
        <f>AI72*VLOOKUP('Données projet'!$B$10,Paramètres!$A$1:$I$89,3,0)*VLOOKUP('Données projet'!$B$10,Paramètres!$A$1:$I$89,5,0)</f>
        <v>287.05247999999978</v>
      </c>
      <c r="AK72" s="13">
        <f t="shared" si="89"/>
        <v>68.455236071606535</v>
      </c>
      <c r="AL72" s="20">
        <f t="shared" si="58"/>
        <v>619.17593882471431</v>
      </c>
      <c r="AM72" s="59">
        <f t="shared" si="59"/>
        <v>912.50927215804768</v>
      </c>
      <c r="AN72" s="59">
        <f ca="1">AVERAGE(OFFSET($AM$3,0,0,'Données projet'!$E$10+1,1))-AVERAGE(OFFSET($H$3,0,0,'Données projet'!$E$10+1,1))</f>
        <v>405.40026823646758</v>
      </c>
      <c r="AO72" s="59">
        <f t="shared" si="90"/>
        <v>393.0787141050053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54.617693228189978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54.617693228189978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739.99999999999966</v>
      </c>
      <c r="BE72" s="13">
        <f>BD72*VLOOKUP('Données projet'!$B$11,Paramètres!$A$1:$I$89,3,0)*VLOOKUP('Données projet'!$B$11,Paramètres!$A$1:$I$89,5,0)</f>
        <v>413.65999999999985</v>
      </c>
      <c r="BF72" s="13">
        <f t="shared" si="91"/>
        <v>94.540585122244352</v>
      </c>
      <c r="BG72" s="20">
        <f t="shared" si="61"/>
        <v>885.11601908790863</v>
      </c>
      <c r="BH72" s="59">
        <f t="shared" si="62"/>
        <v>1178.4493524212419</v>
      </c>
      <c r="BI72" s="59">
        <f ca="1">AVERAGE(OFFSET($BH$3,0,0,'Données projet'!$E$11+1,1))-AVERAGE(OFFSET($H$3,0,0,'Données projet'!$E$11+1,1))</f>
        <v>555.15881087162279</v>
      </c>
      <c r="BJ72" s="59">
        <f t="shared" si="92"/>
        <v>668.20427590250733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103.33453252965452</v>
      </c>
      <c r="BQ72" s="21">
        <f>EXP(-LN(2)/25)*BQ71+(1-EXP(-LN(2)/25))/(LN(2)/25)*Calculateur!BL72*Calculateur!BN72*VLOOKUP('Données projet'!$B$11,Paramètres!$A$1:$I$89,3,0)*0.475*44/12</f>
        <v>19.596710458922114</v>
      </c>
      <c r="BR72" s="21">
        <f>EXP(-LN(2)/2)*BR71+(1-EXP(-LN(2)/2))/(LN(2)/2)*BL72*BO72*VLOOKUP('Données projet'!$B$11,Paramètres!$A$1:$I$89,3,0)*0.475*44/12</f>
        <v>1.1470461958072986E-6</v>
      </c>
      <c r="BS72" s="22">
        <f t="shared" si="63"/>
        <v>122.93124413562283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360.79999999999967</v>
      </c>
      <c r="BZ72" s="13">
        <f>BY72*VLOOKUP('Données projet'!$B$12,Paramètres!$A$1:$I$89,3,0)*VLOOKUP('Données projet'!$B$12,Paramètres!$A$1:$I$89,5,0)</f>
        <v>236.39615999999978</v>
      </c>
      <c r="CA72" s="13">
        <f t="shared" si="93"/>
        <v>57.663465301516489</v>
      </c>
      <c r="CB72" s="20">
        <f t="shared" si="64"/>
        <v>512.15384740014088</v>
      </c>
      <c r="CC72" s="59">
        <f t="shared" si="65"/>
        <v>805.48718073347413</v>
      </c>
      <c r="CD72" s="59">
        <f ca="1">AVERAGE(OFFSET($CC$3,0,0,'Données projet'!$E$12+1,1))-AVERAGE(OFFSET($H$3,0,0,'Données projet'!$E$12+1,1))</f>
        <v>340.49092994349405</v>
      </c>
      <c r="CE72" s="59">
        <f t="shared" si="94"/>
        <v>331.54434271908832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36.49262078065523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36.49262078065523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8.1999999999999993</v>
      </c>
      <c r="CT72" s="12">
        <f>IF('Données projet'!$A$140&gt;35,CT71+CS72-DB71,IF(A72&lt;'Données projet'!$A$140,$CQ$205^A72,IF(A72='Données projet'!$A$140,'Données projet'!$B$140,CT71+CS72-DB71)))</f>
        <v>293.79999999999995</v>
      </c>
      <c r="CU72" s="17">
        <f>CT72*VLOOKUP('Données projet'!$B$13,Paramètres!$A$1:$I$89,3,0)*VLOOKUP('Données projet'!$B$13,Paramètres!$A$1:$I$89,5,0)</f>
        <v>265.83023999999995</v>
      </c>
      <c r="CV72" s="13">
        <f t="shared" si="95"/>
        <v>63.963540982526439</v>
      </c>
      <c r="CW72" s="20">
        <f t="shared" si="67"/>
        <v>574.39083521123348</v>
      </c>
      <c r="CX72" s="59">
        <f t="shared" si="68"/>
        <v>867.72416854456674</v>
      </c>
      <c r="CY72" s="59">
        <f ca="1">AVERAGE(OFFSET($CX$3,0,0,'Données projet'!$E$13+1,1))-AVERAGE(OFFSET($H$3,0,0,'Données projet'!$E$13+1,1))</f>
        <v>439.19854273764042</v>
      </c>
      <c r="CZ72" s="59">
        <f t="shared" si="96"/>
        <v>278.21741231699929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59.00517070673741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59.00517070673741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8.1999999999999993</v>
      </c>
      <c r="DO72" s="12">
        <f>IF('Données projet'!$A$166&gt;35,DO71+DN72-DW71,IF(A72&lt;'Données projet'!$A$166,$DL$205^A72,IF(A72='Données projet'!$A$166,'Données projet'!$B$166,DO71+DN72-DW71)))</f>
        <v>293.79999999999995</v>
      </c>
      <c r="DP72" s="17">
        <f>DO72*VLOOKUP('Données projet'!$B$14,Paramètres!$A$1:$I$89,3,0)*VLOOKUP('Données projet'!$B$14,Paramètres!$A$1:$I$89,5,0)</f>
        <v>247.49712</v>
      </c>
      <c r="DQ72" s="13">
        <f t="shared" si="97"/>
        <v>60.049673316050104</v>
      </c>
      <c r="DR72" s="20">
        <f t="shared" si="70"/>
        <v>535.64399835878714</v>
      </c>
      <c r="DS72" s="59">
        <f t="shared" si="71"/>
        <v>828.97733169212052</v>
      </c>
      <c r="DT72" s="59">
        <f ca="1">AVERAGE(OFFSET($DS$3,0,0,'Données projet'!$E$14+1,1))-AVERAGE(OFFSET($H$3,0,0,'Données projet'!$E$14+1,1))</f>
        <v>411.72284844766</v>
      </c>
      <c r="DU72" s="59">
        <f t="shared" si="98"/>
        <v>261.95434270986397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54.935848589031387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54.935848589031387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636.99999999999977</v>
      </c>
      <c r="EK72" s="17">
        <f>EJ72*VLOOKUP('Données projet'!$B$15,Paramètres!$A$1:$I$89,3,0)*VLOOKUP('Données projet'!$B$15,Paramètres!$A$1:$I$89,5,0)</f>
        <v>356.08299999999991</v>
      </c>
      <c r="EL72" s="13">
        <f t="shared" si="99"/>
        <v>82.813805255716545</v>
      </c>
      <c r="EM72" s="20">
        <f t="shared" si="73"/>
        <v>764.41193582037283</v>
      </c>
      <c r="EN72" s="59">
        <f t="shared" si="74"/>
        <v>1057.7452691537062</v>
      </c>
      <c r="EO72" s="59">
        <f ca="1">AVERAGE(OFFSET($EN$3,0,0,'Données projet'!$E$15+1,1))-AVERAGE(OFFSET($H$3,0,0,'Données projet'!$E$15+1,1))</f>
        <v>443.34220761968419</v>
      </c>
      <c r="EP72" s="59">
        <f t="shared" si="100"/>
        <v>546.58234447298014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81.775450202476421</v>
      </c>
      <c r="EW72" s="21">
        <f>EXP(-LN(2)/25)*EW71+(1-EXP(-LN(2)/25))/(LN(2)/25)*Calculateur!ER72*Calculateur!ET72*VLOOKUP('Données projet'!$B$15,Paramètres!$A$1:$I$89,3,0)*0.475*44/12</f>
        <v>7.4400604172334344</v>
      </c>
      <c r="EX72" s="21">
        <f>EXP(-LN(2)/2)*EX71+(1-EXP(-LN(2)/2))/(LN(2)/2)*ER72*EU72*VLOOKUP('Données projet'!$B$15,Paramètres!$A$1:$I$89,3,0)*0.475*44/12</f>
        <v>8.1485662777743132E-6</v>
      </c>
      <c r="EY72" s="22">
        <f t="shared" si="75"/>
        <v>89.215518768276141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224.00000000000006</v>
      </c>
      <c r="O73" s="13">
        <f>N73*VLOOKUP('Données projet'!$B$9,Paramètres!$A$1:$I$89,3,0)*VLOOKUP('Données projet'!$B$9,Paramètres!$A$1:$I$89,5,0)</f>
        <v>195.68640000000008</v>
      </c>
      <c r="P73" s="13">
        <f t="shared" si="87"/>
        <v>48.794969360985156</v>
      </c>
      <c r="Q73" s="20">
        <f t="shared" si="54"/>
        <v>425.8050516370493</v>
      </c>
      <c r="R73" s="59">
        <f t="shared" si="55"/>
        <v>719.13838497038262</v>
      </c>
      <c r="S73" s="59">
        <f ca="1">AVERAGE(OFFSET($R$3,0,0,'Données projet'!$E$9+1,1))-AVERAGE(OFFSET($H$3,0,0,'Données projet'!$E$9+1,1))</f>
        <v>304.32767345253382</v>
      </c>
      <c r="T73" s="59">
        <f t="shared" si="88"/>
        <v>427.16091343339173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51.697864294453076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51.697864294453076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366</v>
      </c>
      <c r="AG73" s="12">
        <f>VLOOKUP(A73,'Données projet'!$A$61:$I$81,9,0)</f>
        <v>5.2</v>
      </c>
      <c r="AH73" s="12">
        <f t="array" ref="AH73">INDEX(AG:AG,MIN(IF(ISNUMBER(AG73:AG269),ROW(AG73:AG269),"")))</f>
        <v>5.2</v>
      </c>
      <c r="AI73" s="13">
        <f>IF('Données projet'!$A$62&gt;35,AI72+AH73-AQ72,IF(A73&lt;'Données projet'!$A$62,$AF$205^A73,IF(A73='Données projet'!$A$62,'Données projet'!$B$62,AI72+AH73-AQ72)))</f>
        <v>365.99999999999966</v>
      </c>
      <c r="AJ73" s="13">
        <f>AI73*VLOOKUP('Données projet'!$B$10,Paramètres!$A$1:$I$89,3,0)*VLOOKUP('Données projet'!$B$10,Paramètres!$A$1:$I$89,5,0)</f>
        <v>291.18959999999976</v>
      </c>
      <c r="AK73" s="13">
        <f t="shared" si="89"/>
        <v>69.326273255048633</v>
      </c>
      <c r="AL73" s="20">
        <f t="shared" si="58"/>
        <v>627.89847925254264</v>
      </c>
      <c r="AM73" s="59">
        <f t="shared" si="59"/>
        <v>921.23181258587601</v>
      </c>
      <c r="AN73" s="59">
        <f ca="1">AVERAGE(OFFSET($AM$3,0,0,'Données projet'!$E$10+1,1))-AVERAGE(OFFSET($H$3,0,0,'Données projet'!$E$10+1,1))</f>
        <v>405.40026823646758</v>
      </c>
      <c r="AO73" s="59">
        <f t="shared" si="90"/>
        <v>393.0787141050053</v>
      </c>
      <c r="AP73" s="15">
        <f>IF(ISNA(VLOOKUP(A73,'Données projet'!$A$61:$I$81,3,0)),0,VLOOKUP(A73,'Données projet'!$A$61:$I$81,3,0))</f>
        <v>13</v>
      </c>
      <c r="AQ73" s="15">
        <f>IF(ISNA(VLOOKUP(A73,'Données projet'!$A$61:$I$81,4,0)),0,VLOOKUP(A73,'Données projet'!$A$61:$I$81,4,0))</f>
        <v>15</v>
      </c>
      <c r="AR73" s="16">
        <f>IF(ISNA(VLOOKUP(A73,'Données projet'!$A$61:$I$81,5,0)),0%,VLOOKUP(A73,'Données projet'!$A$61:$I$81,5,0)*VLOOKUP('Données projet'!$B$10,Paramètres!$A$1:$I$89,7,0))</f>
        <v>0.53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60.538795837442109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60.538795837442109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739.99999999999966</v>
      </c>
      <c r="BE73" s="13">
        <f>BD73*VLOOKUP('Données projet'!$B$11,Paramètres!$A$1:$I$89,3,0)*VLOOKUP('Données projet'!$B$11,Paramètres!$A$1:$I$89,5,0)</f>
        <v>413.65999999999985</v>
      </c>
      <c r="BF73" s="13">
        <f t="shared" si="91"/>
        <v>94.540585122244352</v>
      </c>
      <c r="BG73" s="20">
        <f t="shared" si="61"/>
        <v>885.11601908790863</v>
      </c>
      <c r="BH73" s="59">
        <f t="shared" si="62"/>
        <v>1178.4493524212419</v>
      </c>
      <c r="BI73" s="59">
        <f ca="1">AVERAGE(OFFSET($BH$3,0,0,'Données projet'!$E$11+1,1))-AVERAGE(OFFSET($H$3,0,0,'Données projet'!$E$11+1,1))</f>
        <v>555.15881087162279</v>
      </c>
      <c r="BJ73" s="59">
        <f t="shared" si="92"/>
        <v>668.20427590250733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101.30820537458936</v>
      </c>
      <c r="BQ73" s="21">
        <f>EXP(-LN(2)/25)*BQ72+(1-EXP(-LN(2)/25))/(LN(2)/25)*Calculateur!BL73*Calculateur!BN73*VLOOKUP('Données projet'!$B$11,Paramètres!$A$1:$I$89,3,0)*0.475*44/12</f>
        <v>19.060837380876674</v>
      </c>
      <c r="BR73" s="21">
        <f>EXP(-LN(2)/2)*BR72+(1-EXP(-LN(2)/2))/(LN(2)/2)*BL73*BO73*VLOOKUP('Données projet'!$B$11,Paramètres!$A$1:$I$89,3,0)*0.475*44/12</f>
        <v>8.1108414338957324E-7</v>
      </c>
      <c r="BS73" s="22">
        <f t="shared" si="63"/>
        <v>120.36904356655019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366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365.99999999999966</v>
      </c>
      <c r="BZ73" s="13">
        <f>BY73*VLOOKUP('Données projet'!$B$12,Paramètres!$A$1:$I$89,3,0)*VLOOKUP('Données projet'!$B$12,Paramètres!$A$1:$I$89,5,0)</f>
        <v>239.80319999999978</v>
      </c>
      <c r="CA73" s="13">
        <f t="shared" si="93"/>
        <v>58.397185982155214</v>
      </c>
      <c r="CB73" s="20">
        <f t="shared" si="64"/>
        <v>519.36567225225326</v>
      </c>
      <c r="CC73" s="59">
        <f t="shared" si="65"/>
        <v>812.69900558558652</v>
      </c>
      <c r="CD73" s="59">
        <f ca="1">AVERAGE(OFFSET($CC$3,0,0,'Données projet'!$E$12+1,1))-AVERAGE(OFFSET($H$3,0,0,'Données projet'!$E$12+1,1))</f>
        <v>340.49092994349405</v>
      </c>
      <c r="CE73" s="59">
        <f t="shared" si="94"/>
        <v>331.54434271908832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15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40.448784788168858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40.448784788168858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302</v>
      </c>
      <c r="CR73" s="12">
        <f>VLOOKUP(A73,'Données projet'!$A$139:$I$159,9,0)</f>
        <v>8.1999999999999993</v>
      </c>
      <c r="CS73" s="12">
        <f t="array" ref="CS73">INDEX(CR:CR,MIN(IF(ISNUMBER(CR73:CR269),ROW(CR73:CR269),"")))</f>
        <v>8.1999999999999993</v>
      </c>
      <c r="CT73" s="12">
        <f>IF('Données projet'!$A$140&gt;35,CT72+CS73-DB72,IF(A73&lt;'Données projet'!$A$140,$CQ$205^A73,IF(A73='Données projet'!$A$140,'Données projet'!$B$140,CT72+CS73-DB72)))</f>
        <v>301.99999999999994</v>
      </c>
      <c r="CU73" s="17">
        <f>CT73*VLOOKUP('Données projet'!$B$13,Paramètres!$A$1:$I$89,3,0)*VLOOKUP('Données projet'!$B$13,Paramètres!$A$1:$I$89,5,0)</f>
        <v>273.24959999999999</v>
      </c>
      <c r="CV73" s="13">
        <f t="shared" si="95"/>
        <v>65.538435495514321</v>
      </c>
      <c r="CW73" s="20">
        <f t="shared" si="67"/>
        <v>590.05582848802067</v>
      </c>
      <c r="CX73" s="59">
        <f t="shared" si="68"/>
        <v>883.38916182135404</v>
      </c>
      <c r="CY73" s="59">
        <f ca="1">AVERAGE(OFFSET($CX$3,0,0,'Données projet'!$E$13+1,1))-AVERAGE(OFFSET($H$3,0,0,'Données projet'!$E$13+1,1))</f>
        <v>439.19854273764042</v>
      </c>
      <c r="CZ73" s="59">
        <f t="shared" si="96"/>
        <v>278.21741231699929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28</v>
      </c>
      <c r="DC73" s="16">
        <f>IF(ISNA(VLOOKUP(A73,'Données projet'!$A$139:$I$159,5,0)),0%,VLOOKUP(A73,'Données projet'!$A$139:$I$159,5,0)*VLOOKUP('Données projet'!$B$13,Paramètres!$A$1:$I$89,7,0))</f>
        <v>0.43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69.890879675571753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69.890879675571753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302</v>
      </c>
      <c r="DM73" s="12">
        <f>VLOOKUP(A73,'Données projet'!$A$165:$I$185,9,0)</f>
        <v>8.1999999999999993</v>
      </c>
      <c r="DN73" s="12">
        <f t="array" ref="DN73">INDEX(DM:DM,MIN(IF(ISNUMBER(DM73:DM269),ROW(DM73:DM269),"")))</f>
        <v>8.1999999999999993</v>
      </c>
      <c r="DO73" s="12">
        <f>IF('Données projet'!$A$166&gt;35,DO72+DN73-DW72,IF(A73&lt;'Données projet'!$A$166,$DL$205^A73,IF(A73='Données projet'!$A$166,'Données projet'!$B$166,DO72+DN73-DW72)))</f>
        <v>301.99999999999994</v>
      </c>
      <c r="DP73" s="17">
        <f>DO73*VLOOKUP('Données projet'!$B$14,Paramètres!$A$1:$I$89,3,0)*VLOOKUP('Données projet'!$B$14,Paramètres!$A$1:$I$89,5,0)</f>
        <v>254.40479999999999</v>
      </c>
      <c r="DQ73" s="13">
        <f t="shared" si="97"/>
        <v>61.52820154571765</v>
      </c>
      <c r="DR73" s="20">
        <f t="shared" si="70"/>
        <v>550.24997769212484</v>
      </c>
      <c r="DS73" s="59">
        <f t="shared" si="71"/>
        <v>843.58331102545822</v>
      </c>
      <c r="DT73" s="59">
        <f ca="1">AVERAGE(OFFSET($DS$3,0,0,'Données projet'!$E$14+1,1))-AVERAGE(OFFSET($H$3,0,0,'Données projet'!$E$14+1,1))</f>
        <v>411.72284844766</v>
      </c>
      <c r="DU73" s="59">
        <f t="shared" si="98"/>
        <v>261.95434270986397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28</v>
      </c>
      <c r="DX73" s="16">
        <f>IF(ISNA(VLOOKUP(A73,'Données projet'!$A$165:$I$185,5,0)),0%,VLOOKUP(A73,'Données projet'!$A$165:$I$185,5,0)*VLOOKUP('Données projet'!$B$14,Paramètres!$A$1:$I$89,7,0))</f>
        <v>0.43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65.070819008290954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65.070819008290954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636.99999999999977</v>
      </c>
      <c r="EK73" s="17">
        <f>EJ73*VLOOKUP('Données projet'!$B$15,Paramètres!$A$1:$I$89,3,0)*VLOOKUP('Données projet'!$B$15,Paramètres!$A$1:$I$89,5,0)</f>
        <v>356.08299999999991</v>
      </c>
      <c r="EL73" s="13">
        <f t="shared" si="99"/>
        <v>82.813805255716545</v>
      </c>
      <c r="EM73" s="20">
        <f t="shared" si="73"/>
        <v>764.41193582037283</v>
      </c>
      <c r="EN73" s="59">
        <f t="shared" si="74"/>
        <v>1057.7452691537062</v>
      </c>
      <c r="EO73" s="59">
        <f ca="1">AVERAGE(OFFSET($EN$3,0,0,'Données projet'!$E$15+1,1))-AVERAGE(OFFSET($H$3,0,0,'Données projet'!$E$15+1,1))</f>
        <v>443.34220761968419</v>
      </c>
      <c r="EP73" s="59">
        <f t="shared" si="100"/>
        <v>546.58234447298014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80.17188350210543</v>
      </c>
      <c r="EW73" s="21">
        <f>EXP(-LN(2)/25)*EW72+(1-EXP(-LN(2)/25))/(LN(2)/25)*Calculateur!ER73*Calculateur!ET73*VLOOKUP('Données projet'!$B$15,Paramètres!$A$1:$I$89,3,0)*0.475*44/12</f>
        <v>7.2366115738684131</v>
      </c>
      <c r="EX73" s="21">
        <f>EXP(-LN(2)/2)*EX72+(1-EXP(-LN(2)/2))/(LN(2)/2)*ER73*EU73*VLOOKUP('Données projet'!$B$15,Paramètres!$A$1:$I$89,3,0)*0.475*44/12</f>
        <v>5.7619064719622414E-6</v>
      </c>
      <c r="EY73" s="22">
        <f t="shared" si="75"/>
        <v>87.408500837880325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224.00000000000006</v>
      </c>
      <c r="O74" s="13">
        <f>N74*VLOOKUP('Données projet'!$B$9,Paramètres!$A$1:$I$89,3,0)*VLOOKUP('Données projet'!$B$9,Paramètres!$A$1:$I$89,5,0)</f>
        <v>195.68640000000008</v>
      </c>
      <c r="P74" s="13">
        <f t="shared" si="87"/>
        <v>48.794969360985156</v>
      </c>
      <c r="Q74" s="20">
        <f t="shared" si="54"/>
        <v>425.8050516370493</v>
      </c>
      <c r="R74" s="59">
        <f t="shared" si="55"/>
        <v>719.13838497038262</v>
      </c>
      <c r="S74" s="59">
        <f ca="1">AVERAGE(OFFSET($R$3,0,0,'Données projet'!$E$9+1,1))-AVERAGE(OFFSET($H$3,0,0,'Données projet'!$E$9+1,1))</f>
        <v>304.32767345253382</v>
      </c>
      <c r="T74" s="59">
        <f t="shared" si="88"/>
        <v>427.16091343339173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50.684100708222488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50.684100708222488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4.8</v>
      </c>
      <c r="AI74" s="13">
        <f>IF('Données projet'!$A$62&gt;35,AI73+AH74-AQ73,IF(A74&lt;'Données projet'!$A$62,$AF$205^A74,IF(A74='Données projet'!$A$62,'Données projet'!$B$62,AI73+AH74-AQ73)))</f>
        <v>355.79999999999967</v>
      </c>
      <c r="AJ74" s="13">
        <f>AI74*VLOOKUP('Données projet'!$B$10,Paramètres!$A$1:$I$89,3,0)*VLOOKUP('Données projet'!$B$10,Paramètres!$A$1:$I$89,5,0)</f>
        <v>283.07447999999977</v>
      </c>
      <c r="AK74" s="13">
        <f t="shared" si="89"/>
        <v>67.616321363645156</v>
      </c>
      <c r="AL74" s="20">
        <f t="shared" si="58"/>
        <v>610.78647904168156</v>
      </c>
      <c r="AM74" s="59">
        <f t="shared" si="59"/>
        <v>904.11981237501482</v>
      </c>
      <c r="AN74" s="59">
        <f ca="1">AVERAGE(OFFSET($AM$3,0,0,'Données projet'!$E$10+1,1))-AVERAGE(OFFSET($H$3,0,0,'Données projet'!$E$10+1,1))</f>
        <v>405.40026823646758</v>
      </c>
      <c r="AO74" s="59">
        <f t="shared" si="90"/>
        <v>393.0787141050053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59.351666976089284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59.351666976089284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739.99999999999966</v>
      </c>
      <c r="BE74" s="13">
        <f>BD74*VLOOKUP('Données projet'!$B$11,Paramètres!$A$1:$I$89,3,0)*VLOOKUP('Données projet'!$B$11,Paramètres!$A$1:$I$89,5,0)</f>
        <v>413.65999999999985</v>
      </c>
      <c r="BF74" s="13">
        <f t="shared" si="91"/>
        <v>94.540585122244352</v>
      </c>
      <c r="BG74" s="20">
        <f t="shared" si="61"/>
        <v>885.11601908790863</v>
      </c>
      <c r="BH74" s="59">
        <f t="shared" si="62"/>
        <v>1178.4493524212419</v>
      </c>
      <c r="BI74" s="59">
        <f ca="1">AVERAGE(OFFSET($BH$3,0,0,'Données projet'!$E$11+1,1))-AVERAGE(OFFSET($H$3,0,0,'Données projet'!$E$11+1,1))</f>
        <v>555.15881087162279</v>
      </c>
      <c r="BJ74" s="59">
        <f t="shared" si="92"/>
        <v>668.20427590250733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99.321613259097504</v>
      </c>
      <c r="BQ74" s="21">
        <f>EXP(-LN(2)/25)*BQ73+(1-EXP(-LN(2)/25))/(LN(2)/25)*Calculateur!BL74*Calculateur!BN74*VLOOKUP('Données projet'!$B$11,Paramètres!$A$1:$I$89,3,0)*0.475*44/12</f>
        <v>18.539617780330726</v>
      </c>
      <c r="BR74" s="21">
        <f>EXP(-LN(2)/2)*BR73+(1-EXP(-LN(2)/2))/(LN(2)/2)*BL74*BO74*VLOOKUP('Données projet'!$B$11,Paramètres!$A$1:$I$89,3,0)*0.475*44/12</f>
        <v>5.7352309790364929E-7</v>
      </c>
      <c r="BS74" s="22">
        <f t="shared" si="63"/>
        <v>117.86123161295133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</v>
      </c>
      <c r="BY74" s="12">
        <f>IF('Données projet'!$A$114&gt;35,BY73+BX74-CG73,IF(A74&lt;'Données projet'!$A$114,$BV$205^A74,IF(A74='Données projet'!$A$114,'Données projet'!$B$114,BY73+BX74-CG73)))</f>
        <v>355.79999999999967</v>
      </c>
      <c r="BZ74" s="13">
        <f>BY74*VLOOKUP('Données projet'!$B$12,Paramètres!$A$1:$I$89,3,0)*VLOOKUP('Données projet'!$B$12,Paramètres!$A$1:$I$89,5,0)</f>
        <v>233.1201599999998</v>
      </c>
      <c r="CA74" s="13">
        <f t="shared" si="93"/>
        <v>56.956803080632973</v>
      </c>
      <c r="CB74" s="20">
        <f t="shared" si="64"/>
        <v>505.21737736543542</v>
      </c>
      <c r="CC74" s="59">
        <f t="shared" si="65"/>
        <v>798.55071069876874</v>
      </c>
      <c r="CD74" s="59">
        <f ca="1">AVERAGE(OFFSET($CC$3,0,0,'Données projet'!$E$12+1,1))-AVERAGE(OFFSET($H$3,0,0,'Données projet'!$E$12+1,1))</f>
        <v>340.49092994349405</v>
      </c>
      <c r="CE74" s="59">
        <f t="shared" si="94"/>
        <v>331.54434271908832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39.655608789795494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39.655608789795494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7.6</v>
      </c>
      <c r="CT74" s="12">
        <f>IF('Données projet'!$A$140&gt;35,CT73+CS74-DB73,IF(A74&lt;'Données projet'!$A$140,$CQ$205^A74,IF(A74='Données projet'!$A$140,'Données projet'!$B$140,CT73+CS74-DB73)))</f>
        <v>281.59999999999997</v>
      </c>
      <c r="CU74" s="17">
        <f>CT74*VLOOKUP('Données projet'!$B$13,Paramètres!$A$1:$I$89,3,0)*VLOOKUP('Données projet'!$B$13,Paramètres!$A$1:$I$89,5,0)</f>
        <v>254.79167999999996</v>
      </c>
      <c r="CV74" s="13">
        <f t="shared" si="95"/>
        <v>61.610870508448471</v>
      </c>
      <c r="CW74" s="20">
        <f t="shared" si="67"/>
        <v>551.067775468881</v>
      </c>
      <c r="CX74" s="59">
        <f t="shared" si="68"/>
        <v>844.40110880221437</v>
      </c>
      <c r="CY74" s="59">
        <f ca="1">AVERAGE(OFFSET($CX$3,0,0,'Données projet'!$E$13+1,1))-AVERAGE(OFFSET($H$3,0,0,'Données projet'!$E$13+1,1))</f>
        <v>439.19854273764042</v>
      </c>
      <c r="CZ74" s="59">
        <f t="shared" si="96"/>
        <v>278.21741231699929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68.520362154361109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68.520362154361109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7.6</v>
      </c>
      <c r="DO74" s="12">
        <f>IF('Données projet'!$A$166&gt;35,DO73+DN74-DW73,IF(A74&lt;'Données projet'!$A$166,$DL$205^A74,IF(A74='Données projet'!$A$166,'Données projet'!$B$166,DO73+DN74-DW73)))</f>
        <v>281.59999999999997</v>
      </c>
      <c r="DP74" s="17">
        <f>DO74*VLOOKUP('Données projet'!$B$14,Paramètres!$A$1:$I$89,3,0)*VLOOKUP('Données projet'!$B$14,Paramètres!$A$1:$I$89,5,0)</f>
        <v>237.21984</v>
      </c>
      <c r="DQ74" s="13">
        <f t="shared" si="97"/>
        <v>57.840960489671517</v>
      </c>
      <c r="DR74" s="20">
        <f t="shared" si="70"/>
        <v>513.89756085284455</v>
      </c>
      <c r="DS74" s="59">
        <f t="shared" si="71"/>
        <v>807.23089418617792</v>
      </c>
      <c r="DT74" s="59">
        <f ca="1">AVERAGE(OFFSET($DS$3,0,0,'Données projet'!$E$14+1,1))-AVERAGE(OFFSET($H$3,0,0,'Données projet'!$E$14+1,1))</f>
        <v>411.72284844766</v>
      </c>
      <c r="DU74" s="59">
        <f t="shared" si="98"/>
        <v>261.95434270986397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63.794819936818975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63.794819936818975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636.99999999999977</v>
      </c>
      <c r="EK74" s="17">
        <f>EJ74*VLOOKUP('Données projet'!$B$15,Paramètres!$A$1:$I$89,3,0)*VLOOKUP('Données projet'!$B$15,Paramètres!$A$1:$I$89,5,0)</f>
        <v>356.08299999999991</v>
      </c>
      <c r="EL74" s="13">
        <f t="shared" si="99"/>
        <v>82.813805255716545</v>
      </c>
      <c r="EM74" s="20">
        <f t="shared" si="73"/>
        <v>764.41193582037283</v>
      </c>
      <c r="EN74" s="59">
        <f t="shared" si="74"/>
        <v>1057.7452691537062</v>
      </c>
      <c r="EO74" s="59">
        <f ca="1">AVERAGE(OFFSET($EN$3,0,0,'Données projet'!$E$15+1,1))-AVERAGE(OFFSET($H$3,0,0,'Données projet'!$E$15+1,1))</f>
        <v>443.34220761968419</v>
      </c>
      <c r="EP74" s="59">
        <f t="shared" si="100"/>
        <v>546.58234447298014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78.599761766649607</v>
      </c>
      <c r="EW74" s="21">
        <f>EXP(-LN(2)/25)*EW73+(1-EXP(-LN(2)/25))/(LN(2)/25)*Calculateur!ER74*Calculateur!ET74*VLOOKUP('Données projet'!$B$15,Paramètres!$A$1:$I$89,3,0)*0.475*44/12</f>
        <v>7.0387260498241186</v>
      </c>
      <c r="EX74" s="21">
        <f>EXP(-LN(2)/2)*EX73+(1-EXP(-LN(2)/2))/(LN(2)/2)*ER74*EU74*VLOOKUP('Données projet'!$B$15,Paramètres!$A$1:$I$89,3,0)*0.475*44/12</f>
        <v>4.0742831388871566E-6</v>
      </c>
      <c r="EY74" s="22">
        <f t="shared" si="75"/>
        <v>85.638491890756868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224.00000000000006</v>
      </c>
      <c r="O75" s="13">
        <f>N75*VLOOKUP('Données projet'!$B$9,Paramètres!$A$1:$I$89,3,0)*VLOOKUP('Données projet'!$B$9,Paramètres!$A$1:$I$89,5,0)</f>
        <v>195.68640000000008</v>
      </c>
      <c r="P75" s="13">
        <f t="shared" si="87"/>
        <v>48.794969360985156</v>
      </c>
      <c r="Q75" s="20">
        <f t="shared" si="54"/>
        <v>425.8050516370493</v>
      </c>
      <c r="R75" s="59">
        <f t="shared" si="55"/>
        <v>719.13838497038262</v>
      </c>
      <c r="S75" s="59">
        <f ca="1">AVERAGE(OFFSET($R$3,0,0,'Données projet'!$E$9+1,1))-AVERAGE(OFFSET($H$3,0,0,'Données projet'!$E$9+1,1))</f>
        <v>304.32767345253382</v>
      </c>
      <c r="T75" s="59">
        <f t="shared" si="88"/>
        <v>427.16091343339173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49.690216407583151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49.690216407583151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4.8</v>
      </c>
      <c r="AI75" s="13">
        <f>IF('Données projet'!$A$62&gt;35,AI74+AH75-AQ74,IF(A75&lt;'Données projet'!$A$62,$AF$205^A75,IF(A75='Données projet'!$A$62,'Données projet'!$B$62,AI74+AH75-AQ74)))</f>
        <v>360.59999999999968</v>
      </c>
      <c r="AJ75" s="13">
        <f>AI75*VLOOKUP('Données projet'!$B$10,Paramètres!$A$1:$I$89,3,0)*VLOOKUP('Données projet'!$B$10,Paramètres!$A$1:$I$89,5,0)</f>
        <v>286.89335999999975</v>
      </c>
      <c r="AK75" s="13">
        <f t="shared" si="89"/>
        <v>68.421705584684744</v>
      </c>
      <c r="AL75" s="20">
        <f t="shared" si="58"/>
        <v>618.84040589332551</v>
      </c>
      <c r="AM75" s="59">
        <f t="shared" si="59"/>
        <v>912.17373922665888</v>
      </c>
      <c r="AN75" s="59">
        <f ca="1">AVERAGE(OFFSET($AM$3,0,0,'Données projet'!$E$10+1,1))-AVERAGE(OFFSET($H$3,0,0,'Données projet'!$E$10+1,1))</f>
        <v>405.40026823646758</v>
      </c>
      <c r="AO75" s="59">
        <f t="shared" si="90"/>
        <v>393.0787141050053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58.187816987630484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58.187816987630484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739.99999999999966</v>
      </c>
      <c r="BE75" s="13">
        <f>BD75*VLOOKUP('Données projet'!$B$11,Paramètres!$A$1:$I$89,3,0)*VLOOKUP('Données projet'!$B$11,Paramètres!$A$1:$I$89,5,0)</f>
        <v>413.65999999999985</v>
      </c>
      <c r="BF75" s="13">
        <f t="shared" si="91"/>
        <v>94.540585122244352</v>
      </c>
      <c r="BG75" s="20">
        <f t="shared" si="61"/>
        <v>885.11601908790863</v>
      </c>
      <c r="BH75" s="59">
        <f t="shared" si="62"/>
        <v>1178.4493524212419</v>
      </c>
      <c r="BI75" s="59">
        <f ca="1">AVERAGE(OFFSET($BH$3,0,0,'Données projet'!$E$11+1,1))-AVERAGE(OFFSET($H$3,0,0,'Données projet'!$E$11+1,1))</f>
        <v>555.15881087162279</v>
      </c>
      <c r="BJ75" s="59">
        <f t="shared" si="92"/>
        <v>668.20427590250733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97.373977003288886</v>
      </c>
      <c r="BQ75" s="21">
        <f>EXP(-LN(2)/25)*BQ74+(1-EXP(-LN(2)/25))/(LN(2)/25)*Calculateur!BL75*Calculateur!BN75*VLOOKUP('Données projet'!$B$11,Paramètres!$A$1:$I$89,3,0)*0.475*44/12</f>
        <v>18.032650957171455</v>
      </c>
      <c r="BR75" s="21">
        <f>EXP(-LN(2)/2)*BR74+(1-EXP(-LN(2)/2))/(LN(2)/2)*BL75*BO75*VLOOKUP('Données projet'!$B$11,Paramètres!$A$1:$I$89,3,0)*0.475*44/12</f>
        <v>4.0554207169478662E-7</v>
      </c>
      <c r="BS75" s="22">
        <f t="shared" si="63"/>
        <v>115.40662836600241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</v>
      </c>
      <c r="BY75" s="12">
        <f>IF('Données projet'!$A$114&gt;35,BY74+BX75-CG74,IF(A75&lt;'Données projet'!$A$114,$BV$205^A75,IF(A75='Données projet'!$A$114,'Données projet'!$B$114,BY74+BX75-CG74)))</f>
        <v>360.59999999999968</v>
      </c>
      <c r="BZ75" s="13">
        <f>BY75*VLOOKUP('Données projet'!$B$12,Paramètres!$A$1:$I$89,3,0)*VLOOKUP('Données projet'!$B$12,Paramètres!$A$1:$I$89,5,0)</f>
        <v>236.2651199999998</v>
      </c>
      <c r="CA75" s="13">
        <f t="shared" si="93"/>
        <v>57.635220799267813</v>
      </c>
      <c r="CB75" s="20">
        <f t="shared" si="64"/>
        <v>511.87642689205774</v>
      </c>
      <c r="CC75" s="59">
        <f t="shared" si="65"/>
        <v>805.20976022539105</v>
      </c>
      <c r="CD75" s="59">
        <f ca="1">AVERAGE(OFFSET($CC$3,0,0,'Données projet'!$E$12+1,1))-AVERAGE(OFFSET($H$3,0,0,'Données projet'!$E$12+1,1))</f>
        <v>340.49092994349405</v>
      </c>
      <c r="CE75" s="59">
        <f t="shared" si="94"/>
        <v>331.54434271908832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38.877986488960644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38.877986488960644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7.6</v>
      </c>
      <c r="CT75" s="12">
        <f>IF('Données projet'!$A$140&gt;35,CT74+CS75-DB74,IF(A75&lt;'Données projet'!$A$140,$CQ$205^A75,IF(A75='Données projet'!$A$140,'Données projet'!$B$140,CT74+CS75-DB74)))</f>
        <v>289.2</v>
      </c>
      <c r="CU75" s="17">
        <f>CT75*VLOOKUP('Données projet'!$B$13,Paramètres!$A$1:$I$89,3,0)*VLOOKUP('Données projet'!$B$13,Paramètres!$A$1:$I$89,5,0)</f>
        <v>261.66816</v>
      </c>
      <c r="CV75" s="13">
        <f t="shared" si="95"/>
        <v>63.077829793082856</v>
      </c>
      <c r="CW75" s="20">
        <f t="shared" si="67"/>
        <v>565.5992655562859</v>
      </c>
      <c r="CX75" s="59">
        <f t="shared" si="68"/>
        <v>858.93259888961916</v>
      </c>
      <c r="CY75" s="59">
        <f ca="1">AVERAGE(OFFSET($CX$3,0,0,'Données projet'!$E$13+1,1))-AVERAGE(OFFSET($H$3,0,0,'Données projet'!$E$13+1,1))</f>
        <v>439.19854273764042</v>
      </c>
      <c r="CZ75" s="59">
        <f t="shared" si="96"/>
        <v>278.21741231699929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67.176719645808262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67.176719645808262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7.6</v>
      </c>
      <c r="DO75" s="12">
        <f>IF('Données projet'!$A$166&gt;35,DO74+DN75-DW74,IF(A75&lt;'Données projet'!$A$166,$DL$205^A75,IF(A75='Données projet'!$A$166,'Données projet'!$B$166,DO74+DN75-DW74)))</f>
        <v>289.2</v>
      </c>
      <c r="DP75" s="17">
        <f>DO75*VLOOKUP('Données projet'!$B$14,Paramètres!$A$1:$I$89,3,0)*VLOOKUP('Données projet'!$B$14,Paramètres!$A$1:$I$89,5,0)</f>
        <v>243.62208000000001</v>
      </c>
      <c r="DQ75" s="13">
        <f t="shared" si="97"/>
        <v>59.218157943988587</v>
      </c>
      <c r="DR75" s="20">
        <f t="shared" si="70"/>
        <v>527.44674775244675</v>
      </c>
      <c r="DS75" s="59">
        <f t="shared" si="71"/>
        <v>820.78008108578001</v>
      </c>
      <c r="DT75" s="59">
        <f ca="1">AVERAGE(OFFSET($DS$3,0,0,'Données projet'!$E$14+1,1))-AVERAGE(OFFSET($H$3,0,0,'Données projet'!$E$14+1,1))</f>
        <v>411.72284844766</v>
      </c>
      <c r="DU75" s="59">
        <f t="shared" si="98"/>
        <v>261.95434270986397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62.543842428855974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62.543842428855974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636.99999999999977</v>
      </c>
      <c r="EK75" s="17">
        <f>EJ75*VLOOKUP('Données projet'!$B$15,Paramètres!$A$1:$I$89,3,0)*VLOOKUP('Données projet'!$B$15,Paramètres!$A$1:$I$89,5,0)</f>
        <v>356.08299999999991</v>
      </c>
      <c r="EL75" s="13">
        <f t="shared" si="99"/>
        <v>82.813805255716545</v>
      </c>
      <c r="EM75" s="20">
        <f t="shared" si="73"/>
        <v>764.41193582037283</v>
      </c>
      <c r="EN75" s="59">
        <f t="shared" si="74"/>
        <v>1057.7452691537062</v>
      </c>
      <c r="EO75" s="59">
        <f ca="1">AVERAGE(OFFSET($EN$3,0,0,'Données projet'!$E$15+1,1))-AVERAGE(OFFSET($H$3,0,0,'Données projet'!$E$15+1,1))</f>
        <v>443.34220761968419</v>
      </c>
      <c r="EP75" s="59">
        <f t="shared" si="100"/>
        <v>546.58234447298014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77.058468379526488</v>
      </c>
      <c r="EW75" s="21">
        <f>EXP(-LN(2)/25)*EW74+(1-EXP(-LN(2)/25))/(LN(2)/25)*Calculateur!ER75*Calculateur!ET75*VLOOKUP('Données projet'!$B$15,Paramètres!$A$1:$I$89,3,0)*0.475*44/12</f>
        <v>6.846251715841162</v>
      </c>
      <c r="EX75" s="21">
        <f>EXP(-LN(2)/2)*EX74+(1-EXP(-LN(2)/2))/(LN(2)/2)*ER75*EU75*VLOOKUP('Données projet'!$B$15,Paramètres!$A$1:$I$89,3,0)*0.475*44/12</f>
        <v>2.8809532359811207E-6</v>
      </c>
      <c r="EY75" s="22">
        <f t="shared" si="75"/>
        <v>83.904722976320883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224.00000000000006</v>
      </c>
      <c r="O76" s="13">
        <f>N76*VLOOKUP('Données projet'!$B$9,Paramètres!$A$1:$I$89,3,0)*VLOOKUP('Données projet'!$B$9,Paramètres!$A$1:$I$89,5,0)</f>
        <v>195.68640000000008</v>
      </c>
      <c r="P76" s="13">
        <f t="shared" si="87"/>
        <v>48.794969360985156</v>
      </c>
      <c r="Q76" s="20">
        <f t="shared" si="54"/>
        <v>425.8050516370493</v>
      </c>
      <c r="R76" s="59">
        <f t="shared" si="55"/>
        <v>719.13838497038262</v>
      </c>
      <c r="S76" s="59">
        <f ca="1">AVERAGE(OFFSET($R$3,0,0,'Données projet'!$E$9+1,1))-AVERAGE(OFFSET($H$3,0,0,'Données projet'!$E$9+1,1))</f>
        <v>304.32767345253382</v>
      </c>
      <c r="T76" s="59">
        <f t="shared" si="88"/>
        <v>427.16091343339173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48.715821571869782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48.715821571869782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4.8</v>
      </c>
      <c r="AI76" s="13">
        <f>IF('Données projet'!$A$62&gt;35,AI75+AH76-AQ75,IF(A76&lt;'Données projet'!$A$62,$AF$205^A76,IF(A76='Données projet'!$A$62,'Données projet'!$B$62,AI75+AH76-AQ75)))</f>
        <v>365.39999999999969</v>
      </c>
      <c r="AJ76" s="13">
        <f>AI76*VLOOKUP('Données projet'!$B$10,Paramètres!$A$1:$I$89,3,0)*VLOOKUP('Données projet'!$B$10,Paramètres!$A$1:$I$89,5,0)</f>
        <v>290.71223999999978</v>
      </c>
      <c r="AK76" s="13">
        <f t="shared" si="89"/>
        <v>69.225842856510994</v>
      </c>
      <c r="AL76" s="20">
        <f t="shared" si="58"/>
        <v>626.89216097508961</v>
      </c>
      <c r="AM76" s="59">
        <f t="shared" si="59"/>
        <v>920.22549430842287</v>
      </c>
      <c r="AN76" s="59">
        <f ca="1">AVERAGE(OFFSET($AM$3,0,0,'Données projet'!$E$10+1,1))-AVERAGE(OFFSET($H$3,0,0,'Données projet'!$E$10+1,1))</f>
        <v>405.40026823646758</v>
      </c>
      <c r="AO76" s="59">
        <f t="shared" si="90"/>
        <v>393.0787141050053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57.04678938756696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57.04678938756696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739.99999999999966</v>
      </c>
      <c r="BE76" s="13">
        <f>BD76*VLOOKUP('Données projet'!$B$11,Paramètres!$A$1:$I$89,3,0)*VLOOKUP('Données projet'!$B$11,Paramètres!$A$1:$I$89,5,0)</f>
        <v>413.65999999999985</v>
      </c>
      <c r="BF76" s="13">
        <f t="shared" si="91"/>
        <v>94.540585122244352</v>
      </c>
      <c r="BG76" s="20">
        <f t="shared" si="61"/>
        <v>885.11601908790863</v>
      </c>
      <c r="BH76" s="59">
        <f t="shared" si="62"/>
        <v>1178.4493524212419</v>
      </c>
      <c r="BI76" s="59">
        <f ca="1">AVERAGE(OFFSET($BH$3,0,0,'Données projet'!$E$11+1,1))-AVERAGE(OFFSET($H$3,0,0,'Données projet'!$E$11+1,1))</f>
        <v>555.15881087162279</v>
      </c>
      <c r="BJ76" s="59">
        <f t="shared" si="92"/>
        <v>668.20427590250733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95.464532706515868</v>
      </c>
      <c r="BQ76" s="21">
        <f>EXP(-LN(2)/25)*BQ75+(1-EXP(-LN(2)/25))/(LN(2)/25)*Calculateur!BL76*Calculateur!BN76*VLOOKUP('Données projet'!$B$11,Paramètres!$A$1:$I$89,3,0)*0.475*44/12</f>
        <v>17.539547168451701</v>
      </c>
      <c r="BR76" s="21">
        <f>EXP(-LN(2)/2)*BR75+(1-EXP(-LN(2)/2))/(LN(2)/2)*BL76*BO76*VLOOKUP('Données projet'!$B$11,Paramètres!$A$1:$I$89,3,0)*0.475*44/12</f>
        <v>2.8676154895182465E-7</v>
      </c>
      <c r="BS76" s="22">
        <f t="shared" si="63"/>
        <v>113.00408016172912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</v>
      </c>
      <c r="BY76" s="12">
        <f>IF('Données projet'!$A$114&gt;35,BY75+BX76-CG75,IF(A76&lt;'Données projet'!$A$114,$BV$205^A76,IF(A76='Données projet'!$A$114,'Données projet'!$B$114,BY75+BX76-CG75)))</f>
        <v>365.39999999999969</v>
      </c>
      <c r="BZ76" s="13">
        <f>BY76*VLOOKUP('Données projet'!$B$12,Paramètres!$A$1:$I$89,3,0)*VLOOKUP('Données projet'!$B$12,Paramètres!$A$1:$I$89,5,0)</f>
        <v>239.41007999999982</v>
      </c>
      <c r="CA76" s="13">
        <f t="shared" si="93"/>
        <v>58.312588146640707</v>
      </c>
      <c r="CB76" s="20">
        <f t="shared" si="64"/>
        <v>518.53364702206557</v>
      </c>
      <c r="CC76" s="59">
        <f t="shared" si="65"/>
        <v>811.86698035539894</v>
      </c>
      <c r="CD76" s="59">
        <f ca="1">AVERAGE(OFFSET($CC$3,0,0,'Données projet'!$E$12+1,1))-AVERAGE(OFFSET($H$3,0,0,'Données projet'!$E$12+1,1))</f>
        <v>340.49092994349405</v>
      </c>
      <c r="CE76" s="59">
        <f t="shared" si="94"/>
        <v>331.54434271908832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38.115612887142397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38.115612887142397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7.6</v>
      </c>
      <c r="CT76" s="12">
        <f>IF('Données projet'!$A$140&gt;35,CT75+CS76-DB75,IF(A76&lt;'Données projet'!$A$140,$CQ$205^A76,IF(A76='Données projet'!$A$140,'Données projet'!$B$140,CT75+CS76-DB75)))</f>
        <v>296.8</v>
      </c>
      <c r="CU76" s="17">
        <f>CT76*VLOOKUP('Données projet'!$B$13,Paramètres!$A$1:$I$89,3,0)*VLOOKUP('Données projet'!$B$13,Paramètres!$A$1:$I$89,5,0)</f>
        <v>268.54464000000002</v>
      </c>
      <c r="CV76" s="13">
        <f t="shared" si="95"/>
        <v>64.54030807605065</v>
      </c>
      <c r="CW76" s="20">
        <f t="shared" si="67"/>
        <v>580.12295123245474</v>
      </c>
      <c r="CX76" s="59">
        <f t="shared" si="68"/>
        <v>873.45628456578811</v>
      </c>
      <c r="CY76" s="59">
        <f ca="1">AVERAGE(OFFSET($CX$3,0,0,'Données projet'!$E$13+1,1))-AVERAGE(OFFSET($H$3,0,0,'Données projet'!$E$13+1,1))</f>
        <v>439.19854273764042</v>
      </c>
      <c r="CZ76" s="59">
        <f t="shared" si="96"/>
        <v>278.21741231699929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65.859425147307121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65.859425147307121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7.6</v>
      </c>
      <c r="DO76" s="12">
        <f>IF('Données projet'!$A$166&gt;35,DO75+DN76-DW75,IF(A76&lt;'Données projet'!$A$166,$DL$205^A76,IF(A76='Données projet'!$A$166,'Données projet'!$B$166,DO75+DN76-DW75)))</f>
        <v>296.8</v>
      </c>
      <c r="DP76" s="17">
        <f>DO76*VLOOKUP('Données projet'!$B$14,Paramètres!$A$1:$I$89,3,0)*VLOOKUP('Données projet'!$B$14,Paramètres!$A$1:$I$89,5,0)</f>
        <v>250.02432000000005</v>
      </c>
      <c r="DQ76" s="13">
        <f t="shared" si="97"/>
        <v>60.591148584829206</v>
      </c>
      <c r="DR76" s="20">
        <f t="shared" si="70"/>
        <v>540.9886077852442</v>
      </c>
      <c r="DS76" s="59">
        <f t="shared" si="71"/>
        <v>834.32194111857757</v>
      </c>
      <c r="DT76" s="59">
        <f ca="1">AVERAGE(OFFSET($DS$3,0,0,'Données projet'!$E$14+1,1))-AVERAGE(OFFSET($H$3,0,0,'Données projet'!$E$14+1,1))</f>
        <v>411.72284844766</v>
      </c>
      <c r="DU76" s="59">
        <f t="shared" si="98"/>
        <v>261.95434270986397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61.317395826803192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61.317395826803192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636.99999999999977</v>
      </c>
      <c r="EK76" s="17">
        <f>EJ76*VLOOKUP('Données projet'!$B$15,Paramètres!$A$1:$I$89,3,0)*VLOOKUP('Données projet'!$B$15,Paramètres!$A$1:$I$89,5,0)</f>
        <v>356.08299999999991</v>
      </c>
      <c r="EL76" s="13">
        <f t="shared" si="99"/>
        <v>82.813805255716545</v>
      </c>
      <c r="EM76" s="20">
        <f t="shared" si="73"/>
        <v>764.41193582037283</v>
      </c>
      <c r="EN76" s="59">
        <f t="shared" si="74"/>
        <v>1057.7452691537062</v>
      </c>
      <c r="EO76" s="59">
        <f ca="1">AVERAGE(OFFSET($EN$3,0,0,'Données projet'!$E$15+1,1))-AVERAGE(OFFSET($H$3,0,0,'Données projet'!$E$15+1,1))</f>
        <v>443.34220761968419</v>
      </c>
      <c r="EP76" s="59">
        <f t="shared" si="100"/>
        <v>546.58234447298014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75.547398815628725</v>
      </c>
      <c r="EW76" s="21">
        <f>EXP(-LN(2)/25)*EW75+(1-EXP(-LN(2)/25))/(LN(2)/25)*Calculateur!ER76*Calculateur!ET76*VLOOKUP('Données projet'!$B$15,Paramètres!$A$1:$I$89,3,0)*0.475*44/12</f>
        <v>6.6590406026427553</v>
      </c>
      <c r="EX76" s="21">
        <f>EXP(-LN(2)/2)*EX75+(1-EXP(-LN(2)/2))/(LN(2)/2)*ER76*EU76*VLOOKUP('Données projet'!$B$15,Paramètres!$A$1:$I$89,3,0)*0.475*44/12</f>
        <v>2.0371415694435783E-6</v>
      </c>
      <c r="EY76" s="22">
        <f t="shared" si="75"/>
        <v>82.206441455413056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224.00000000000006</v>
      </c>
      <c r="O77" s="13">
        <f>N77*VLOOKUP('Données projet'!$B$9,Paramètres!$A$1:$I$89,3,0)*VLOOKUP('Données projet'!$B$9,Paramètres!$A$1:$I$89,5,0)</f>
        <v>195.68640000000008</v>
      </c>
      <c r="P77" s="13">
        <f t="shared" si="87"/>
        <v>48.794969360985156</v>
      </c>
      <c r="Q77" s="20">
        <f t="shared" si="54"/>
        <v>425.8050516370493</v>
      </c>
      <c r="R77" s="59">
        <f t="shared" si="55"/>
        <v>719.13838497038262</v>
      </c>
      <c r="S77" s="59">
        <f ca="1">AVERAGE(OFFSET($R$3,0,0,'Données projet'!$E$9+1,1))-AVERAGE(OFFSET($H$3,0,0,'Données projet'!$E$9+1,1))</f>
        <v>304.32767345253382</v>
      </c>
      <c r="T77" s="59">
        <f t="shared" si="88"/>
        <v>427.16091343339173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47.760534024562588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47.760534024562588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4.8</v>
      </c>
      <c r="AI77" s="13">
        <f>IF('Données projet'!$A$62&gt;35,AI76+AH77-AQ76,IF(A77&lt;'Données projet'!$A$62,$AF$205^A77,IF(A77='Données projet'!$A$62,'Données projet'!$B$62,AI76+AH77-AQ76)))</f>
        <v>370.1999999999997</v>
      </c>
      <c r="AJ77" s="13">
        <f>AI77*VLOOKUP('Données projet'!$B$10,Paramètres!$A$1:$I$89,3,0)*VLOOKUP('Données projet'!$B$10,Paramètres!$A$1:$I$89,5,0)</f>
        <v>294.53111999999976</v>
      </c>
      <c r="AK77" s="13">
        <f t="shared" si="89"/>
        <v>70.028751453157682</v>
      </c>
      <c r="AL77" s="20">
        <f t="shared" si="58"/>
        <v>634.94177611424914</v>
      </c>
      <c r="AM77" s="59">
        <f t="shared" si="59"/>
        <v>928.27510944758251</v>
      </c>
      <c r="AN77" s="59">
        <f ca="1">AVERAGE(OFFSET($AM$3,0,0,'Données projet'!$E$10+1,1))-AVERAGE(OFFSET($H$3,0,0,'Données projet'!$E$10+1,1))</f>
        <v>405.40026823646758</v>
      </c>
      <c r="AO77" s="59">
        <f t="shared" si="90"/>
        <v>393.0787141050053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55.928136642782569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55.928136642782569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739.99999999999966</v>
      </c>
      <c r="BE77" s="13">
        <f>BD77*VLOOKUP('Données projet'!$B$11,Paramètres!$A$1:$I$89,3,0)*VLOOKUP('Données projet'!$B$11,Paramètres!$A$1:$I$89,5,0)</f>
        <v>413.65999999999985</v>
      </c>
      <c r="BF77" s="13">
        <f t="shared" si="91"/>
        <v>94.540585122244352</v>
      </c>
      <c r="BG77" s="20">
        <f t="shared" si="61"/>
        <v>885.11601908790863</v>
      </c>
      <c r="BH77" s="59">
        <f t="shared" si="62"/>
        <v>1178.4493524212419</v>
      </c>
      <c r="BI77" s="59">
        <f ca="1">AVERAGE(OFFSET($BH$3,0,0,'Données projet'!$E$11+1,1))-AVERAGE(OFFSET($H$3,0,0,'Données projet'!$E$11+1,1))</f>
        <v>555.15881087162279</v>
      </c>
      <c r="BJ77" s="59">
        <f t="shared" si="92"/>
        <v>668.20427590250733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93.592531447756542</v>
      </c>
      <c r="BQ77" s="21">
        <f>EXP(-LN(2)/25)*BQ76+(1-EXP(-LN(2)/25))/(LN(2)/25)*Calculateur!BL77*Calculateur!BN77*VLOOKUP('Données projet'!$B$11,Paramètres!$A$1:$I$89,3,0)*0.475*44/12</f>
        <v>17.059927328765692</v>
      </c>
      <c r="BR77" s="21">
        <f>EXP(-LN(2)/2)*BR76+(1-EXP(-LN(2)/2))/(LN(2)/2)*BL77*BO77*VLOOKUP('Données projet'!$B$11,Paramètres!$A$1:$I$89,3,0)*0.475*44/12</f>
        <v>2.0277103584739331E-7</v>
      </c>
      <c r="BS77" s="22">
        <f t="shared" si="63"/>
        <v>110.65245897929327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</v>
      </c>
      <c r="BY77" s="12">
        <f>IF('Données projet'!$A$114&gt;35,BY76+BX77-CG76,IF(A77&lt;'Données projet'!$A$114,$BV$205^A77,IF(A77='Données projet'!$A$114,'Données projet'!$B$114,BY76+BX77-CG76)))</f>
        <v>370.1999999999997</v>
      </c>
      <c r="BZ77" s="13">
        <f>BY77*VLOOKUP('Données projet'!$B$12,Paramètres!$A$1:$I$89,3,0)*VLOOKUP('Données projet'!$B$12,Paramètres!$A$1:$I$89,5,0)</f>
        <v>242.55503999999979</v>
      </c>
      <c r="CA77" s="13">
        <f t="shared" si="93"/>
        <v>58.988920515936691</v>
      </c>
      <c r="CB77" s="20">
        <f t="shared" si="64"/>
        <v>525.18906456525599</v>
      </c>
      <c r="CC77" s="59">
        <f t="shared" si="65"/>
        <v>818.52239789858936</v>
      </c>
      <c r="CD77" s="59">
        <f ca="1">AVERAGE(OFFSET($CC$3,0,0,'Données projet'!$E$12+1,1))-AVERAGE(OFFSET($H$3,0,0,'Données projet'!$E$12+1,1))</f>
        <v>340.49092994349405</v>
      </c>
      <c r="CE77" s="59">
        <f t="shared" si="94"/>
        <v>331.54434271908832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37.368188966653825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37.368188966653825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7.6</v>
      </c>
      <c r="CT77" s="12">
        <f>IF('Données projet'!$A$140&gt;35,CT76+CS77-DB76,IF(A77&lt;'Données projet'!$A$140,$CQ$205^A77,IF(A77='Données projet'!$A$140,'Données projet'!$B$140,CT76+CS77-DB76)))</f>
        <v>304.40000000000003</v>
      </c>
      <c r="CU77" s="17">
        <f>CT77*VLOOKUP('Données projet'!$B$13,Paramètres!$A$1:$I$89,3,0)*VLOOKUP('Données projet'!$B$13,Paramètres!$A$1:$I$89,5,0)</f>
        <v>275.42112000000003</v>
      </c>
      <c r="CV77" s="13">
        <f t="shared" si="95"/>
        <v>65.998433293601067</v>
      </c>
      <c r="CW77" s="20">
        <f t="shared" si="67"/>
        <v>594.63905531968851</v>
      </c>
      <c r="CX77" s="59">
        <f t="shared" si="68"/>
        <v>887.97238865302188</v>
      </c>
      <c r="CY77" s="59">
        <f ca="1">AVERAGE(OFFSET($CX$3,0,0,'Données projet'!$E$13+1,1))-AVERAGE(OFFSET($H$3,0,0,'Données projet'!$E$13+1,1))</f>
        <v>439.19854273764042</v>
      </c>
      <c r="CZ77" s="59">
        <f t="shared" si="96"/>
        <v>278.21741231699929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64.56796199045128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64.56796199045128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7.6</v>
      </c>
      <c r="DO77" s="12">
        <f>IF('Données projet'!$A$166&gt;35,DO76+DN77-DW76,IF(A77&lt;'Données projet'!$A$166,$DL$205^A77,IF(A77='Données projet'!$A$166,'Données projet'!$B$166,DO76+DN77-DW76)))</f>
        <v>304.40000000000003</v>
      </c>
      <c r="DP77" s="17">
        <f>DO77*VLOOKUP('Données projet'!$B$14,Paramètres!$A$1:$I$89,3,0)*VLOOKUP('Données projet'!$B$14,Paramètres!$A$1:$I$89,5,0)</f>
        <v>256.42656000000005</v>
      </c>
      <c r="DQ77" s="13">
        <f t="shared" si="97"/>
        <v>61.960052520146306</v>
      </c>
      <c r="DR77" s="20">
        <f t="shared" si="70"/>
        <v>554.52335013925483</v>
      </c>
      <c r="DS77" s="59">
        <f t="shared" si="71"/>
        <v>847.8566834725882</v>
      </c>
      <c r="DT77" s="59">
        <f ca="1">AVERAGE(OFFSET($DS$3,0,0,'Données projet'!$E$14+1,1))-AVERAGE(OFFSET($H$3,0,0,'Données projet'!$E$14+1,1))</f>
        <v>411.72284844766</v>
      </c>
      <c r="DU77" s="59">
        <f t="shared" si="98"/>
        <v>261.95434270986397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60.114999094558101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60.114999094558101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636.99999999999977</v>
      </c>
      <c r="EK77" s="17">
        <f>EJ77*VLOOKUP('Données projet'!$B$15,Paramètres!$A$1:$I$89,3,0)*VLOOKUP('Données projet'!$B$15,Paramètres!$A$1:$I$89,5,0)</f>
        <v>356.08299999999991</v>
      </c>
      <c r="EL77" s="13">
        <f t="shared" si="99"/>
        <v>82.813805255716545</v>
      </c>
      <c r="EM77" s="20">
        <f t="shared" si="73"/>
        <v>764.41193582037283</v>
      </c>
      <c r="EN77" s="59">
        <f t="shared" si="74"/>
        <v>1057.7452691537062</v>
      </c>
      <c r="EO77" s="59">
        <f ca="1">AVERAGE(OFFSET($EN$3,0,0,'Données projet'!$E$15+1,1))-AVERAGE(OFFSET($H$3,0,0,'Données projet'!$E$15+1,1))</f>
        <v>443.34220761968419</v>
      </c>
      <c r="EP77" s="59">
        <f t="shared" si="100"/>
        <v>546.58234447298014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74.065960404217563</v>
      </c>
      <c r="EW77" s="21">
        <f>EXP(-LN(2)/25)*EW76+(1-EXP(-LN(2)/25))/(LN(2)/25)*Calculateur!ER77*Calculateur!ET77*VLOOKUP('Données projet'!$B$15,Paramètres!$A$1:$I$89,3,0)*0.475*44/12</f>
        <v>6.4769487871797633</v>
      </c>
      <c r="EX77" s="21">
        <f>EXP(-LN(2)/2)*EX76+(1-EXP(-LN(2)/2))/(LN(2)/2)*ER77*EU77*VLOOKUP('Données projet'!$B$15,Paramètres!$A$1:$I$89,3,0)*0.475*44/12</f>
        <v>1.4404766179905604E-6</v>
      </c>
      <c r="EY77" s="22">
        <f t="shared" si="75"/>
        <v>80.542910631873951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224.00000000000006</v>
      </c>
      <c r="O78" s="13">
        <f>N78*VLOOKUP('Données projet'!$B$9,Paramètres!$A$1:$I$89,3,0)*VLOOKUP('Données projet'!$B$9,Paramètres!$A$1:$I$89,5,0)</f>
        <v>195.68640000000008</v>
      </c>
      <c r="P78" s="13">
        <f t="shared" si="87"/>
        <v>48.794969360985156</v>
      </c>
      <c r="Q78" s="20">
        <f t="shared" si="54"/>
        <v>425.8050516370493</v>
      </c>
      <c r="R78" s="59">
        <f t="shared" si="55"/>
        <v>719.13838497038262</v>
      </c>
      <c r="S78" s="59">
        <f ca="1">AVERAGE(OFFSET($R$3,0,0,'Données projet'!$E$9+1,1))-AVERAGE(OFFSET($H$3,0,0,'Données projet'!$E$9+1,1))</f>
        <v>304.32767345253382</v>
      </c>
      <c r="T78" s="59">
        <f t="shared" si="88"/>
        <v>427.16091343339173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46.823979083390221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46.823979083390221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375</v>
      </c>
      <c r="AG78" s="12">
        <f>VLOOKUP(A78,'Données projet'!$A$61:$I$81,9,0)</f>
        <v>4.8</v>
      </c>
      <c r="AH78" s="12">
        <f t="array" ref="AH78">INDEX(AG:AG,MIN(IF(ISNUMBER(AG78:AG274),ROW(AG78:AG274),"")))</f>
        <v>4.8</v>
      </c>
      <c r="AI78" s="13">
        <f>IF('Données projet'!$A$62&gt;35,AI77+AH78-AQ77,IF(A78&lt;'Données projet'!$A$62,$AF$205^A78,IF(A78='Données projet'!$A$62,'Données projet'!$B$62,AI77+AH78-AQ77)))</f>
        <v>374.99999999999972</v>
      </c>
      <c r="AJ78" s="13">
        <f>AI78*VLOOKUP('Données projet'!$B$10,Paramètres!$A$1:$I$89,3,0)*VLOOKUP('Données projet'!$B$10,Paramètres!$A$1:$I$89,5,0)</f>
        <v>298.3499999999998</v>
      </c>
      <c r="AK78" s="13">
        <f t="shared" si="89"/>
        <v>70.83044914753448</v>
      </c>
      <c r="AL78" s="20">
        <f t="shared" si="58"/>
        <v>642.98928226528881</v>
      </c>
      <c r="AM78" s="59">
        <f t="shared" si="59"/>
        <v>936.32261559862218</v>
      </c>
      <c r="AN78" s="59">
        <f ca="1">AVERAGE(OFFSET($AM$3,0,0,'Données projet'!$E$10+1,1))-AVERAGE(OFFSET($H$3,0,0,'Données projet'!$E$10+1,1))</f>
        <v>405.40026823646758</v>
      </c>
      <c r="AO78" s="59">
        <f t="shared" si="90"/>
        <v>393.0787141050053</v>
      </c>
      <c r="AP78" s="15">
        <f>IF(ISNA(VLOOKUP(A78,'Données projet'!$A$61:$I$81,3,0)),0,VLOOKUP(A78,'Données projet'!$A$61:$I$81,3,0))</f>
        <v>14</v>
      </c>
      <c r="AQ78" s="15">
        <f>IF(ISNA(VLOOKUP(A78,'Données projet'!$A$61:$I$81,4,0)),0,VLOOKUP(A78,'Données projet'!$A$61:$I$81,4,0))</f>
        <v>14</v>
      </c>
      <c r="AR78" s="16">
        <f>IF(ISNA(VLOOKUP(A78,'Données projet'!$A$61:$I$81,5,0)),0%,VLOOKUP(A78,'Données projet'!$A$61:$I$81,5,0)*VLOOKUP('Données projet'!$B$10,Paramètres!$A$1:$I$89,7,0))</f>
        <v>0.53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61.357400771969196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61.357400771969196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739.99999999999966</v>
      </c>
      <c r="BE78" s="13">
        <f>BD78*VLOOKUP('Données projet'!$B$11,Paramètres!$A$1:$I$89,3,0)*VLOOKUP('Données projet'!$B$11,Paramètres!$A$1:$I$89,5,0)</f>
        <v>413.65999999999985</v>
      </c>
      <c r="BF78" s="13">
        <f t="shared" si="91"/>
        <v>94.540585122244352</v>
      </c>
      <c r="BG78" s="20">
        <f t="shared" si="61"/>
        <v>885.11601908790863</v>
      </c>
      <c r="BH78" s="59">
        <f t="shared" si="62"/>
        <v>1178.4493524212419</v>
      </c>
      <c r="BI78" s="59">
        <f ca="1">AVERAGE(OFFSET($BH$3,0,0,'Données projet'!$E$11+1,1))-AVERAGE(OFFSET($H$3,0,0,'Données projet'!$E$11+1,1))</f>
        <v>555.15881087162279</v>
      </c>
      <c r="BJ78" s="59">
        <f t="shared" si="92"/>
        <v>668.20427590250733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91.757238991873464</v>
      </c>
      <c r="BQ78" s="21">
        <f>EXP(-LN(2)/25)*BQ77+(1-EXP(-LN(2)/25))/(LN(2)/25)*Calculateur!BL78*Calculateur!BN78*VLOOKUP('Données projet'!$B$11,Paramètres!$A$1:$I$89,3,0)*0.475*44/12</f>
        <v>16.593422718818008</v>
      </c>
      <c r="BR78" s="21">
        <f>EXP(-LN(2)/2)*BR77+(1-EXP(-LN(2)/2))/(LN(2)/2)*BL78*BO78*VLOOKUP('Données projet'!$B$11,Paramètres!$A$1:$I$89,3,0)*0.475*44/12</f>
        <v>1.4338077447591232E-7</v>
      </c>
      <c r="BS78" s="22">
        <f t="shared" si="63"/>
        <v>108.35066185407224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375</v>
      </c>
      <c r="BW78" s="12">
        <f>VLOOKUP(A78,'Données projet'!$A$113:$I$133,9,0)</f>
        <v>4.8</v>
      </c>
      <c r="BX78" s="12">
        <f t="array" ref="BX78">INDEX(BW:BW,MIN(IF(ISNUMBER(BW78:BW274),ROW(BW78:BW274),"")))</f>
        <v>4.8</v>
      </c>
      <c r="BY78" s="12">
        <f>IF('Données projet'!$A$114&gt;35,BY77+BX78-CG77,IF(A78&lt;'Données projet'!$A$114,$BV$205^A78,IF(A78='Données projet'!$A$114,'Données projet'!$B$114,BY77+BX78-CG77)))</f>
        <v>374.99999999999972</v>
      </c>
      <c r="BZ78" s="13">
        <f>BY78*VLOOKUP('Données projet'!$B$12,Paramètres!$A$1:$I$89,3,0)*VLOOKUP('Données projet'!$B$12,Paramètres!$A$1:$I$89,5,0)</f>
        <v>245.69999999999982</v>
      </c>
      <c r="CA78" s="13">
        <f t="shared" si="93"/>
        <v>59.664232878217433</v>
      </c>
      <c r="CB78" s="20">
        <f t="shared" si="64"/>
        <v>531.84270559622837</v>
      </c>
      <c r="CC78" s="59">
        <f t="shared" si="65"/>
        <v>825.17603892956163</v>
      </c>
      <c r="CD78" s="59">
        <f ca="1">AVERAGE(OFFSET($CC$3,0,0,'Données projet'!$E$12+1,1))-AVERAGE(OFFSET($H$3,0,0,'Données projet'!$E$12+1,1))</f>
        <v>340.49092994349405</v>
      </c>
      <c r="CE78" s="59">
        <f t="shared" si="94"/>
        <v>331.54434271908832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14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40.99573281323579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40.99573281323579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312</v>
      </c>
      <c r="CR78" s="12">
        <f>VLOOKUP(A78,'Données projet'!$A$139:$I$159,9,0)</f>
        <v>7.6</v>
      </c>
      <c r="CS78" s="12">
        <f t="array" ref="CS78">INDEX(CR:CR,MIN(IF(ISNUMBER(CR78:CR274),ROW(CR78:CR274),"")))</f>
        <v>7.6</v>
      </c>
      <c r="CT78" s="12">
        <f>IF('Données projet'!$A$140&gt;35,CT77+CS78-DB77,IF(A78&lt;'Données projet'!$A$140,$CQ$205^A78,IF(A78='Données projet'!$A$140,'Données projet'!$B$140,CT77+CS78-DB77)))</f>
        <v>312.00000000000006</v>
      </c>
      <c r="CU78" s="17">
        <f>CT78*VLOOKUP('Données projet'!$B$13,Paramètres!$A$1:$I$89,3,0)*VLOOKUP('Données projet'!$B$13,Paramètres!$A$1:$I$89,5,0)</f>
        <v>282.29760000000005</v>
      </c>
      <c r="CV78" s="13">
        <f t="shared" si="95"/>
        <v>67.452326629470178</v>
      </c>
      <c r="CW78" s="20">
        <f t="shared" si="67"/>
        <v>609.14778887966054</v>
      </c>
      <c r="CX78" s="59">
        <f t="shared" si="68"/>
        <v>902.4811222129938</v>
      </c>
      <c r="CY78" s="59">
        <f ca="1">AVERAGE(OFFSET($CX$3,0,0,'Données projet'!$E$13+1,1))-AVERAGE(OFFSET($H$3,0,0,'Données projet'!$E$13+1,1))</f>
        <v>439.19854273764042</v>
      </c>
      <c r="CZ78" s="59">
        <f t="shared" si="96"/>
        <v>278.21741231699929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28</v>
      </c>
      <c r="DC78" s="16">
        <f>IF(ISNA(VLOOKUP(A78,'Données projet'!$A$139:$I$159,5,0)),0%,VLOOKUP(A78,'Données projet'!$A$139:$I$159,5,0)*VLOOKUP('Données projet'!$B$13,Paramètres!$A$1:$I$89,7,0))</f>
        <v>0.43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75.344588015179653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75.344588015179653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312</v>
      </c>
      <c r="DM78" s="12">
        <f>VLOOKUP(A78,'Données projet'!$A$165:$I$185,9,0)</f>
        <v>7.6</v>
      </c>
      <c r="DN78" s="12">
        <f t="array" ref="DN78">INDEX(DM:DM,MIN(IF(ISNUMBER(DM78:DM274),ROW(DM78:DM274),"")))</f>
        <v>7.6</v>
      </c>
      <c r="DO78" s="12">
        <f>IF('Données projet'!$A$166&gt;35,DO77+DN78-DW77,IF(A78&lt;'Données projet'!$A$166,$DL$205^A78,IF(A78='Données projet'!$A$166,'Données projet'!$B$166,DO77+DN78-DW77)))</f>
        <v>312.00000000000006</v>
      </c>
      <c r="DP78" s="17">
        <f>DO78*VLOOKUP('Données projet'!$B$14,Paramètres!$A$1:$I$89,3,0)*VLOOKUP('Données projet'!$B$14,Paramètres!$A$1:$I$89,5,0)</f>
        <v>262.82880000000006</v>
      </c>
      <c r="DQ78" s="13">
        <f t="shared" si="97"/>
        <v>63.324983518559485</v>
      </c>
      <c r="DR78" s="20">
        <f t="shared" si="70"/>
        <v>568.05117296149115</v>
      </c>
      <c r="DS78" s="59">
        <f t="shared" si="71"/>
        <v>861.3845062948244</v>
      </c>
      <c r="DT78" s="59">
        <f ca="1">AVERAGE(OFFSET($DS$3,0,0,'Données projet'!$E$14+1,1))-AVERAGE(OFFSET($H$3,0,0,'Données projet'!$E$14+1,1))</f>
        <v>411.72284844766</v>
      </c>
      <c r="DU78" s="59">
        <f t="shared" si="98"/>
        <v>261.95434270986397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28</v>
      </c>
      <c r="DX78" s="16">
        <f>IF(ISNA(VLOOKUP(A78,'Données projet'!$A$165:$I$185,5,0)),0%,VLOOKUP(A78,'Données projet'!$A$165:$I$185,5,0)*VLOOKUP('Données projet'!$B$14,Paramètres!$A$1:$I$89,7,0))</f>
        <v>0.43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70.14840953137417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70.14840953137417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636.99999999999977</v>
      </c>
      <c r="EK78" s="17">
        <f>EJ78*VLOOKUP('Données projet'!$B$15,Paramètres!$A$1:$I$89,3,0)*VLOOKUP('Données projet'!$B$15,Paramètres!$A$1:$I$89,5,0)</f>
        <v>356.08299999999991</v>
      </c>
      <c r="EL78" s="13">
        <f t="shared" si="99"/>
        <v>82.813805255716545</v>
      </c>
      <c r="EM78" s="20">
        <f t="shared" si="73"/>
        <v>764.41193582037283</v>
      </c>
      <c r="EN78" s="59">
        <f t="shared" si="74"/>
        <v>1057.7452691537062</v>
      </c>
      <c r="EO78" s="59">
        <f ca="1">AVERAGE(OFFSET($EN$3,0,0,'Données projet'!$E$15+1,1))-AVERAGE(OFFSET($H$3,0,0,'Données projet'!$E$15+1,1))</f>
        <v>443.34220761968419</v>
      </c>
      <c r="EP78" s="59">
        <f t="shared" si="100"/>
        <v>546.58234447298014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72.613572096465973</v>
      </c>
      <c r="EW78" s="21">
        <f>EXP(-LN(2)/25)*EW77+(1-EXP(-LN(2)/25))/(LN(2)/25)*Calculateur!ER78*Calculateur!ET78*VLOOKUP('Données projet'!$B$15,Paramètres!$A$1:$I$89,3,0)*0.475*44/12</f>
        <v>6.2998362819863996</v>
      </c>
      <c r="EX78" s="21">
        <f>EXP(-LN(2)/2)*EX77+(1-EXP(-LN(2)/2))/(LN(2)/2)*ER78*EU78*VLOOKUP('Données projet'!$B$15,Paramètres!$A$1:$I$89,3,0)*0.475*44/12</f>
        <v>1.0185707847217892E-6</v>
      </c>
      <c r="EY78" s="22">
        <f t="shared" si="75"/>
        <v>78.913409397023159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224.00000000000006</v>
      </c>
      <c r="O79" s="13">
        <f>N79*VLOOKUP('Données projet'!$B$9,Paramètres!$A$1:$I$89,3,0)*VLOOKUP('Données projet'!$B$9,Paramètres!$A$1:$I$89,5,0)</f>
        <v>195.68640000000008</v>
      </c>
      <c r="P79" s="13">
        <f t="shared" si="87"/>
        <v>48.794969360985156</v>
      </c>
      <c r="Q79" s="20">
        <f t="shared" si="54"/>
        <v>425.8050516370493</v>
      </c>
      <c r="R79" s="59">
        <f t="shared" si="55"/>
        <v>719.13838497038262</v>
      </c>
      <c r="S79" s="59">
        <f ca="1">AVERAGE(OFFSET($R$3,0,0,'Données projet'!$E$9+1,1))-AVERAGE(OFFSET($H$3,0,0,'Données projet'!$E$9+1,1))</f>
        <v>304.32767345253382</v>
      </c>
      <c r="T79" s="59">
        <f t="shared" si="88"/>
        <v>427.16091343339173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45.905789413372133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45.905789413372133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</v>
      </c>
      <c r="AI79" s="13">
        <f>IF('Données projet'!$A$62&gt;35,AI78+AH79-AQ78,IF(A79&lt;'Données projet'!$A$62,$AF$205^A79,IF(A79='Données projet'!$A$62,'Données projet'!$B$62,AI78+AH79-AQ78)))</f>
        <v>364.99999999999972</v>
      </c>
      <c r="AJ79" s="13">
        <f>AI79*VLOOKUP('Données projet'!$B$10,Paramètres!$A$1:$I$89,3,0)*VLOOKUP('Données projet'!$B$10,Paramètres!$A$1:$I$89,5,0)</f>
        <v>290.39399999999978</v>
      </c>
      <c r="AK79" s="13">
        <f t="shared" si="89"/>
        <v>69.158878594433091</v>
      </c>
      <c r="AL79" s="20">
        <f t="shared" si="58"/>
        <v>626.22126355197054</v>
      </c>
      <c r="AM79" s="59">
        <f t="shared" si="59"/>
        <v>919.55459688530391</v>
      </c>
      <c r="AN79" s="59">
        <f ca="1">AVERAGE(OFFSET($AM$3,0,0,'Données projet'!$E$10+1,1))-AVERAGE(OFFSET($H$3,0,0,'Données projet'!$E$10+1,1))</f>
        <v>405.40026823646758</v>
      </c>
      <c r="AO79" s="59">
        <f t="shared" si="90"/>
        <v>393.0787141050053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60.154219567150008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60.154219567150008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739.99999999999966</v>
      </c>
      <c r="BE79" s="13">
        <f>BD79*VLOOKUP('Données projet'!$B$11,Paramètres!$A$1:$I$89,3,0)*VLOOKUP('Données projet'!$B$11,Paramètres!$A$1:$I$89,5,0)</f>
        <v>413.65999999999985</v>
      </c>
      <c r="BF79" s="13">
        <f t="shared" si="91"/>
        <v>94.540585122244352</v>
      </c>
      <c r="BG79" s="20">
        <f t="shared" si="61"/>
        <v>885.11601908790863</v>
      </c>
      <c r="BH79" s="59">
        <f t="shared" si="62"/>
        <v>1178.4493524212419</v>
      </c>
      <c r="BI79" s="59">
        <f ca="1">AVERAGE(OFFSET($BH$3,0,0,'Données projet'!$E$11+1,1))-AVERAGE(OFFSET($H$3,0,0,'Données projet'!$E$11+1,1))</f>
        <v>555.15881087162279</v>
      </c>
      <c r="BJ79" s="59">
        <f t="shared" si="92"/>
        <v>668.20427590250733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89.957935501632392</v>
      </c>
      <c r="BQ79" s="21">
        <f>EXP(-LN(2)/25)*BQ78+(1-EXP(-LN(2)/25))/(LN(2)/25)*Calculateur!BL79*Calculateur!BN79*VLOOKUP('Données projet'!$B$11,Paramètres!$A$1:$I$89,3,0)*0.475*44/12</f>
        <v>16.139674701961752</v>
      </c>
      <c r="BR79" s="21">
        <f>EXP(-LN(2)/2)*BR78+(1-EXP(-LN(2)/2))/(LN(2)/2)*BL79*BO79*VLOOKUP('Données projet'!$B$11,Paramètres!$A$1:$I$89,3,0)*0.475*44/12</f>
        <v>1.0138551792369666E-7</v>
      </c>
      <c r="BS79" s="22">
        <f t="shared" si="63"/>
        <v>106.09761030497967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</v>
      </c>
      <c r="BY79" s="12">
        <f>IF('Données projet'!$A$114&gt;35,BY78+BX79-CG78,IF(A79&lt;'Données projet'!$A$114,$BV$205^A79,IF(A79='Données projet'!$A$114,'Données projet'!$B$114,BY78+BX79-CG78)))</f>
        <v>364.99999999999972</v>
      </c>
      <c r="BZ79" s="13">
        <f>BY79*VLOOKUP('Données projet'!$B$12,Paramètres!$A$1:$I$89,3,0)*VLOOKUP('Données projet'!$B$12,Paramètres!$A$1:$I$89,5,0)</f>
        <v>239.1479999999998</v>
      </c>
      <c r="CA79" s="13">
        <f t="shared" si="93"/>
        <v>58.256180607577733</v>
      </c>
      <c r="CB79" s="20">
        <f t="shared" si="64"/>
        <v>517.97894789153088</v>
      </c>
      <c r="CC79" s="59">
        <f t="shared" si="65"/>
        <v>811.31228122486414</v>
      </c>
      <c r="CD79" s="59">
        <f ca="1">AVERAGE(OFFSET($CC$3,0,0,'Données projet'!$E$12+1,1))-AVERAGE(OFFSET($H$3,0,0,'Données projet'!$E$12+1,1))</f>
        <v>340.49092994349405</v>
      </c>
      <c r="CE79" s="59">
        <f t="shared" si="94"/>
        <v>331.54434271908832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40.191831497696221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40.191831497696221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7.2</v>
      </c>
      <c r="CT79" s="12">
        <f>IF('Données projet'!$A$140&gt;35,CT78+CS79-DB78,IF(A79&lt;'Données projet'!$A$140,$CQ$205^A79,IF(A79='Données projet'!$A$140,'Données projet'!$B$140,CT78+CS79-DB78)))</f>
        <v>291.20000000000005</v>
      </c>
      <c r="CU79" s="17">
        <f>CT79*VLOOKUP('Données projet'!$B$13,Paramètres!$A$1:$I$89,3,0)*VLOOKUP('Données projet'!$B$13,Paramètres!$A$1:$I$89,5,0)</f>
        <v>263.47776000000005</v>
      </c>
      <c r="CV79" s="13">
        <f t="shared" si="95"/>
        <v>63.46312159763346</v>
      </c>
      <c r="CW79" s="20">
        <f t="shared" si="67"/>
        <v>569.42203544921165</v>
      </c>
      <c r="CX79" s="59">
        <f t="shared" si="68"/>
        <v>862.75536878254502</v>
      </c>
      <c r="CY79" s="59">
        <f ca="1">AVERAGE(OFFSET($CX$3,0,0,'Données projet'!$E$13+1,1))-AVERAGE(OFFSET($H$3,0,0,'Données projet'!$E$13+1,1))</f>
        <v>439.19854273764042</v>
      </c>
      <c r="CZ79" s="59">
        <f t="shared" si="96"/>
        <v>278.21741231699929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73.867126599862928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73.867126599862928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7.2</v>
      </c>
      <c r="DO79" s="12">
        <f>IF('Données projet'!$A$166&gt;35,DO78+DN79-DW78,IF(A79&lt;'Données projet'!$A$166,$DL$205^A79,IF(A79='Données projet'!$A$166,'Données projet'!$B$166,DO78+DN79-DW78)))</f>
        <v>291.20000000000005</v>
      </c>
      <c r="DP79" s="17">
        <f>DO79*VLOOKUP('Données projet'!$B$14,Paramètres!$A$1:$I$89,3,0)*VLOOKUP('Données projet'!$B$14,Paramètres!$A$1:$I$89,5,0)</f>
        <v>245.30688000000009</v>
      </c>
      <c r="DQ79" s="13">
        <f t="shared" si="97"/>
        <v>59.579874112906374</v>
      </c>
      <c r="DR79" s="20">
        <f t="shared" si="70"/>
        <v>531.01109674664542</v>
      </c>
      <c r="DS79" s="59">
        <f t="shared" si="71"/>
        <v>824.34443007997879</v>
      </c>
      <c r="DT79" s="59">
        <f ca="1">AVERAGE(OFFSET($DS$3,0,0,'Données projet'!$E$14+1,1))-AVERAGE(OFFSET($H$3,0,0,'Données projet'!$E$14+1,1))</f>
        <v>411.72284844766</v>
      </c>
      <c r="DU79" s="59">
        <f t="shared" si="98"/>
        <v>261.95434270986397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68.77284200676894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68.77284200676894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636.99999999999977</v>
      </c>
      <c r="EK79" s="17">
        <f>EJ79*VLOOKUP('Données projet'!$B$15,Paramètres!$A$1:$I$89,3,0)*VLOOKUP('Données projet'!$B$15,Paramètres!$A$1:$I$89,5,0)</f>
        <v>356.08299999999991</v>
      </c>
      <c r="EL79" s="13">
        <f t="shared" si="99"/>
        <v>82.813805255716545</v>
      </c>
      <c r="EM79" s="20">
        <f t="shared" si="73"/>
        <v>764.41193582037283</v>
      </c>
      <c r="EN79" s="59">
        <f t="shared" si="74"/>
        <v>1057.7452691537062</v>
      </c>
      <c r="EO79" s="59">
        <f ca="1">AVERAGE(OFFSET($EN$3,0,0,'Données projet'!$E$15+1,1))-AVERAGE(OFFSET($H$3,0,0,'Données projet'!$E$15+1,1))</f>
        <v>443.34220761968419</v>
      </c>
      <c r="EP79" s="59">
        <f t="shared" si="100"/>
        <v>546.58234447298014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71.189664237559995</v>
      </c>
      <c r="EW79" s="21">
        <f>EXP(-LN(2)/25)*EW78+(1-EXP(-LN(2)/25))/(LN(2)/25)*Calculateur!ER79*Calculateur!ET79*VLOOKUP('Données projet'!$B$15,Paramètres!$A$1:$I$89,3,0)*0.475*44/12</f>
        <v>6.1275669275614897</v>
      </c>
      <c r="EX79" s="21">
        <f>EXP(-LN(2)/2)*EX78+(1-EXP(-LN(2)/2))/(LN(2)/2)*ER79*EU79*VLOOKUP('Données projet'!$B$15,Paramètres!$A$1:$I$89,3,0)*0.475*44/12</f>
        <v>7.2023830899528018E-7</v>
      </c>
      <c r="EY79" s="22">
        <f t="shared" si="75"/>
        <v>77.317231885359789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224.00000000000006</v>
      </c>
      <c r="O80" s="13">
        <f>N80*VLOOKUP('Données projet'!$B$9,Paramètres!$A$1:$I$89,3,0)*VLOOKUP('Données projet'!$B$9,Paramètres!$A$1:$I$89,5,0)</f>
        <v>195.68640000000008</v>
      </c>
      <c r="P80" s="13">
        <f t="shared" si="87"/>
        <v>48.794969360985156</v>
      </c>
      <c r="Q80" s="20">
        <f t="shared" si="54"/>
        <v>425.8050516370493</v>
      </c>
      <c r="R80" s="59">
        <f t="shared" si="55"/>
        <v>719.13838497038262</v>
      </c>
      <c r="S80" s="59">
        <f ca="1">AVERAGE(OFFSET($R$3,0,0,'Données projet'!$E$9+1,1))-AVERAGE(OFFSET($H$3,0,0,'Données projet'!$E$9+1,1))</f>
        <v>304.32767345253382</v>
      </c>
      <c r="T80" s="59">
        <f t="shared" si="88"/>
        <v>427.16091343339173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45.005604882742702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45.005604882742702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</v>
      </c>
      <c r="AI80" s="13">
        <f>IF('Données projet'!$A$62&gt;35,AI79+AH80-AQ79,IF(A80&lt;'Données projet'!$A$62,$AF$205^A80,IF(A80='Données projet'!$A$62,'Données projet'!$B$62,AI79+AH80-AQ79)))</f>
        <v>368.99999999999972</v>
      </c>
      <c r="AJ80" s="13">
        <f>AI80*VLOOKUP('Données projet'!$B$10,Paramètres!$A$1:$I$89,3,0)*VLOOKUP('Données projet'!$B$10,Paramètres!$A$1:$I$89,5,0)</f>
        <v>293.57639999999981</v>
      </c>
      <c r="AK80" s="13">
        <f t="shared" si="89"/>
        <v>69.828138511965548</v>
      </c>
      <c r="AL80" s="20">
        <f t="shared" si="58"/>
        <v>632.92957124167299</v>
      </c>
      <c r="AM80" s="59">
        <f t="shared" si="59"/>
        <v>926.26290457500636</v>
      </c>
      <c r="AN80" s="59">
        <f ca="1">AVERAGE(OFFSET($AM$3,0,0,'Données projet'!$E$10+1,1))-AVERAGE(OFFSET($H$3,0,0,'Données projet'!$E$10+1,1))</f>
        <v>405.40026823646758</v>
      </c>
      <c r="AO80" s="59">
        <f t="shared" si="90"/>
        <v>393.0787141050053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58.974632011889248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58.974632011889248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739.99999999999966</v>
      </c>
      <c r="BE80" s="13">
        <f>BD80*VLOOKUP('Données projet'!$B$11,Paramètres!$A$1:$I$89,3,0)*VLOOKUP('Données projet'!$B$11,Paramètres!$A$1:$I$89,5,0)</f>
        <v>413.65999999999985</v>
      </c>
      <c r="BF80" s="13">
        <f t="shared" si="91"/>
        <v>94.540585122244352</v>
      </c>
      <c r="BG80" s="20">
        <f t="shared" si="61"/>
        <v>885.11601908790863</v>
      </c>
      <c r="BH80" s="59">
        <f t="shared" si="62"/>
        <v>1178.4493524212419</v>
      </c>
      <c r="BI80" s="59">
        <f ca="1">AVERAGE(OFFSET($BH$3,0,0,'Données projet'!$E$11+1,1))-AVERAGE(OFFSET($H$3,0,0,'Données projet'!$E$11+1,1))</f>
        <v>555.15881087162279</v>
      </c>
      <c r="BJ80" s="59">
        <f t="shared" si="92"/>
        <v>668.20427590250733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88.193915255368182</v>
      </c>
      <c r="BQ80" s="21">
        <f>EXP(-LN(2)/25)*BQ79+(1-EXP(-LN(2)/25))/(LN(2)/25)*Calculateur!BL80*Calculateur!BN80*VLOOKUP('Données projet'!$B$11,Paramètres!$A$1:$I$89,3,0)*0.475*44/12</f>
        <v>15.698334448488003</v>
      </c>
      <c r="BR80" s="21">
        <f>EXP(-LN(2)/2)*BR79+(1-EXP(-LN(2)/2))/(LN(2)/2)*BL80*BO80*VLOOKUP('Données projet'!$B$11,Paramètres!$A$1:$I$89,3,0)*0.475*44/12</f>
        <v>7.1690387237956162E-8</v>
      </c>
      <c r="BS80" s="22">
        <f t="shared" si="63"/>
        <v>103.89224977554657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</v>
      </c>
      <c r="BY80" s="12">
        <f>IF('Données projet'!$A$114&gt;35,BY79+BX80-CG79,IF(A80&lt;'Données projet'!$A$114,$BV$205^A80,IF(A80='Données projet'!$A$114,'Données projet'!$B$114,BY79+BX80-CG79)))</f>
        <v>368.99999999999972</v>
      </c>
      <c r="BZ80" s="13">
        <f>BY80*VLOOKUP('Données projet'!$B$12,Paramètres!$A$1:$I$89,3,0)*VLOOKUP('Données projet'!$B$12,Paramètres!$A$1:$I$89,5,0)</f>
        <v>241.76879999999983</v>
      </c>
      <c r="CA80" s="13">
        <f t="shared" si="93"/>
        <v>58.819933627024824</v>
      </c>
      <c r="CB80" s="20">
        <f t="shared" si="64"/>
        <v>523.52537773373467</v>
      </c>
      <c r="CC80" s="59">
        <f t="shared" si="65"/>
        <v>816.85871106706804</v>
      </c>
      <c r="CD80" s="59">
        <f ca="1">AVERAGE(OFFSET($CC$3,0,0,'Données projet'!$E$12+1,1))-AVERAGE(OFFSET($H$3,0,0,'Données projet'!$E$12+1,1))</f>
        <v>340.49092994349405</v>
      </c>
      <c r="CE80" s="59">
        <f t="shared" si="94"/>
        <v>331.54434271908832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39.403694196622993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39.403694196622993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7.2</v>
      </c>
      <c r="CT80" s="12">
        <f>IF('Données projet'!$A$140&gt;35,CT79+CS80-DB79,IF(A80&lt;'Données projet'!$A$140,$CQ$205^A80,IF(A80='Données projet'!$A$140,'Données projet'!$B$140,CT79+CS80-DB79)))</f>
        <v>298.40000000000003</v>
      </c>
      <c r="CU80" s="17">
        <f>CT80*VLOOKUP('Données projet'!$B$13,Paramètres!$A$1:$I$89,3,0)*VLOOKUP('Données projet'!$B$13,Paramètres!$A$1:$I$89,5,0)</f>
        <v>269.99232000000001</v>
      </c>
      <c r="CV80" s="13">
        <f t="shared" si="95"/>
        <v>64.847639395310296</v>
      </c>
      <c r="CW80" s="20">
        <f t="shared" si="67"/>
        <v>583.17959594683214</v>
      </c>
      <c r="CX80" s="59">
        <f t="shared" si="68"/>
        <v>876.51292928016551</v>
      </c>
      <c r="CY80" s="59">
        <f ca="1">AVERAGE(OFFSET($CX$3,0,0,'Données projet'!$E$13+1,1))-AVERAGE(OFFSET($H$3,0,0,'Données projet'!$E$13+1,1))</f>
        <v>439.19854273764042</v>
      </c>
      <c r="CZ80" s="59">
        <f t="shared" si="96"/>
        <v>278.21741231699929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72.418637301738073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72.418637301738073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7.2</v>
      </c>
      <c r="DO80" s="12">
        <f>IF('Données projet'!$A$166&gt;35,DO79+DN80-DW79,IF(A80&lt;'Données projet'!$A$166,$DL$205^A80,IF(A80='Données projet'!$A$166,'Données projet'!$B$166,DO79+DN80-DW79)))</f>
        <v>298.40000000000003</v>
      </c>
      <c r="DP80" s="17">
        <f>DO80*VLOOKUP('Données projet'!$B$14,Paramètres!$A$1:$I$89,3,0)*VLOOKUP('Données projet'!$B$14,Paramètres!$A$1:$I$89,5,0)</f>
        <v>251.37216000000004</v>
      </c>
      <c r="DQ80" s="13">
        <f t="shared" si="97"/>
        <v>60.879674595707343</v>
      </c>
      <c r="DR80" s="20">
        <f t="shared" si="70"/>
        <v>543.83861192085692</v>
      </c>
      <c r="DS80" s="59">
        <f t="shared" si="71"/>
        <v>837.17194525419018</v>
      </c>
      <c r="DT80" s="59">
        <f ca="1">AVERAGE(OFFSET($DS$3,0,0,'Données projet'!$E$14+1,1))-AVERAGE(OFFSET($H$3,0,0,'Données projet'!$E$14+1,1))</f>
        <v>411.72284844766</v>
      </c>
      <c r="DU80" s="59">
        <f t="shared" si="98"/>
        <v>261.95434270986397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67.424248522307877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67.424248522307877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636.99999999999977</v>
      </c>
      <c r="EK80" s="17">
        <f>EJ80*VLOOKUP('Données projet'!$B$15,Paramètres!$A$1:$I$89,3,0)*VLOOKUP('Données projet'!$B$15,Paramètres!$A$1:$I$89,5,0)</f>
        <v>356.08299999999991</v>
      </c>
      <c r="EL80" s="13">
        <f t="shared" si="99"/>
        <v>82.813805255716545</v>
      </c>
      <c r="EM80" s="20">
        <f t="shared" si="73"/>
        <v>764.41193582037283</v>
      </c>
      <c r="EN80" s="59">
        <f t="shared" si="74"/>
        <v>1057.7452691537062</v>
      </c>
      <c r="EO80" s="59">
        <f ca="1">AVERAGE(OFFSET($EN$3,0,0,'Données projet'!$E$15+1,1))-AVERAGE(OFFSET($H$3,0,0,'Données projet'!$E$15+1,1))</f>
        <v>443.34220761968419</v>
      </c>
      <c r="EP80" s="59">
        <f t="shared" si="100"/>
        <v>546.58234447298014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69.793678343269121</v>
      </c>
      <c r="EW80" s="21">
        <f>EXP(-LN(2)/25)*EW79+(1-EXP(-LN(2)/25))/(LN(2)/25)*Calculateur!ER80*Calculateur!ET80*VLOOKUP('Données projet'!$B$15,Paramètres!$A$1:$I$89,3,0)*0.475*44/12</f>
        <v>5.9600082876925811</v>
      </c>
      <c r="EX80" s="21">
        <f>EXP(-LN(2)/2)*EX79+(1-EXP(-LN(2)/2))/(LN(2)/2)*ER80*EU80*VLOOKUP('Données projet'!$B$15,Paramètres!$A$1:$I$89,3,0)*0.475*44/12</f>
        <v>5.0928539236089458E-7</v>
      </c>
      <c r="EY80" s="22">
        <f t="shared" si="75"/>
        <v>75.753687140247095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224.00000000000006</v>
      </c>
      <c r="O81" s="13">
        <f>N81*VLOOKUP('Données projet'!$B$9,Paramètres!$A$1:$I$89,3,0)*VLOOKUP('Données projet'!$B$9,Paramètres!$A$1:$I$89,5,0)</f>
        <v>195.68640000000008</v>
      </c>
      <c r="P81" s="13">
        <f t="shared" si="87"/>
        <v>48.794969360985156</v>
      </c>
      <c r="Q81" s="20">
        <f t="shared" si="54"/>
        <v>425.8050516370493</v>
      </c>
      <c r="R81" s="59">
        <f t="shared" si="55"/>
        <v>719.13838497038262</v>
      </c>
      <c r="S81" s="59">
        <f ca="1">AVERAGE(OFFSET($R$3,0,0,'Données projet'!$E$9+1,1))-AVERAGE(OFFSET($H$3,0,0,'Données projet'!$E$9+1,1))</f>
        <v>304.32767345253382</v>
      </c>
      <c r="T81" s="59">
        <f t="shared" si="88"/>
        <v>427.16091343339173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44.123072421700563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44.123072421700563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</v>
      </c>
      <c r="AI81" s="13">
        <f>IF('Données projet'!$A$62&gt;35,AI80+AH81-AQ80,IF(A81&lt;'Données projet'!$A$62,$AF$205^A81,IF(A81='Données projet'!$A$62,'Données projet'!$B$62,AI80+AH81-AQ80)))</f>
        <v>372.99999999999972</v>
      </c>
      <c r="AJ81" s="13">
        <f>AI81*VLOOKUP('Données projet'!$B$10,Paramètres!$A$1:$I$89,3,0)*VLOOKUP('Données projet'!$B$10,Paramètres!$A$1:$I$89,5,0)</f>
        <v>296.75879999999978</v>
      </c>
      <c r="AK81" s="13">
        <f t="shared" si="89"/>
        <v>70.496554480015604</v>
      </c>
      <c r="AL81" s="20">
        <f t="shared" si="58"/>
        <v>639.63640905269347</v>
      </c>
      <c r="AM81" s="59">
        <f t="shared" si="59"/>
        <v>932.96974238602684</v>
      </c>
      <c r="AN81" s="59">
        <f ca="1">AVERAGE(OFFSET($AM$3,0,0,'Données projet'!$E$10+1,1))-AVERAGE(OFFSET($H$3,0,0,'Données projet'!$E$10+1,1))</f>
        <v>405.40026823646758</v>
      </c>
      <c r="AO81" s="59">
        <f t="shared" si="90"/>
        <v>393.0787141050053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57.818175449109788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57.818175449109788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739.99999999999966</v>
      </c>
      <c r="BE81" s="13">
        <f>BD81*VLOOKUP('Données projet'!$B$11,Paramètres!$A$1:$I$89,3,0)*VLOOKUP('Données projet'!$B$11,Paramètres!$A$1:$I$89,5,0)</f>
        <v>413.65999999999985</v>
      </c>
      <c r="BF81" s="13">
        <f t="shared" si="91"/>
        <v>94.540585122244352</v>
      </c>
      <c r="BG81" s="20">
        <f t="shared" si="61"/>
        <v>885.11601908790863</v>
      </c>
      <c r="BH81" s="59">
        <f t="shared" si="62"/>
        <v>1178.4493524212419</v>
      </c>
      <c r="BI81" s="59">
        <f ca="1">AVERAGE(OFFSET($BH$3,0,0,'Données projet'!$E$11+1,1))-AVERAGE(OFFSET($H$3,0,0,'Données projet'!$E$11+1,1))</f>
        <v>555.15881087162279</v>
      </c>
      <c r="BJ81" s="59">
        <f t="shared" si="92"/>
        <v>668.20427590250733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86.464486370187103</v>
      </c>
      <c r="BQ81" s="21">
        <f>EXP(-LN(2)/25)*BQ80+(1-EXP(-LN(2)/25))/(LN(2)/25)*Calculateur!BL81*Calculateur!BN81*VLOOKUP('Données projet'!$B$11,Paramètres!$A$1:$I$89,3,0)*0.475*44/12</f>
        <v>15.26906266745457</v>
      </c>
      <c r="BR81" s="21">
        <f>EXP(-LN(2)/2)*BR80+(1-EXP(-LN(2)/2))/(LN(2)/2)*BL81*BO81*VLOOKUP('Données projet'!$B$11,Paramètres!$A$1:$I$89,3,0)*0.475*44/12</f>
        <v>5.0692758961848328E-8</v>
      </c>
      <c r="BS81" s="22">
        <f t="shared" si="63"/>
        <v>101.73354908833443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</v>
      </c>
      <c r="BY81" s="12">
        <f>IF('Données projet'!$A$114&gt;35,BY80+BX81-CG80,IF(A81&lt;'Données projet'!$A$114,$BV$205^A81,IF(A81='Données projet'!$A$114,'Données projet'!$B$114,BY80+BX81-CG80)))</f>
        <v>372.99999999999972</v>
      </c>
      <c r="BZ81" s="13">
        <f>BY81*VLOOKUP('Données projet'!$B$12,Paramètres!$A$1:$I$89,3,0)*VLOOKUP('Données projet'!$B$12,Paramètres!$A$1:$I$89,5,0)</f>
        <v>244.38959999999983</v>
      </c>
      <c r="CA81" s="13">
        <f t="shared" si="93"/>
        <v>59.382975743194187</v>
      </c>
      <c r="CB81" s="20">
        <f t="shared" si="64"/>
        <v>529.07056941939629</v>
      </c>
      <c r="CC81" s="59">
        <f t="shared" si="65"/>
        <v>822.40390275272966</v>
      </c>
      <c r="CD81" s="59">
        <f ca="1">AVERAGE(OFFSET($CC$3,0,0,'Données projet'!$E$12+1,1))-AVERAGE(OFFSET($H$3,0,0,'Données projet'!$E$12+1,1))</f>
        <v>340.49092994349405</v>
      </c>
      <c r="CE81" s="59">
        <f t="shared" si="94"/>
        <v>331.54434271908832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38.631011787307528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38.631011787307528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7.2</v>
      </c>
      <c r="CT81" s="12">
        <f>IF('Données projet'!$A$140&gt;35,CT80+CS81-DB80,IF(A81&lt;'Données projet'!$A$140,$CQ$205^A81,IF(A81='Données projet'!$A$140,'Données projet'!$B$140,CT80+CS81-DB80)))</f>
        <v>305.60000000000002</v>
      </c>
      <c r="CU81" s="17">
        <f>CT81*VLOOKUP('Données projet'!$B$13,Paramètres!$A$1:$I$89,3,0)*VLOOKUP('Données projet'!$B$13,Paramètres!$A$1:$I$89,5,0)</f>
        <v>276.50687999999997</v>
      </c>
      <c r="CV81" s="13">
        <f t="shared" si="95"/>
        <v>66.228273722513677</v>
      </c>
      <c r="CW81" s="20">
        <f t="shared" si="67"/>
        <v>596.93039273337797</v>
      </c>
      <c r="CX81" s="59">
        <f t="shared" si="68"/>
        <v>890.26372606671134</v>
      </c>
      <c r="CY81" s="59">
        <f ca="1">AVERAGE(OFFSET($CX$3,0,0,'Données projet'!$E$13+1,1))-AVERAGE(OFFSET($H$3,0,0,'Données projet'!$E$13+1,1))</f>
        <v>439.19854273764042</v>
      </c>
      <c r="CZ81" s="59">
        <f t="shared" si="96"/>
        <v>278.21741231699929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70.998551995258225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70.998551995258225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7.2</v>
      </c>
      <c r="DO81" s="12">
        <f>IF('Données projet'!$A$166&gt;35,DO80+DN81-DW80,IF(A81&lt;'Données projet'!$A$166,$DL$205^A81,IF(A81='Données projet'!$A$166,'Données projet'!$B$166,DO80+DN81-DW80)))</f>
        <v>305.60000000000002</v>
      </c>
      <c r="DP81" s="17">
        <f>DO81*VLOOKUP('Données projet'!$B$14,Paramètres!$A$1:$I$89,3,0)*VLOOKUP('Données projet'!$B$14,Paramètres!$A$1:$I$89,5,0)</f>
        <v>257.43744000000004</v>
      </c>
      <c r="DQ81" s="13">
        <f t="shared" si="97"/>
        <v>62.175829233865038</v>
      </c>
      <c r="DR81" s="20">
        <f t="shared" si="70"/>
        <v>556.65977724898164</v>
      </c>
      <c r="DS81" s="59">
        <f t="shared" si="71"/>
        <v>849.99311058231501</v>
      </c>
      <c r="DT81" s="59">
        <f ca="1">AVERAGE(OFFSET($DS$3,0,0,'Données projet'!$E$14+1,1))-AVERAGE(OFFSET($H$3,0,0,'Données projet'!$E$14+1,1))</f>
        <v>411.72284844766</v>
      </c>
      <c r="DU81" s="59">
        <f t="shared" si="98"/>
        <v>261.95434270986397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66.102100133516288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66.102100133516288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636.99999999999977</v>
      </c>
      <c r="EK81" s="17">
        <f>EJ81*VLOOKUP('Données projet'!$B$15,Paramètres!$A$1:$I$89,3,0)*VLOOKUP('Données projet'!$B$15,Paramètres!$A$1:$I$89,5,0)</f>
        <v>356.08299999999991</v>
      </c>
      <c r="EL81" s="13">
        <f t="shared" si="99"/>
        <v>82.813805255716545</v>
      </c>
      <c r="EM81" s="20">
        <f t="shared" si="73"/>
        <v>764.41193582037283</v>
      </c>
      <c r="EN81" s="59">
        <f t="shared" si="74"/>
        <v>1057.7452691537062</v>
      </c>
      <c r="EO81" s="59">
        <f ca="1">AVERAGE(OFFSET($EN$3,0,0,'Données projet'!$E$15+1,1))-AVERAGE(OFFSET($H$3,0,0,'Données projet'!$E$15+1,1))</f>
        <v>443.34220761968419</v>
      </c>
      <c r="EP81" s="59">
        <f t="shared" si="100"/>
        <v>546.58234447298014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68.425066880897973</v>
      </c>
      <c r="EW81" s="21">
        <f>EXP(-LN(2)/25)*EW80+(1-EXP(-LN(2)/25))/(LN(2)/25)*Calculateur!ER81*Calculateur!ET81*VLOOKUP('Données projet'!$B$15,Paramètres!$A$1:$I$89,3,0)*0.475*44/12</f>
        <v>5.7970315476424137</v>
      </c>
      <c r="EX81" s="21">
        <f>EXP(-LN(2)/2)*EX80+(1-EXP(-LN(2)/2))/(LN(2)/2)*ER81*EU81*VLOOKUP('Données projet'!$B$15,Paramètres!$A$1:$I$89,3,0)*0.475*44/12</f>
        <v>3.6011915449764009E-7</v>
      </c>
      <c r="EY81" s="22">
        <f t="shared" si="75"/>
        <v>74.222098788659551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224.00000000000006</v>
      </c>
      <c r="O82" s="13">
        <f>N82*VLOOKUP('Données projet'!$B$9,Paramètres!$A$1:$I$89,3,0)*VLOOKUP('Données projet'!$B$9,Paramètres!$A$1:$I$89,5,0)</f>
        <v>195.68640000000008</v>
      </c>
      <c r="P82" s="13">
        <f t="shared" si="87"/>
        <v>48.794969360985156</v>
      </c>
      <c r="Q82" s="20">
        <f t="shared" si="54"/>
        <v>425.8050516370493</v>
      </c>
      <c r="R82" s="59">
        <f t="shared" si="55"/>
        <v>719.13838497038262</v>
      </c>
      <c r="S82" s="59">
        <f ca="1">AVERAGE(OFFSET($R$3,0,0,'Données projet'!$E$9+1,1))-AVERAGE(OFFSET($H$3,0,0,'Données projet'!$E$9+1,1))</f>
        <v>304.32767345253382</v>
      </c>
      <c r="T82" s="59">
        <f t="shared" si="88"/>
        <v>427.16091343339173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43.257845883927814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43.257845883927814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</v>
      </c>
      <c r="AI82" s="13">
        <f>IF('Données projet'!$A$62&gt;35,AI81+AH82-AQ81,IF(A82&lt;'Données projet'!$A$62,$AF$205^A82,IF(A82='Données projet'!$A$62,'Données projet'!$B$62,AI81+AH82-AQ81)))</f>
        <v>376.99999999999972</v>
      </c>
      <c r="AJ82" s="13">
        <f>AI82*VLOOKUP('Données projet'!$B$10,Paramètres!$A$1:$I$89,3,0)*VLOOKUP('Données projet'!$B$10,Paramètres!$A$1:$I$89,5,0)</f>
        <v>299.94119999999981</v>
      </c>
      <c r="AK82" s="13">
        <f t="shared" si="89"/>
        <v>71.164136596531506</v>
      </c>
      <c r="AL82" s="20">
        <f t="shared" si="58"/>
        <v>646.34179457229197</v>
      </c>
      <c r="AM82" s="59">
        <f t="shared" si="59"/>
        <v>939.67512790562523</v>
      </c>
      <c r="AN82" s="59">
        <f ca="1">AVERAGE(OFFSET($AM$3,0,0,'Données projet'!$E$10+1,1))-AVERAGE(OFFSET($H$3,0,0,'Données projet'!$E$10+1,1))</f>
        <v>405.40026823646758</v>
      </c>
      <c r="AO82" s="59">
        <f t="shared" si="90"/>
        <v>393.0787141050053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56.68439629415758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56.68439629415758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739.99999999999966</v>
      </c>
      <c r="BE82" s="13">
        <f>BD82*VLOOKUP('Données projet'!$B$11,Paramètres!$A$1:$I$89,3,0)*VLOOKUP('Données projet'!$B$11,Paramètres!$A$1:$I$89,5,0)</f>
        <v>413.65999999999985</v>
      </c>
      <c r="BF82" s="13">
        <f t="shared" si="91"/>
        <v>94.540585122244352</v>
      </c>
      <c r="BG82" s="20">
        <f t="shared" si="61"/>
        <v>885.11601908790863</v>
      </c>
      <c r="BH82" s="59">
        <f t="shared" si="62"/>
        <v>1178.4493524212419</v>
      </c>
      <c r="BI82" s="59">
        <f ca="1">AVERAGE(OFFSET($BH$3,0,0,'Données projet'!$E$11+1,1))-AVERAGE(OFFSET($H$3,0,0,'Données projet'!$E$11+1,1))</f>
        <v>555.15881087162279</v>
      </c>
      <c r="BJ82" s="59">
        <f t="shared" si="92"/>
        <v>668.20427590250733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84.76897053059696</v>
      </c>
      <c r="BQ82" s="21">
        <f>EXP(-LN(2)/25)*BQ81+(1-EXP(-LN(2)/25))/(LN(2)/25)*Calculateur!BL82*Calculateur!BN82*VLOOKUP('Données projet'!$B$11,Paramètres!$A$1:$I$89,3,0)*0.475*44/12</f>
        <v>14.851529345847917</v>
      </c>
      <c r="BR82" s="21">
        <f>EXP(-LN(2)/2)*BR81+(1-EXP(-LN(2)/2))/(LN(2)/2)*BL82*BO82*VLOOKUP('Données projet'!$B$11,Paramètres!$A$1:$I$89,3,0)*0.475*44/12</f>
        <v>3.5845193618978081E-8</v>
      </c>
      <c r="BS82" s="22">
        <f t="shared" si="63"/>
        <v>99.620499912290072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</v>
      </c>
      <c r="BY82" s="12">
        <f>IF('Données projet'!$A$114&gt;35,BY81+BX82-CG81,IF(A82&lt;'Données projet'!$A$114,$BV$205^A82,IF(A82='Données projet'!$A$114,'Données projet'!$B$114,BY81+BX82-CG81)))</f>
        <v>376.99999999999972</v>
      </c>
      <c r="BZ82" s="13">
        <f>BY82*VLOOKUP('Données projet'!$B$12,Paramètres!$A$1:$I$89,3,0)*VLOOKUP('Données projet'!$B$12,Paramètres!$A$1:$I$89,5,0)</f>
        <v>247.01039999999981</v>
      </c>
      <c r="CA82" s="13">
        <f t="shared" si="93"/>
        <v>59.945315462121762</v>
      </c>
      <c r="CB82" s="20">
        <f t="shared" si="64"/>
        <v>534.61453776319513</v>
      </c>
      <c r="CC82" s="59">
        <f t="shared" si="65"/>
        <v>827.94787109652839</v>
      </c>
      <c r="CD82" s="59">
        <f ca="1">AVERAGE(OFFSET($CC$3,0,0,'Données projet'!$E$12+1,1))-AVERAGE(OFFSET($H$3,0,0,'Données projet'!$E$12+1,1))</f>
        <v>340.49092994349405</v>
      </c>
      <c r="CE82" s="59">
        <f t="shared" si="94"/>
        <v>331.54434271908832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37.873481208749006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37.873481208749006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7.2</v>
      </c>
      <c r="CT82" s="12">
        <f>IF('Données projet'!$A$140&gt;35,CT81+CS82-DB81,IF(A82&lt;'Données projet'!$A$140,$CQ$205^A82,IF(A82='Données projet'!$A$140,'Données projet'!$B$140,CT81+CS82-DB81)))</f>
        <v>312.8</v>
      </c>
      <c r="CU82" s="17">
        <f>CT82*VLOOKUP('Données projet'!$B$13,Paramètres!$A$1:$I$89,3,0)*VLOOKUP('Données projet'!$B$13,Paramètres!$A$1:$I$89,5,0)</f>
        <v>283.02144000000004</v>
      </c>
      <c r="CV82" s="13">
        <f t="shared" si="95"/>
        <v>67.605126603830598</v>
      </c>
      <c r="CW82" s="20">
        <f t="shared" si="67"/>
        <v>610.67460350167164</v>
      </c>
      <c r="CX82" s="59">
        <f t="shared" si="68"/>
        <v>904.00793683500501</v>
      </c>
      <c r="CY82" s="59">
        <f ca="1">AVERAGE(OFFSET($CX$3,0,0,'Données projet'!$E$13+1,1))-AVERAGE(OFFSET($H$3,0,0,'Données projet'!$E$13+1,1))</f>
        <v>439.19854273764042</v>
      </c>
      <c r="CZ82" s="59">
        <f t="shared" si="96"/>
        <v>278.21741231699929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69.606313695471925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69.606313695471925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7.2</v>
      </c>
      <c r="DO82" s="12">
        <f>IF('Données projet'!$A$166&gt;35,DO81+DN82-DW81,IF(A82&lt;'Données projet'!$A$166,$DL$205^A82,IF(A82='Données projet'!$A$166,'Données projet'!$B$166,DO81+DN82-DW81)))</f>
        <v>312.8</v>
      </c>
      <c r="DP82" s="17">
        <f>DO82*VLOOKUP('Données projet'!$B$14,Paramètres!$A$1:$I$89,3,0)*VLOOKUP('Données projet'!$B$14,Paramètres!$A$1:$I$89,5,0)</f>
        <v>263.50272000000001</v>
      </c>
      <c r="DQ82" s="13">
        <f t="shared" si="97"/>
        <v>63.468433809179743</v>
      </c>
      <c r="DR82" s="20">
        <f t="shared" si="70"/>
        <v>569.4747595509881</v>
      </c>
      <c r="DS82" s="59">
        <f t="shared" si="71"/>
        <v>862.80809288432147</v>
      </c>
      <c r="DT82" s="59">
        <f ca="1">AVERAGE(OFFSET($DS$3,0,0,'Données projet'!$E$14+1,1))-AVERAGE(OFFSET($H$3,0,0,'Données projet'!$E$14+1,1))</f>
        <v>411.72284844766</v>
      </c>
      <c r="DU82" s="59">
        <f t="shared" si="98"/>
        <v>261.95434270986397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64.805878268198015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64.805878268198015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636.99999999999977</v>
      </c>
      <c r="EK82" s="17">
        <f>EJ82*VLOOKUP('Données projet'!$B$15,Paramètres!$A$1:$I$89,3,0)*VLOOKUP('Données projet'!$B$15,Paramètres!$A$1:$I$89,5,0)</f>
        <v>356.08299999999991</v>
      </c>
      <c r="EL82" s="13">
        <f t="shared" si="99"/>
        <v>82.813805255716545</v>
      </c>
      <c r="EM82" s="20">
        <f t="shared" si="73"/>
        <v>764.41193582037283</v>
      </c>
      <c r="EN82" s="59">
        <f t="shared" si="74"/>
        <v>1057.7452691537062</v>
      </c>
      <c r="EO82" s="59">
        <f ca="1">AVERAGE(OFFSET($EN$3,0,0,'Données projet'!$E$15+1,1))-AVERAGE(OFFSET($H$3,0,0,'Données projet'!$E$15+1,1))</f>
        <v>443.34220761968419</v>
      </c>
      <c r="EP82" s="59">
        <f t="shared" si="100"/>
        <v>546.58234447298014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67.083293054533357</v>
      </c>
      <c r="EW82" s="21">
        <f>EXP(-LN(2)/25)*EW81+(1-EXP(-LN(2)/25))/(LN(2)/25)*Calculateur!ER82*Calculateur!ET82*VLOOKUP('Données projet'!$B$15,Paramètres!$A$1:$I$89,3,0)*0.475*44/12</f>
        <v>5.6385114151194919</v>
      </c>
      <c r="EX82" s="21">
        <f>EXP(-LN(2)/2)*EX81+(1-EXP(-LN(2)/2))/(LN(2)/2)*ER82*EU82*VLOOKUP('Données projet'!$B$15,Paramètres!$A$1:$I$89,3,0)*0.475*44/12</f>
        <v>2.5464269618044729E-7</v>
      </c>
      <c r="EY82" s="22">
        <f t="shared" si="75"/>
        <v>72.721804724295552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224.00000000000006</v>
      </c>
      <c r="O83" s="13">
        <f>N83*VLOOKUP('Données projet'!$B$9,Paramètres!$A$1:$I$89,3,0)*VLOOKUP('Données projet'!$B$9,Paramètres!$A$1:$I$89,5,0)</f>
        <v>195.68640000000008</v>
      </c>
      <c r="P83" s="13">
        <f t="shared" si="87"/>
        <v>48.794969360985156</v>
      </c>
      <c r="Q83" s="20">
        <f t="shared" si="54"/>
        <v>425.8050516370493</v>
      </c>
      <c r="R83" s="59">
        <f t="shared" si="55"/>
        <v>719.13838497038262</v>
      </c>
      <c r="S83" s="59">
        <f ca="1">AVERAGE(OFFSET($R$3,0,0,'Données projet'!$E$9+1,1))-AVERAGE(OFFSET($H$3,0,0,'Données projet'!$E$9+1,1))</f>
        <v>304.32767345253382</v>
      </c>
      <c r="T83" s="59">
        <f t="shared" si="88"/>
        <v>427.16091343339173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42.40958591082471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42.40958591082471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381</v>
      </c>
      <c r="AG83" s="12">
        <f>VLOOKUP(A83,'Données projet'!$A$61:$I$81,9,0)</f>
        <v>4</v>
      </c>
      <c r="AH83" s="12">
        <f t="array" ref="AH83">INDEX(AG:AG,MIN(IF(ISNUMBER(AG83:AG279),ROW(AG83:AG279),"")))</f>
        <v>4</v>
      </c>
      <c r="AI83" s="13">
        <f>IF('Données projet'!$A$62&gt;35,AI82+AH83-AQ82,IF(A83&lt;'Données projet'!$A$62,$AF$205^A83,IF(A83='Données projet'!$A$62,'Données projet'!$B$62,AI82+AH83-AQ82)))</f>
        <v>380.99999999999972</v>
      </c>
      <c r="AJ83" s="13">
        <f>AI83*VLOOKUP('Données projet'!$B$10,Paramètres!$A$1:$I$89,3,0)*VLOOKUP('Données projet'!$B$10,Paramètres!$A$1:$I$89,5,0)</f>
        <v>303.12359999999978</v>
      </c>
      <c r="AK83" s="13">
        <f t="shared" si="89"/>
        <v>71.830894732837621</v>
      </c>
      <c r="AL83" s="20">
        <f t="shared" si="58"/>
        <v>653.0457449930251</v>
      </c>
      <c r="AM83" s="59">
        <f t="shared" si="59"/>
        <v>946.37907832635847</v>
      </c>
      <c r="AN83" s="59">
        <f ca="1">AVERAGE(OFFSET($AM$3,0,0,'Données projet'!$E$10+1,1))-AVERAGE(OFFSET($H$3,0,0,'Données projet'!$E$10+1,1))</f>
        <v>405.40026823646758</v>
      </c>
      <c r="AO83" s="59">
        <f t="shared" si="90"/>
        <v>393.0787141050053</v>
      </c>
      <c r="AP83" s="15">
        <f>IF(ISNA(VLOOKUP(A83,'Données projet'!$A$61:$I$81,3,0)),0,VLOOKUP(A83,'Données projet'!$A$61:$I$81,3,0))</f>
        <v>15</v>
      </c>
      <c r="AQ83" s="15">
        <f>IF(ISNA(VLOOKUP(A83,'Données projet'!$A$61:$I$81,4,0)),0,VLOOKUP(A83,'Données projet'!$A$61:$I$81,4,0))</f>
        <v>13</v>
      </c>
      <c r="AR83" s="16">
        <f>IF(ISNA(VLOOKUP(A83,'Données projet'!$A$61:$I$81,5,0)),0%,VLOOKUP(A83,'Données projet'!$A$61:$I$81,5,0)*VLOOKUP('Données projet'!$B$10,Paramètres!$A$1:$I$89,7,0))</f>
        <v>0.53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61.632689148856684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61.632689148856684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739.99999999999966</v>
      </c>
      <c r="BE83" s="13">
        <f>BD83*VLOOKUP('Données projet'!$B$11,Paramètres!$A$1:$I$89,3,0)*VLOOKUP('Données projet'!$B$11,Paramètres!$A$1:$I$89,5,0)</f>
        <v>413.65999999999985</v>
      </c>
      <c r="BF83" s="13">
        <f t="shared" si="91"/>
        <v>94.540585122244352</v>
      </c>
      <c r="BG83" s="20">
        <f t="shared" si="61"/>
        <v>885.11601908790863</v>
      </c>
      <c r="BH83" s="59">
        <f t="shared" si="62"/>
        <v>1178.4493524212419</v>
      </c>
      <c r="BI83" s="59">
        <f ca="1">AVERAGE(OFFSET($BH$3,0,0,'Données projet'!$E$11+1,1))-AVERAGE(OFFSET($H$3,0,0,'Données projet'!$E$11+1,1))</f>
        <v>555.15881087162279</v>
      </c>
      <c r="BJ83" s="59">
        <f t="shared" si="92"/>
        <v>668.20427590250733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83.106702722458635</v>
      </c>
      <c r="BQ83" s="21">
        <f>EXP(-LN(2)/25)*BQ82+(1-EXP(-LN(2)/25))/(LN(2)/25)*Calculateur!BL83*Calculateur!BN83*VLOOKUP('Données projet'!$B$11,Paramètres!$A$1:$I$89,3,0)*0.475*44/12</f>
        <v>14.445413494877721</v>
      </c>
      <c r="BR83" s="21">
        <f>EXP(-LN(2)/2)*BR82+(1-EXP(-LN(2)/2))/(LN(2)/2)*BL83*BO83*VLOOKUP('Données projet'!$B$11,Paramètres!$A$1:$I$89,3,0)*0.475*44/12</f>
        <v>2.5346379480924164E-8</v>
      </c>
      <c r="BS83" s="22">
        <f t="shared" si="63"/>
        <v>97.552116242682743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381</v>
      </c>
      <c r="BW83" s="12">
        <f>VLOOKUP(A83,'Données projet'!$A$113:$I$133,9,0)</f>
        <v>4</v>
      </c>
      <c r="BX83" s="12">
        <f t="array" ref="BX83">INDEX(BW:BW,MIN(IF(ISNUMBER(BW83:BW279),ROW(BW83:BW279),"")))</f>
        <v>4</v>
      </c>
      <c r="BY83" s="12">
        <f>IF('Données projet'!$A$114&gt;35,BY82+BX83-CG82,IF(A83&lt;'Données projet'!$A$114,$BV$205^A83,IF(A83='Données projet'!$A$114,'Données projet'!$B$114,BY82+BX83-CG82)))</f>
        <v>380.99999999999972</v>
      </c>
      <c r="BZ83" s="13">
        <f>BY83*VLOOKUP('Données projet'!$B$12,Paramètres!$A$1:$I$89,3,0)*VLOOKUP('Données projet'!$B$12,Paramètres!$A$1:$I$89,5,0)</f>
        <v>249.63119999999981</v>
      </c>
      <c r="CA83" s="13">
        <f t="shared" si="93"/>
        <v>60.50696109894605</v>
      </c>
      <c r="CB83" s="20">
        <f t="shared" si="64"/>
        <v>540.15729724733058</v>
      </c>
      <c r="CC83" s="59">
        <f t="shared" si="65"/>
        <v>833.49063058066395</v>
      </c>
      <c r="CD83" s="59">
        <f ca="1">AVERAGE(OFFSET($CC$3,0,0,'Données projet'!$E$12+1,1))-AVERAGE(OFFSET($H$3,0,0,'Données projet'!$E$12+1,1))</f>
        <v>340.49092994349405</v>
      </c>
      <c r="CE83" s="59">
        <f t="shared" si="94"/>
        <v>331.54434271908832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13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41.179665779813227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41.179665779813227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320</v>
      </c>
      <c r="CR83" s="12">
        <f>VLOOKUP(A83,'Données projet'!$A$139:$I$159,9,0)</f>
        <v>7.2</v>
      </c>
      <c r="CS83" s="12">
        <f t="array" ref="CS83">INDEX(CR:CR,MIN(IF(ISNUMBER(CR83:CR279),ROW(CR83:CR279),"")))</f>
        <v>7.2</v>
      </c>
      <c r="CT83" s="12">
        <f>IF('Données projet'!$A$140&gt;35,CT82+CS83-DB82,IF(A83&lt;'Données projet'!$A$140,$CQ$205^A83,IF(A83='Données projet'!$A$140,'Données projet'!$B$140,CT82+CS83-DB82)))</f>
        <v>320</v>
      </c>
      <c r="CU83" s="17">
        <f>CT83*VLOOKUP('Données projet'!$B$13,Paramètres!$A$1:$I$89,3,0)*VLOOKUP('Données projet'!$B$13,Paramètres!$A$1:$I$89,5,0)</f>
        <v>289.536</v>
      </c>
      <c r="CV83" s="13">
        <f t="shared" si="95"/>
        <v>68.97829509904436</v>
      </c>
      <c r="CW83" s="20">
        <f t="shared" si="67"/>
        <v>624.41239729750225</v>
      </c>
      <c r="CX83" s="59">
        <f t="shared" si="68"/>
        <v>917.74573063083562</v>
      </c>
      <c r="CY83" s="59">
        <f ca="1">AVERAGE(OFFSET($CX$3,0,0,'Données projet'!$E$13+1,1))-AVERAGE(OFFSET($H$3,0,0,'Données projet'!$E$13+1,1))</f>
        <v>439.19854273764042</v>
      </c>
      <c r="CZ83" s="59">
        <f t="shared" si="96"/>
        <v>278.21741231699929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28</v>
      </c>
      <c r="DC83" s="16">
        <f>IF(ISNA(VLOOKUP(A83,'Données projet'!$A$139:$I$159,5,0)),0%,VLOOKUP(A83,'Données projet'!$A$139:$I$159,5,0)*VLOOKUP('Données projet'!$B$13,Paramètres!$A$1:$I$89,7,0))</f>
        <v>0.43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80.28414071635595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80.28414071635595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320</v>
      </c>
      <c r="DM83" s="12">
        <f>VLOOKUP(A83,'Données projet'!$A$165:$I$185,9,0)</f>
        <v>7.2</v>
      </c>
      <c r="DN83" s="12">
        <f t="array" ref="DN83">INDEX(DM:DM,MIN(IF(ISNUMBER(DM83:DM279),ROW(DM83:DM279),"")))</f>
        <v>7.2</v>
      </c>
      <c r="DO83" s="12">
        <f>IF('Données projet'!$A$166&gt;35,DO82+DN83-DW82,IF(A83&lt;'Données projet'!$A$166,$DL$205^A83,IF(A83='Données projet'!$A$166,'Données projet'!$B$166,DO82+DN83-DW82)))</f>
        <v>320</v>
      </c>
      <c r="DP83" s="17">
        <f>DO83*VLOOKUP('Données projet'!$B$14,Paramètres!$A$1:$I$89,3,0)*VLOOKUP('Données projet'!$B$14,Paramètres!$A$1:$I$89,5,0)</f>
        <v>269.56800000000004</v>
      </c>
      <c r="DQ83" s="13">
        <f t="shared" si="97"/>
        <v>64.757579442439862</v>
      </c>
      <c r="DR83" s="20">
        <f t="shared" si="70"/>
        <v>582.28371752891621</v>
      </c>
      <c r="DS83" s="59">
        <f t="shared" si="71"/>
        <v>875.61705086224947</v>
      </c>
      <c r="DT83" s="59">
        <f ca="1">AVERAGE(OFFSET($DS$3,0,0,'Données projet'!$E$14+1,1))-AVERAGE(OFFSET($H$3,0,0,'Données projet'!$E$14+1,1))</f>
        <v>411.72284844766</v>
      </c>
      <c r="DU83" s="59">
        <f t="shared" si="98"/>
        <v>261.95434270986397</v>
      </c>
      <c r="DV83" s="15">
        <f>IF(ISNA(VLOOKUP(A83,'Données projet'!$A$165:$I$185,3,0)),0,VLOOKUP(A83,'Données projet'!$A$165:$I$185,3,0))</f>
        <v>13</v>
      </c>
      <c r="DW83" s="15">
        <f>IF(ISNA(VLOOKUP(A83,'Données projet'!$A$165:$I$185,4,0)),0,VLOOKUP(A83,'Données projet'!$A$165:$I$185,4,0))</f>
        <v>28</v>
      </c>
      <c r="DX83" s="16">
        <f>IF(ISNA(VLOOKUP(A83,'Données projet'!$A$165:$I$185,5,0)),0%,VLOOKUP(A83,'Données projet'!$A$165:$I$185,5,0)*VLOOKUP('Données projet'!$B$14,Paramètres!$A$1:$I$89,7,0))</f>
        <v>0.43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74.747303425572795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74.747303425572795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636.99999999999977</v>
      </c>
      <c r="EK83" s="17">
        <f>EJ83*VLOOKUP('Données projet'!$B$15,Paramètres!$A$1:$I$89,3,0)*VLOOKUP('Données projet'!$B$15,Paramètres!$A$1:$I$89,5,0)</f>
        <v>356.08299999999991</v>
      </c>
      <c r="EL83" s="13">
        <f t="shared" si="99"/>
        <v>82.813805255716545</v>
      </c>
      <c r="EM83" s="20">
        <f t="shared" si="73"/>
        <v>764.41193582037283</v>
      </c>
      <c r="EN83" s="59">
        <f t="shared" si="74"/>
        <v>1057.7452691537062</v>
      </c>
      <c r="EO83" s="59">
        <f ca="1">AVERAGE(OFFSET($EN$3,0,0,'Données projet'!$E$15+1,1))-AVERAGE(OFFSET($H$3,0,0,'Données projet'!$E$15+1,1))</f>
        <v>443.34220761968419</v>
      </c>
      <c r="EP83" s="59">
        <f t="shared" si="100"/>
        <v>546.58234447298014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65.767830594502527</v>
      </c>
      <c r="EW83" s="21">
        <f>EXP(-LN(2)/25)*EW82+(1-EXP(-LN(2)/25))/(LN(2)/25)*Calculateur!ER83*Calculateur!ET83*VLOOKUP('Données projet'!$B$15,Paramètres!$A$1:$I$89,3,0)*0.475*44/12</f>
        <v>5.4843260239566209</v>
      </c>
      <c r="EX83" s="21">
        <f>EXP(-LN(2)/2)*EX82+(1-EXP(-LN(2)/2))/(LN(2)/2)*ER83*EU83*VLOOKUP('Données projet'!$B$15,Paramètres!$A$1:$I$89,3,0)*0.475*44/12</f>
        <v>1.8005957724882004E-7</v>
      </c>
      <c r="EY83" s="22">
        <f t="shared" si="75"/>
        <v>71.252156798518726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224.00000000000006</v>
      </c>
      <c r="O84" s="13">
        <f>N84*VLOOKUP('Données projet'!$B$9,Paramètres!$A$1:$I$89,3,0)*VLOOKUP('Données projet'!$B$9,Paramètres!$A$1:$I$89,5,0)</f>
        <v>195.68640000000008</v>
      </c>
      <c r="P84" s="13">
        <f t="shared" si="87"/>
        <v>48.794969360985156</v>
      </c>
      <c r="Q84" s="20">
        <f t="shared" si="54"/>
        <v>425.8050516370493</v>
      </c>
      <c r="R84" s="59">
        <f t="shared" si="55"/>
        <v>719.13838497038262</v>
      </c>
      <c r="S84" s="59">
        <f ca="1">AVERAGE(OFFSET($R$3,0,0,'Données projet'!$E$9+1,1))-AVERAGE(OFFSET($H$3,0,0,'Données projet'!$E$9+1,1))</f>
        <v>304.32767345253382</v>
      </c>
      <c r="T84" s="59">
        <f t="shared" si="88"/>
        <v>427.16091343339173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41.57795979840666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41.57795979840666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367.99999999999972</v>
      </c>
      <c r="AJ84" s="13">
        <f>AI84*VLOOKUP('Données projet'!$B$10,Paramètres!$A$1:$I$89,3,0)*VLOOKUP('Données projet'!$B$10,Paramètres!$A$1:$I$89,5,0)</f>
        <v>292.78079999999977</v>
      </c>
      <c r="AK84" s="13">
        <f t="shared" si="89"/>
        <v>69.660903052386217</v>
      </c>
      <c r="AL84" s="20">
        <f t="shared" si="58"/>
        <v>631.25263281623893</v>
      </c>
      <c r="AM84" s="59">
        <f t="shared" si="59"/>
        <v>924.58596614957219</v>
      </c>
      <c r="AN84" s="59">
        <f ca="1">AVERAGE(OFFSET($AM$3,0,0,'Données projet'!$E$10+1,1))-AVERAGE(OFFSET($H$3,0,0,'Données projet'!$E$10+1,1))</f>
        <v>405.40026823646758</v>
      </c>
      <c r="AO84" s="59">
        <f t="shared" si="90"/>
        <v>393.0787141050053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60.42410970687606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60.42410970687606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739.99999999999966</v>
      </c>
      <c r="BE84" s="13">
        <f>BD84*VLOOKUP('Données projet'!$B$11,Paramètres!$A$1:$I$89,3,0)*VLOOKUP('Données projet'!$B$11,Paramètres!$A$1:$I$89,5,0)</f>
        <v>413.65999999999985</v>
      </c>
      <c r="BF84" s="13">
        <f t="shared" si="91"/>
        <v>94.540585122244352</v>
      </c>
      <c r="BG84" s="20">
        <f t="shared" si="61"/>
        <v>885.11601908790863</v>
      </c>
      <c r="BH84" s="59">
        <f t="shared" si="62"/>
        <v>1178.4493524212419</v>
      </c>
      <c r="BI84" s="59">
        <f ca="1">AVERAGE(OFFSET($BH$3,0,0,'Données projet'!$E$11+1,1))-AVERAGE(OFFSET($H$3,0,0,'Données projet'!$E$11+1,1))</f>
        <v>555.15881087162279</v>
      </c>
      <c r="BJ84" s="59">
        <f t="shared" si="92"/>
        <v>668.20427590250733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81.477030972154651</v>
      </c>
      <c r="BQ84" s="21">
        <f>EXP(-LN(2)/25)*BQ83+(1-EXP(-LN(2)/25))/(LN(2)/25)*Calculateur!BL84*Calculateur!BN84*VLOOKUP('Données projet'!$B$11,Paramètres!$A$1:$I$89,3,0)*0.475*44/12</f>
        <v>14.05040290320901</v>
      </c>
      <c r="BR84" s="21">
        <f>EXP(-LN(2)/2)*BR83+(1-EXP(-LN(2)/2))/(LN(2)/2)*BL84*BO84*VLOOKUP('Données projet'!$B$11,Paramètres!$A$1:$I$89,3,0)*0.475*44/12</f>
        <v>1.792259680948904E-8</v>
      </c>
      <c r="BS84" s="22">
        <f t="shared" si="63"/>
        <v>95.527433893286258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367.99999999999972</v>
      </c>
      <c r="BZ84" s="13">
        <f>BY84*VLOOKUP('Données projet'!$B$12,Paramètres!$A$1:$I$89,3,0)*VLOOKUP('Données projet'!$B$12,Paramètres!$A$1:$I$89,5,0)</f>
        <v>241.11359999999982</v>
      </c>
      <c r="CA84" s="13">
        <f t="shared" si="93"/>
        <v>58.6790623558988</v>
      </c>
      <c r="CB84" s="20">
        <f t="shared" si="64"/>
        <v>522.13888693652348</v>
      </c>
      <c r="CC84" s="59">
        <f t="shared" si="65"/>
        <v>815.47222026985673</v>
      </c>
      <c r="CD84" s="59">
        <f ca="1">AVERAGE(OFFSET($CC$3,0,0,'Données projet'!$E$12+1,1))-AVERAGE(OFFSET($H$3,0,0,'Données projet'!$E$12+1,1))</f>
        <v>340.49092994349405</v>
      </c>
      <c r="CE84" s="59">
        <f t="shared" si="94"/>
        <v>331.54434271908832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40.372157650987106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40.372157650987106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6.8</v>
      </c>
      <c r="CT84" s="12">
        <f>IF('Données projet'!$A$140&gt;35,CT83+CS84-DB83,IF(A84&lt;'Données projet'!$A$140,$CQ$205^A84,IF(A84='Données projet'!$A$140,'Données projet'!$B$140,CT83+CS84-DB83)))</f>
        <v>298.8</v>
      </c>
      <c r="CU84" s="17">
        <f>CT84*VLOOKUP('Données projet'!$B$13,Paramètres!$A$1:$I$89,3,0)*VLOOKUP('Données projet'!$B$13,Paramètres!$A$1:$I$89,5,0)</f>
        <v>270.35424</v>
      </c>
      <c r="CV84" s="13">
        <f t="shared" si="95"/>
        <v>64.924442218534367</v>
      </c>
      <c r="CW84" s="20">
        <f t="shared" si="67"/>
        <v>583.94370486394735</v>
      </c>
      <c r="CX84" s="59">
        <f t="shared" si="68"/>
        <v>877.27703819728072</v>
      </c>
      <c r="CY84" s="59">
        <f ca="1">AVERAGE(OFFSET($CX$3,0,0,'Données projet'!$E$13+1,1))-AVERAGE(OFFSET($H$3,0,0,'Données projet'!$E$13+1,1))</f>
        <v>439.19854273764042</v>
      </c>
      <c r="CZ84" s="59">
        <f t="shared" si="96"/>
        <v>278.21741231699929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78.709817685398804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78.709817685398804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6.8</v>
      </c>
      <c r="DO84" s="12">
        <f>IF('Données projet'!$A$166&gt;35,DO83+DN84-DW83,IF(A84&lt;'Données projet'!$A$166,$DL$205^A84,IF(A84='Données projet'!$A$166,'Données projet'!$B$166,DO83+DN84-DW83)))</f>
        <v>298.8</v>
      </c>
      <c r="DP84" s="17">
        <f>DO84*VLOOKUP('Données projet'!$B$14,Paramètres!$A$1:$I$89,3,0)*VLOOKUP('Données projet'!$B$14,Paramètres!$A$1:$I$89,5,0)</f>
        <v>251.70912000000001</v>
      </c>
      <c r="DQ84" s="13">
        <f t="shared" si="97"/>
        <v>60.951777927910598</v>
      </c>
      <c r="DR84" s="20">
        <f t="shared" si="70"/>
        <v>544.55106389111097</v>
      </c>
      <c r="DS84" s="59">
        <f t="shared" si="71"/>
        <v>837.88439722444423</v>
      </c>
      <c r="DT84" s="59">
        <f ca="1">AVERAGE(OFFSET($DS$3,0,0,'Données projet'!$E$14+1,1))-AVERAGE(OFFSET($H$3,0,0,'Données projet'!$E$14+1,1))</f>
        <v>411.72284844766</v>
      </c>
      <c r="DU84" s="59">
        <f t="shared" si="98"/>
        <v>261.95434270986397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73.281554396750636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73.281554396750636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636.99999999999977</v>
      </c>
      <c r="EK84" s="17">
        <f>EJ84*VLOOKUP('Données projet'!$B$15,Paramètres!$A$1:$I$89,3,0)*VLOOKUP('Données projet'!$B$15,Paramètres!$A$1:$I$89,5,0)</f>
        <v>356.08299999999991</v>
      </c>
      <c r="EL84" s="13">
        <f t="shared" si="99"/>
        <v>82.813805255716545</v>
      </c>
      <c r="EM84" s="20">
        <f t="shared" si="73"/>
        <v>764.41193582037283</v>
      </c>
      <c r="EN84" s="59">
        <f t="shared" si="74"/>
        <v>1057.7452691537062</v>
      </c>
      <c r="EO84" s="59">
        <f ca="1">AVERAGE(OFFSET($EN$3,0,0,'Données projet'!$E$15+1,1))-AVERAGE(OFFSET($H$3,0,0,'Données projet'!$E$15+1,1))</f>
        <v>443.34220761968419</v>
      </c>
      <c r="EP84" s="59">
        <f t="shared" si="100"/>
        <v>546.58234447298014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64.478163550960019</v>
      </c>
      <c r="EW84" s="21">
        <f>EXP(-LN(2)/25)*EW83+(1-EXP(-LN(2)/25))/(LN(2)/25)*Calculateur!ER84*Calculateur!ET84*VLOOKUP('Données projet'!$B$15,Paramètres!$A$1:$I$89,3,0)*0.475*44/12</f>
        <v>5.3343568404233563</v>
      </c>
      <c r="EX84" s="21">
        <f>EXP(-LN(2)/2)*EX83+(1-EXP(-LN(2)/2))/(LN(2)/2)*ER84*EU84*VLOOKUP('Données projet'!$B$15,Paramètres!$A$1:$I$89,3,0)*0.475*44/12</f>
        <v>1.2732134809022364E-7</v>
      </c>
      <c r="EY84" s="22">
        <f t="shared" si="75"/>
        <v>69.812520518704716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224.00000000000006</v>
      </c>
      <c r="O85" s="13">
        <f>N85*VLOOKUP('Données projet'!$B$9,Paramètres!$A$1:$I$89,3,0)*VLOOKUP('Données projet'!$B$9,Paramètres!$A$1:$I$89,5,0)</f>
        <v>195.68640000000008</v>
      </c>
      <c r="P85" s="13">
        <f t="shared" si="87"/>
        <v>48.794969360985156</v>
      </c>
      <c r="Q85" s="20">
        <f t="shared" si="54"/>
        <v>425.8050516370493</v>
      </c>
      <c r="R85" s="59">
        <f t="shared" si="55"/>
        <v>719.13838497038262</v>
      </c>
      <c r="S85" s="59">
        <f ca="1">AVERAGE(OFFSET($R$3,0,0,'Données projet'!$E$9+1,1))-AVERAGE(OFFSET($H$3,0,0,'Données projet'!$E$9+1,1))</f>
        <v>304.32767345253382</v>
      </c>
      <c r="T85" s="59">
        <f t="shared" si="88"/>
        <v>427.16091343339173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40.762641366811287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40.762641366811287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367.99999999999972</v>
      </c>
      <c r="AJ85" s="13">
        <f>AI85*VLOOKUP('Données projet'!$B$10,Paramètres!$A$1:$I$89,3,0)*VLOOKUP('Données projet'!$B$10,Paramètres!$A$1:$I$89,5,0)</f>
        <v>292.78079999999977</v>
      </c>
      <c r="AK85" s="13">
        <f t="shared" si="89"/>
        <v>69.660903052386217</v>
      </c>
      <c r="AL85" s="20">
        <f t="shared" si="58"/>
        <v>631.25263281623893</v>
      </c>
      <c r="AM85" s="59">
        <f t="shared" si="59"/>
        <v>924.58596614957219</v>
      </c>
      <c r="AN85" s="59">
        <f ca="1">AVERAGE(OFFSET($AM$3,0,0,'Données projet'!$E$10+1,1))-AVERAGE(OFFSET($H$3,0,0,'Données projet'!$E$10+1,1))</f>
        <v>405.40026823646758</v>
      </c>
      <c r="AO85" s="59">
        <f t="shared" si="90"/>
        <v>393.0787141050053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59.239229770592004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59.239229770592004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739.99999999999966</v>
      </c>
      <c r="BE85" s="13">
        <f>BD85*VLOOKUP('Données projet'!$B$11,Paramètres!$A$1:$I$89,3,0)*VLOOKUP('Données projet'!$B$11,Paramètres!$A$1:$I$89,5,0)</f>
        <v>413.65999999999985</v>
      </c>
      <c r="BF85" s="13">
        <f t="shared" si="91"/>
        <v>94.540585122244352</v>
      </c>
      <c r="BG85" s="20">
        <f t="shared" si="61"/>
        <v>885.11601908790863</v>
      </c>
      <c r="BH85" s="59">
        <f t="shared" si="62"/>
        <v>1178.4493524212419</v>
      </c>
      <c r="BI85" s="59">
        <f ca="1">AVERAGE(OFFSET($BH$3,0,0,'Données projet'!$E$11+1,1))-AVERAGE(OFFSET($H$3,0,0,'Données projet'!$E$11+1,1))</f>
        <v>555.15881087162279</v>
      </c>
      <c r="BJ85" s="59">
        <f t="shared" si="92"/>
        <v>668.20427590250733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79.879316090872507</v>
      </c>
      <c r="BQ85" s="21">
        <f>EXP(-LN(2)/25)*BQ84+(1-EXP(-LN(2)/25))/(LN(2)/25)*Calculateur!BL85*Calculateur!BN85*VLOOKUP('Données projet'!$B$11,Paramètres!$A$1:$I$89,3,0)*0.475*44/12</f>
        <v>13.666193896942183</v>
      </c>
      <c r="BR85" s="21">
        <f>EXP(-LN(2)/2)*BR84+(1-EXP(-LN(2)/2))/(LN(2)/2)*BL85*BO85*VLOOKUP('Données projet'!$B$11,Paramètres!$A$1:$I$89,3,0)*0.475*44/12</f>
        <v>1.2673189740462082E-8</v>
      </c>
      <c r="BS85" s="22">
        <f t="shared" si="63"/>
        <v>93.545510000487866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367.99999999999972</v>
      </c>
      <c r="BZ85" s="13">
        <f>BY85*VLOOKUP('Données projet'!$B$12,Paramètres!$A$1:$I$89,3,0)*VLOOKUP('Données projet'!$B$12,Paramètres!$A$1:$I$89,5,0)</f>
        <v>241.11359999999982</v>
      </c>
      <c r="CA85" s="13">
        <f t="shared" si="93"/>
        <v>58.6790623558988</v>
      </c>
      <c r="CB85" s="20">
        <f t="shared" si="64"/>
        <v>522.13888693652348</v>
      </c>
      <c r="CC85" s="59">
        <f t="shared" si="65"/>
        <v>815.47222026985673</v>
      </c>
      <c r="CD85" s="59">
        <f ca="1">AVERAGE(OFFSET($CC$3,0,0,'Données projet'!$E$12+1,1))-AVERAGE(OFFSET($H$3,0,0,'Données projet'!$E$12+1,1))</f>
        <v>340.49092994349405</v>
      </c>
      <c r="CE85" s="59">
        <f t="shared" si="94"/>
        <v>331.54434271908832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39.580484264035938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39.580484264035938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6.8</v>
      </c>
      <c r="CT85" s="12">
        <f>IF('Données projet'!$A$140&gt;35,CT84+CS85-DB84,IF(A85&lt;'Données projet'!$A$140,$CQ$205^A85,IF(A85='Données projet'!$A$140,'Données projet'!$B$140,CT84+CS85-DB84)))</f>
        <v>305.60000000000002</v>
      </c>
      <c r="CU85" s="17">
        <f>CT85*VLOOKUP('Données projet'!$B$13,Paramètres!$A$1:$I$89,3,0)*VLOOKUP('Données projet'!$B$13,Paramètres!$A$1:$I$89,5,0)</f>
        <v>276.50687999999997</v>
      </c>
      <c r="CV85" s="13">
        <f t="shared" si="95"/>
        <v>66.228273722513677</v>
      </c>
      <c r="CW85" s="20">
        <f t="shared" si="67"/>
        <v>596.93039273337797</v>
      </c>
      <c r="CX85" s="59">
        <f t="shared" si="68"/>
        <v>890.26372606671134</v>
      </c>
      <c r="CY85" s="59">
        <f ca="1">AVERAGE(OFFSET($CX$3,0,0,'Données projet'!$E$13+1,1))-AVERAGE(OFFSET($H$3,0,0,'Données projet'!$E$13+1,1))</f>
        <v>439.19854273764042</v>
      </c>
      <c r="CZ85" s="59">
        <f t="shared" si="96"/>
        <v>278.21741231699929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77.166366168836504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77.166366168836504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6.8</v>
      </c>
      <c r="DO85" s="12">
        <f>IF('Données projet'!$A$166&gt;35,DO84+DN85-DW84,IF(A85&lt;'Données projet'!$A$166,$DL$205^A85,IF(A85='Données projet'!$A$166,'Données projet'!$B$166,DO84+DN85-DW84)))</f>
        <v>305.60000000000002</v>
      </c>
      <c r="DP85" s="17">
        <f>DO85*VLOOKUP('Données projet'!$B$14,Paramètres!$A$1:$I$89,3,0)*VLOOKUP('Données projet'!$B$14,Paramètres!$A$1:$I$89,5,0)</f>
        <v>257.43744000000004</v>
      </c>
      <c r="DQ85" s="13">
        <f t="shared" si="97"/>
        <v>62.175829233865038</v>
      </c>
      <c r="DR85" s="20">
        <f t="shared" si="70"/>
        <v>556.65977724898164</v>
      </c>
      <c r="DS85" s="59">
        <f t="shared" si="71"/>
        <v>849.99311058231501</v>
      </c>
      <c r="DT85" s="59">
        <f ca="1">AVERAGE(OFFSET($DS$3,0,0,'Données projet'!$E$14+1,1))-AVERAGE(OFFSET($H$3,0,0,'Données projet'!$E$14+1,1))</f>
        <v>411.72284844766</v>
      </c>
      <c r="DU85" s="59">
        <f t="shared" si="98"/>
        <v>261.95434270986397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71.844547812365036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71.844547812365036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636.99999999999977</v>
      </c>
      <c r="EK85" s="17">
        <f>EJ85*VLOOKUP('Données projet'!$B$15,Paramètres!$A$1:$I$89,3,0)*VLOOKUP('Données projet'!$B$15,Paramètres!$A$1:$I$89,5,0)</f>
        <v>356.08299999999991</v>
      </c>
      <c r="EL85" s="13">
        <f t="shared" si="99"/>
        <v>82.813805255716545</v>
      </c>
      <c r="EM85" s="20">
        <f t="shared" si="73"/>
        <v>764.41193582037283</v>
      </c>
      <c r="EN85" s="59">
        <f t="shared" si="74"/>
        <v>1057.7452691537062</v>
      </c>
      <c r="EO85" s="59">
        <f ca="1">AVERAGE(OFFSET($EN$3,0,0,'Données projet'!$E$15+1,1))-AVERAGE(OFFSET($H$3,0,0,'Données projet'!$E$15+1,1))</f>
        <v>443.34220761968419</v>
      </c>
      <c r="EP85" s="59">
        <f t="shared" si="100"/>
        <v>546.58234447298014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63.213786091522159</v>
      </c>
      <c r="EW85" s="21">
        <f>EXP(-LN(2)/25)*EW84+(1-EXP(-LN(2)/25))/(LN(2)/25)*Calculateur!ER85*Calculateur!ET85*VLOOKUP('Données projet'!$B$15,Paramètres!$A$1:$I$89,3,0)*0.475*44/12</f>
        <v>5.1884885721003453</v>
      </c>
      <c r="EX85" s="21">
        <f>EXP(-LN(2)/2)*EX84+(1-EXP(-LN(2)/2))/(LN(2)/2)*ER85*EU85*VLOOKUP('Données projet'!$B$15,Paramètres!$A$1:$I$89,3,0)*0.475*44/12</f>
        <v>9.0029788624410022E-8</v>
      </c>
      <c r="EY85" s="22">
        <f t="shared" si="75"/>
        <v>68.402274753652293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224.00000000000006</v>
      </c>
      <c r="O86" s="13">
        <f>N86*VLOOKUP('Données projet'!$B$9,Paramètres!$A$1:$I$89,3,0)*VLOOKUP('Données projet'!$B$9,Paramètres!$A$1:$I$89,5,0)</f>
        <v>195.68640000000008</v>
      </c>
      <c r="P86" s="13">
        <f t="shared" si="87"/>
        <v>48.794969360985156</v>
      </c>
      <c r="Q86" s="20">
        <f t="shared" si="54"/>
        <v>425.8050516370493</v>
      </c>
      <c r="R86" s="59">
        <f t="shared" si="55"/>
        <v>719.13838497038262</v>
      </c>
      <c r="S86" s="59">
        <f ca="1">AVERAGE(OFFSET($R$3,0,0,'Données projet'!$E$9+1,1))-AVERAGE(OFFSET($H$3,0,0,'Données projet'!$E$9+1,1))</f>
        <v>304.32767345253382</v>
      </c>
      <c r="T86" s="59">
        <f t="shared" si="88"/>
        <v>427.16091343339173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39.963310832364357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39.963310832364357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367.99999999999972</v>
      </c>
      <c r="AJ86" s="13">
        <f>AI86*VLOOKUP('Données projet'!$B$10,Paramètres!$A$1:$I$89,3,0)*VLOOKUP('Données projet'!$B$10,Paramètres!$A$1:$I$89,5,0)</f>
        <v>292.78079999999977</v>
      </c>
      <c r="AK86" s="13">
        <f t="shared" si="89"/>
        <v>69.660903052386217</v>
      </c>
      <c r="AL86" s="20">
        <f t="shared" si="58"/>
        <v>631.25263281623893</v>
      </c>
      <c r="AM86" s="59">
        <f t="shared" si="59"/>
        <v>924.58596614957219</v>
      </c>
      <c r="AN86" s="59">
        <f ca="1">AVERAGE(OFFSET($AM$3,0,0,'Données projet'!$E$10+1,1))-AVERAGE(OFFSET($H$3,0,0,'Données projet'!$E$10+1,1))</f>
        <v>405.40026823646758</v>
      </c>
      <c r="AO86" s="59">
        <f t="shared" si="90"/>
        <v>393.0787141050053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58.077584607153078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58.077584607153078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739.99999999999966</v>
      </c>
      <c r="BE86" s="13">
        <f>BD86*VLOOKUP('Données projet'!$B$11,Paramètres!$A$1:$I$89,3,0)*VLOOKUP('Données projet'!$B$11,Paramètres!$A$1:$I$89,5,0)</f>
        <v>413.65999999999985</v>
      </c>
      <c r="BF86" s="13">
        <f t="shared" si="91"/>
        <v>94.540585122244352</v>
      </c>
      <c r="BG86" s="20">
        <f t="shared" si="61"/>
        <v>885.11601908790863</v>
      </c>
      <c r="BH86" s="59">
        <f t="shared" si="62"/>
        <v>1178.4493524212419</v>
      </c>
      <c r="BI86" s="59">
        <f ca="1">AVERAGE(OFFSET($BH$3,0,0,'Données projet'!$E$11+1,1))-AVERAGE(OFFSET($H$3,0,0,'Données projet'!$E$11+1,1))</f>
        <v>555.15881087162279</v>
      </c>
      <c r="BJ86" s="59">
        <f t="shared" si="92"/>
        <v>668.20427590250733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78.312931423902455</v>
      </c>
      <c r="BQ86" s="21">
        <f>EXP(-LN(2)/25)*BQ85+(1-EXP(-LN(2)/25))/(LN(2)/25)*Calculateur!BL86*Calculateur!BN86*VLOOKUP('Données projet'!$B$11,Paramètres!$A$1:$I$89,3,0)*0.475*44/12</f>
        <v>13.292491106156396</v>
      </c>
      <c r="BR86" s="21">
        <f>EXP(-LN(2)/2)*BR85+(1-EXP(-LN(2)/2))/(LN(2)/2)*BL86*BO86*VLOOKUP('Données projet'!$B$11,Paramètres!$A$1:$I$89,3,0)*0.475*44/12</f>
        <v>8.9612984047445202E-9</v>
      </c>
      <c r="BS86" s="22">
        <f t="shared" si="63"/>
        <v>91.60542253902014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367.99999999999972</v>
      </c>
      <c r="BZ86" s="13">
        <f>BY86*VLOOKUP('Données projet'!$B$12,Paramètres!$A$1:$I$89,3,0)*VLOOKUP('Données projet'!$B$12,Paramètres!$A$1:$I$89,5,0)</f>
        <v>241.11359999999982</v>
      </c>
      <c r="CA86" s="13">
        <f t="shared" si="93"/>
        <v>58.6790623558988</v>
      </c>
      <c r="CB86" s="20">
        <f t="shared" si="64"/>
        <v>522.13888693652348</v>
      </c>
      <c r="CC86" s="59">
        <f t="shared" si="65"/>
        <v>815.47222026985673</v>
      </c>
      <c r="CD86" s="59">
        <f ca="1">AVERAGE(OFFSET($CC$3,0,0,'Données projet'!$E$12+1,1))-AVERAGE(OFFSET($H$3,0,0,'Données projet'!$E$12+1,1))</f>
        <v>340.49092994349405</v>
      </c>
      <c r="CE86" s="59">
        <f t="shared" si="94"/>
        <v>331.54434271908832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38.804335109329799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38.804335109329799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6.8</v>
      </c>
      <c r="CT86" s="12">
        <f>IF('Données projet'!$A$140&gt;35,CT85+CS86-DB85,IF(A86&lt;'Données projet'!$A$140,$CQ$205^A86,IF(A86='Données projet'!$A$140,'Données projet'!$B$140,CT85+CS86-DB85)))</f>
        <v>312.40000000000003</v>
      </c>
      <c r="CU86" s="17">
        <f>CT86*VLOOKUP('Données projet'!$B$13,Paramètres!$A$1:$I$89,3,0)*VLOOKUP('Données projet'!$B$13,Paramètres!$A$1:$I$89,5,0)</f>
        <v>282.65952000000004</v>
      </c>
      <c r="CV86" s="13">
        <f t="shared" si="95"/>
        <v>67.528732309967324</v>
      </c>
      <c r="CW86" s="20">
        <f t="shared" si="67"/>
        <v>609.91120610652649</v>
      </c>
      <c r="CX86" s="59">
        <f t="shared" si="68"/>
        <v>903.24453943985986</v>
      </c>
      <c r="CY86" s="59">
        <f ca="1">AVERAGE(OFFSET($CX$3,0,0,'Données projet'!$E$13+1,1))-AVERAGE(OFFSET($H$3,0,0,'Données projet'!$E$13+1,1))</f>
        <v>439.19854273764042</v>
      </c>
      <c r="CZ86" s="59">
        <f t="shared" si="96"/>
        <v>278.21741231699929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75.65318079510152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75.65318079510152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6.8</v>
      </c>
      <c r="DO86" s="12">
        <f>IF('Données projet'!$A$166&gt;35,DO85+DN86-DW85,IF(A86&lt;'Données projet'!$A$166,$DL$205^A86,IF(A86='Données projet'!$A$166,'Données projet'!$B$166,DO85+DN86-DW85)))</f>
        <v>312.40000000000003</v>
      </c>
      <c r="DP86" s="17">
        <f>DO86*VLOOKUP('Données projet'!$B$14,Paramètres!$A$1:$I$89,3,0)*VLOOKUP('Données projet'!$B$14,Paramètres!$A$1:$I$89,5,0)</f>
        <v>263.16576000000003</v>
      </c>
      <c r="DQ86" s="13">
        <f t="shared" si="97"/>
        <v>63.396714008817959</v>
      </c>
      <c r="DR86" s="20">
        <f t="shared" si="70"/>
        <v>568.76297556535803</v>
      </c>
      <c r="DS86" s="59">
        <f t="shared" si="71"/>
        <v>862.0963088986914</v>
      </c>
      <c r="DT86" s="59">
        <f ca="1">AVERAGE(OFFSET($DS$3,0,0,'Données projet'!$E$14+1,1))-AVERAGE(OFFSET($H$3,0,0,'Données projet'!$E$14+1,1))</f>
        <v>411.72284844766</v>
      </c>
      <c r="DU86" s="59">
        <f t="shared" si="98"/>
        <v>261.95434270986397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70.435720050611778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70.435720050611778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636.99999999999977</v>
      </c>
      <c r="EK86" s="17">
        <f>EJ86*VLOOKUP('Données projet'!$B$15,Paramètres!$A$1:$I$89,3,0)*VLOOKUP('Données projet'!$B$15,Paramètres!$A$1:$I$89,5,0)</f>
        <v>356.08299999999991</v>
      </c>
      <c r="EL86" s="13">
        <f t="shared" si="99"/>
        <v>82.813805255716545</v>
      </c>
      <c r="EM86" s="20">
        <f t="shared" si="73"/>
        <v>764.41193582037283</v>
      </c>
      <c r="EN86" s="59">
        <f t="shared" si="74"/>
        <v>1057.7452691537062</v>
      </c>
      <c r="EO86" s="59">
        <f ca="1">AVERAGE(OFFSET($EN$3,0,0,'Données projet'!$E$15+1,1))-AVERAGE(OFFSET($H$3,0,0,'Données projet'!$E$15+1,1))</f>
        <v>443.34220761968419</v>
      </c>
      <c r="EP86" s="59">
        <f t="shared" si="100"/>
        <v>546.58234447298014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61.974202302869777</v>
      </c>
      <c r="EW86" s="21">
        <f>EXP(-LN(2)/25)*EW85+(1-EXP(-LN(2)/25))/(LN(2)/25)*Calculateur!ER86*Calculateur!ET86*VLOOKUP('Données projet'!$B$15,Paramètres!$A$1:$I$89,3,0)*0.475*44/12</f>
        <v>5.0466090792455054</v>
      </c>
      <c r="EX86" s="21">
        <f>EXP(-LN(2)/2)*EX85+(1-EXP(-LN(2)/2))/(LN(2)/2)*ER86*EU86*VLOOKUP('Données projet'!$B$15,Paramètres!$A$1:$I$89,3,0)*0.475*44/12</f>
        <v>6.3660674045111822E-8</v>
      </c>
      <c r="EY86" s="22">
        <f t="shared" si="75"/>
        <v>67.020811445775962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224.00000000000006</v>
      </c>
      <c r="O87" s="13">
        <f>N87*VLOOKUP('Données projet'!$B$9,Paramètres!$A$1:$I$89,3,0)*VLOOKUP('Données projet'!$B$9,Paramètres!$A$1:$I$89,5,0)</f>
        <v>195.68640000000008</v>
      </c>
      <c r="P87" s="13">
        <f t="shared" si="87"/>
        <v>48.794969360985156</v>
      </c>
      <c r="Q87" s="20">
        <f t="shared" si="54"/>
        <v>425.8050516370493</v>
      </c>
      <c r="R87" s="59">
        <f t="shared" si="55"/>
        <v>719.13838497038262</v>
      </c>
      <c r="S87" s="59">
        <f ca="1">AVERAGE(OFFSET($R$3,0,0,'Données projet'!$E$9+1,1))-AVERAGE(OFFSET($H$3,0,0,'Données projet'!$E$9+1,1))</f>
        <v>304.32767345253382</v>
      </c>
      <c r="T87" s="59">
        <f t="shared" si="88"/>
        <v>427.16091343339173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39.17965468215445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39.17965468215445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367.99999999999972</v>
      </c>
      <c r="AJ87" s="13">
        <f>AI87*VLOOKUP('Données projet'!$B$10,Paramètres!$A$1:$I$89,3,0)*VLOOKUP('Données projet'!$B$10,Paramètres!$A$1:$I$89,5,0)</f>
        <v>292.78079999999977</v>
      </c>
      <c r="AK87" s="13">
        <f t="shared" si="89"/>
        <v>69.660903052386217</v>
      </c>
      <c r="AL87" s="20">
        <f t="shared" si="58"/>
        <v>631.25263281623893</v>
      </c>
      <c r="AM87" s="59">
        <f t="shared" si="59"/>
        <v>924.58596614957219</v>
      </c>
      <c r="AN87" s="59">
        <f ca="1">AVERAGE(OFFSET($AM$3,0,0,'Données projet'!$E$10+1,1))-AVERAGE(OFFSET($H$3,0,0,'Données projet'!$E$10+1,1))</f>
        <v>405.40026823646758</v>
      </c>
      <c r="AO87" s="59">
        <f t="shared" si="90"/>
        <v>393.0787141050053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56.938718596835606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56.938718596835606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739.99999999999966</v>
      </c>
      <c r="BE87" s="13">
        <f>BD87*VLOOKUP('Données projet'!$B$11,Paramètres!$A$1:$I$89,3,0)*VLOOKUP('Données projet'!$B$11,Paramètres!$A$1:$I$89,5,0)</f>
        <v>413.65999999999985</v>
      </c>
      <c r="BF87" s="13">
        <f t="shared" si="91"/>
        <v>94.540585122244352</v>
      </c>
      <c r="BG87" s="20">
        <f t="shared" si="61"/>
        <v>885.11601908790863</v>
      </c>
      <c r="BH87" s="59">
        <f t="shared" si="62"/>
        <v>1178.4493524212419</v>
      </c>
      <c r="BI87" s="59">
        <f ca="1">AVERAGE(OFFSET($BH$3,0,0,'Données projet'!$E$11+1,1))-AVERAGE(OFFSET($H$3,0,0,'Données projet'!$E$11+1,1))</f>
        <v>555.15881087162279</v>
      </c>
      <c r="BJ87" s="59">
        <f t="shared" si="92"/>
        <v>668.20427590250733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76.777262604851373</v>
      </c>
      <c r="BQ87" s="21">
        <f>EXP(-LN(2)/25)*BQ86+(1-EXP(-LN(2)/25))/(LN(2)/25)*Calculateur!BL87*Calculateur!BN87*VLOOKUP('Données projet'!$B$11,Paramètres!$A$1:$I$89,3,0)*0.475*44/12</f>
        <v>12.929007237836823</v>
      </c>
      <c r="BR87" s="21">
        <f>EXP(-LN(2)/2)*BR86+(1-EXP(-LN(2)/2))/(LN(2)/2)*BL87*BO87*VLOOKUP('Données projet'!$B$11,Paramètres!$A$1:$I$89,3,0)*0.475*44/12</f>
        <v>6.336594870231041E-9</v>
      </c>
      <c r="BS87" s="22">
        <f t="shared" si="63"/>
        <v>89.706269849024793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367.99999999999972</v>
      </c>
      <c r="BZ87" s="13">
        <f>BY87*VLOOKUP('Données projet'!$B$12,Paramètres!$A$1:$I$89,3,0)*VLOOKUP('Données projet'!$B$12,Paramètres!$A$1:$I$89,5,0)</f>
        <v>241.11359999999982</v>
      </c>
      <c r="CA87" s="13">
        <f t="shared" si="93"/>
        <v>58.6790623558988</v>
      </c>
      <c r="CB87" s="20">
        <f t="shared" si="64"/>
        <v>522.13888693652348</v>
      </c>
      <c r="CC87" s="59">
        <f t="shared" si="65"/>
        <v>815.47222026985673</v>
      </c>
      <c r="CD87" s="59">
        <f ca="1">AVERAGE(OFFSET($CC$3,0,0,'Données projet'!$E$12+1,1))-AVERAGE(OFFSET($H$3,0,0,'Données projet'!$E$12+1,1))</f>
        <v>340.49092994349405</v>
      </c>
      <c r="CE87" s="59">
        <f t="shared" si="94"/>
        <v>331.54434271908832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38.043405766143209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38.043405766143209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6.8</v>
      </c>
      <c r="CT87" s="12">
        <f>IF('Données projet'!$A$140&gt;35,CT86+CS87-DB86,IF(A87&lt;'Données projet'!$A$140,$CQ$205^A87,IF(A87='Données projet'!$A$140,'Données projet'!$B$140,CT86+CS87-DB86)))</f>
        <v>319.20000000000005</v>
      </c>
      <c r="CU87" s="17">
        <f>CT87*VLOOKUP('Données projet'!$B$13,Paramètres!$A$1:$I$89,3,0)*VLOOKUP('Données projet'!$B$13,Paramètres!$A$1:$I$89,5,0)</f>
        <v>288.81216000000006</v>
      </c>
      <c r="CV87" s="13">
        <f t="shared" si="95"/>
        <v>68.825899854238159</v>
      </c>
      <c r="CW87" s="20">
        <f t="shared" si="67"/>
        <v>622.88628757946492</v>
      </c>
      <c r="CX87" s="59">
        <f t="shared" si="68"/>
        <v>916.21962091279829</v>
      </c>
      <c r="CY87" s="59">
        <f ca="1">AVERAGE(OFFSET($CX$3,0,0,'Données projet'!$E$13+1,1))-AVERAGE(OFFSET($H$3,0,0,'Données projet'!$E$13+1,1))</f>
        <v>439.19854273764042</v>
      </c>
      <c r="CZ87" s="59">
        <f t="shared" si="96"/>
        <v>278.21741231699929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74.169668063593534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74.169668063593534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6.8</v>
      </c>
      <c r="DO87" s="12">
        <f>IF('Données projet'!$A$166&gt;35,DO86+DN87-DW86,IF(A87&lt;'Données projet'!$A$166,$DL$205^A87,IF(A87='Données projet'!$A$166,'Données projet'!$B$166,DO86+DN87-DW86)))</f>
        <v>319.20000000000005</v>
      </c>
      <c r="DP87" s="17">
        <f>DO87*VLOOKUP('Données projet'!$B$14,Paramètres!$A$1:$I$89,3,0)*VLOOKUP('Données projet'!$B$14,Paramètres!$A$1:$I$89,5,0)</f>
        <v>268.89408000000003</v>
      </c>
      <c r="DQ87" s="13">
        <f t="shared" si="97"/>
        <v>64.614509116360949</v>
      </c>
      <c r="DR87" s="20">
        <f t="shared" si="70"/>
        <v>580.86079271099538</v>
      </c>
      <c r="DS87" s="59">
        <f t="shared" si="71"/>
        <v>874.19412604432864</v>
      </c>
      <c r="DT87" s="59">
        <f ca="1">AVERAGE(OFFSET($DS$3,0,0,'Données projet'!$E$14+1,1))-AVERAGE(OFFSET($H$3,0,0,'Données projet'!$E$14+1,1))</f>
        <v>411.72284844766</v>
      </c>
      <c r="DU87" s="59">
        <f t="shared" si="98"/>
        <v>261.95434270986397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69.054518541966416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69.054518541966416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636.99999999999977</v>
      </c>
      <c r="EK87" s="17">
        <f>EJ87*VLOOKUP('Données projet'!$B$15,Paramètres!$A$1:$I$89,3,0)*VLOOKUP('Données projet'!$B$15,Paramètres!$A$1:$I$89,5,0)</f>
        <v>356.08299999999991</v>
      </c>
      <c r="EL87" s="13">
        <f t="shared" si="99"/>
        <v>82.813805255716545</v>
      </c>
      <c r="EM87" s="20">
        <f t="shared" si="73"/>
        <v>764.41193582037283</v>
      </c>
      <c r="EN87" s="59">
        <f t="shared" si="74"/>
        <v>1057.7452691537062</v>
      </c>
      <c r="EO87" s="59">
        <f ca="1">AVERAGE(OFFSET($EN$3,0,0,'Données projet'!$E$15+1,1))-AVERAGE(OFFSET($H$3,0,0,'Données projet'!$E$15+1,1))</f>
        <v>443.34220761968419</v>
      </c>
      <c r="EP87" s="59">
        <f t="shared" si="100"/>
        <v>546.58234447298014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60.758925996241416</v>
      </c>
      <c r="EW87" s="21">
        <f>EXP(-LN(2)/25)*EW86+(1-EXP(-LN(2)/25))/(LN(2)/25)*Calculateur!ER87*Calculateur!ET87*VLOOKUP('Données projet'!$B$15,Paramètres!$A$1:$I$89,3,0)*0.475*44/12</f>
        <v>4.9086092885839001</v>
      </c>
      <c r="EX87" s="21">
        <f>EXP(-LN(2)/2)*EX86+(1-EXP(-LN(2)/2))/(LN(2)/2)*ER87*EU87*VLOOKUP('Données projet'!$B$15,Paramètres!$A$1:$I$89,3,0)*0.475*44/12</f>
        <v>4.5014894312205011E-8</v>
      </c>
      <c r="EY87" s="22">
        <f t="shared" si="75"/>
        <v>65.66753532984022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224.00000000000006</v>
      </c>
      <c r="O88" s="13">
        <f>N88*VLOOKUP('Données projet'!$B$9,Paramètres!$A$1:$I$89,3,0)*VLOOKUP('Données projet'!$B$9,Paramètres!$A$1:$I$89,5,0)</f>
        <v>195.68640000000008</v>
      </c>
      <c r="P88" s="13">
        <f t="shared" si="87"/>
        <v>48.794969360985156</v>
      </c>
      <c r="Q88" s="20">
        <f t="shared" si="54"/>
        <v>425.8050516370493</v>
      </c>
      <c r="R88" s="59">
        <f t="shared" si="55"/>
        <v>719.13838497038262</v>
      </c>
      <c r="S88" s="59">
        <f ca="1">AVERAGE(OFFSET($R$3,0,0,'Données projet'!$E$9+1,1))-AVERAGE(OFFSET($H$3,0,0,'Données projet'!$E$9+1,1))</f>
        <v>304.32767345253382</v>
      </c>
      <c r="T88" s="59">
        <f t="shared" si="88"/>
        <v>427.16091343339173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38.411365551067099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38.411365551067099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367.99999999999972</v>
      </c>
      <c r="AJ88" s="13">
        <f>AI88*VLOOKUP('Données projet'!$B$10,Paramètres!$A$1:$I$89,3,0)*VLOOKUP('Données projet'!$B$10,Paramètres!$A$1:$I$89,5,0)</f>
        <v>292.78079999999977</v>
      </c>
      <c r="AK88" s="13">
        <f t="shared" si="89"/>
        <v>69.660903052386217</v>
      </c>
      <c r="AL88" s="20">
        <f t="shared" si="58"/>
        <v>631.25263281623893</v>
      </c>
      <c r="AM88" s="59">
        <f t="shared" si="59"/>
        <v>924.58596614957219</v>
      </c>
      <c r="AN88" s="59">
        <f ca="1">AVERAGE(OFFSET($AM$3,0,0,'Données projet'!$E$10+1,1))-AVERAGE(OFFSET($H$3,0,0,'Données projet'!$E$10+1,1))</f>
        <v>405.40026823646758</v>
      </c>
      <c r="AO88" s="59">
        <f t="shared" si="90"/>
        <v>393.0787141050053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55.822185054340778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55.822185054340778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739.99999999999966</v>
      </c>
      <c r="BE88" s="13">
        <f>BD88*VLOOKUP('Données projet'!$B$11,Paramètres!$A$1:$I$89,3,0)*VLOOKUP('Données projet'!$B$11,Paramètres!$A$1:$I$89,5,0)</f>
        <v>413.65999999999985</v>
      </c>
      <c r="BF88" s="13">
        <f t="shared" si="91"/>
        <v>94.540585122244352</v>
      </c>
      <c r="BG88" s="20">
        <f t="shared" si="61"/>
        <v>885.11601908790863</v>
      </c>
      <c r="BH88" s="59">
        <f t="shared" si="62"/>
        <v>1178.4493524212419</v>
      </c>
      <c r="BI88" s="59">
        <f ca="1">AVERAGE(OFFSET($BH$3,0,0,'Données projet'!$E$11+1,1))-AVERAGE(OFFSET($H$3,0,0,'Données projet'!$E$11+1,1))</f>
        <v>555.15881087162279</v>
      </c>
      <c r="BJ88" s="59">
        <f t="shared" si="92"/>
        <v>668.20427590250733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75.271707314676391</v>
      </c>
      <c r="BQ88" s="21">
        <f>EXP(-LN(2)/25)*BQ87+(1-EXP(-LN(2)/25))/(LN(2)/25)*Calculateur!BL88*Calculateur!BN88*VLOOKUP('Données projet'!$B$11,Paramètres!$A$1:$I$89,3,0)*0.475*44/12</f>
        <v>12.575462855011233</v>
      </c>
      <c r="BR88" s="21">
        <f>EXP(-LN(2)/2)*BR87+(1-EXP(-LN(2)/2))/(LN(2)/2)*BL88*BO88*VLOOKUP('Données projet'!$B$11,Paramètres!$A$1:$I$89,3,0)*0.475*44/12</f>
        <v>4.4806492023722601E-9</v>
      </c>
      <c r="BS88" s="22">
        <f t="shared" si="63"/>
        <v>87.847170174168284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367.99999999999972</v>
      </c>
      <c r="BZ88" s="13">
        <f>BY88*VLOOKUP('Données projet'!$B$12,Paramètres!$A$1:$I$89,3,0)*VLOOKUP('Données projet'!$B$12,Paramètres!$A$1:$I$89,5,0)</f>
        <v>241.11359999999982</v>
      </c>
      <c r="CA88" s="13">
        <f t="shared" si="93"/>
        <v>58.6790623558988</v>
      </c>
      <c r="CB88" s="20">
        <f t="shared" si="64"/>
        <v>522.13888693652348</v>
      </c>
      <c r="CC88" s="59">
        <f t="shared" si="65"/>
        <v>815.47222026985673</v>
      </c>
      <c r="CD88" s="59">
        <f ca="1">AVERAGE(OFFSET($CC$3,0,0,'Données projet'!$E$12+1,1))-AVERAGE(OFFSET($H$3,0,0,'Données projet'!$E$12+1,1))</f>
        <v>340.49092994349405</v>
      </c>
      <c r="CE88" s="59">
        <f t="shared" si="94"/>
        <v>331.54434271908832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37.297397783255434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37.297397783255434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326</v>
      </c>
      <c r="CR88" s="12">
        <f>VLOOKUP(A88,'Données projet'!$A$139:$I$159,9,0)</f>
        <v>6.8</v>
      </c>
      <c r="CS88" s="12">
        <f t="array" ref="CS88">INDEX(CR:CR,MIN(IF(ISNUMBER(CR88:CR284),ROW(CR88:CR284),"")))</f>
        <v>6.8</v>
      </c>
      <c r="CT88" s="12">
        <f>IF('Données projet'!$A$140&gt;35,CT87+CS88-DB87,IF(A88&lt;'Données projet'!$A$140,$CQ$205^A88,IF(A88='Données projet'!$A$140,'Données projet'!$B$140,CT87+CS88-DB87)))</f>
        <v>326.00000000000006</v>
      </c>
      <c r="CU88" s="17">
        <f>CT88*VLOOKUP('Données projet'!$B$13,Paramètres!$A$1:$I$89,3,0)*VLOOKUP('Données projet'!$B$13,Paramètres!$A$1:$I$89,5,0)</f>
        <v>294.96480000000003</v>
      </c>
      <c r="CV88" s="13">
        <f t="shared" si="95"/>
        <v>70.119854541045001</v>
      </c>
      <c r="CW88" s="20">
        <f t="shared" si="67"/>
        <v>635.85577332565333</v>
      </c>
      <c r="CX88" s="59">
        <f t="shared" si="68"/>
        <v>929.1891066589867</v>
      </c>
      <c r="CY88" s="59">
        <f ca="1">AVERAGE(OFFSET($CX$3,0,0,'Données projet'!$E$13+1,1))-AVERAGE(OFFSET($H$3,0,0,'Données projet'!$E$13+1,1))</f>
        <v>439.19854273764042</v>
      </c>
      <c r="CZ88" s="59">
        <f t="shared" si="96"/>
        <v>278.21741231699929</v>
      </c>
      <c r="DA88" s="15">
        <f>IF(ISNA(VLOOKUP(A88,'Données projet'!$A$139:$I$159,3,0)),0,VLOOKUP(A88,'Données projet'!$A$139:$I$159,3,0))</f>
        <v>14</v>
      </c>
      <c r="DB88" s="15">
        <f>IF(ISNA(VLOOKUP(A88,'Données projet'!$A$139:$I$159,4,0)),0,VLOOKUP(A88,'Données projet'!$A$139:$I$159,4,0))</f>
        <v>28</v>
      </c>
      <c r="DC88" s="16">
        <f>IF(ISNA(VLOOKUP(A88,'Données projet'!$A$139:$I$159,5,0)),0%,VLOOKUP(A88,'Données projet'!$A$139:$I$159,5,0)*VLOOKUP('Données projet'!$B$13,Paramètres!$A$1:$I$89,7,0))</f>
        <v>0.43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84.758010488690019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84.758010488690019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326</v>
      </c>
      <c r="DM88" s="12">
        <f>VLOOKUP(A88,'Données projet'!$A$165:$I$185,9,0)</f>
        <v>6.8</v>
      </c>
      <c r="DN88" s="12">
        <f t="array" ref="DN88">INDEX(DM:DM,MIN(IF(ISNUMBER(DM88:DM284),ROW(DM88:DM284),"")))</f>
        <v>6.8</v>
      </c>
      <c r="DO88" s="12">
        <f>IF('Données projet'!$A$166&gt;35,DO87+DN88-DW87,IF(A88&lt;'Données projet'!$A$166,$DL$205^A88,IF(A88='Données projet'!$A$166,'Données projet'!$B$166,DO87+DN88-DW87)))</f>
        <v>326.00000000000006</v>
      </c>
      <c r="DP88" s="17">
        <f>DO88*VLOOKUP('Données projet'!$B$14,Paramètres!$A$1:$I$89,3,0)*VLOOKUP('Données projet'!$B$14,Paramètres!$A$1:$I$89,5,0)</f>
        <v>274.62240000000008</v>
      </c>
      <c r="DQ88" s="13">
        <f t="shared" si="97"/>
        <v>65.829287958103762</v>
      </c>
      <c r="DR88" s="20">
        <f t="shared" si="70"/>
        <v>592.95335652703079</v>
      </c>
      <c r="DS88" s="59">
        <f t="shared" si="71"/>
        <v>886.28668986036405</v>
      </c>
      <c r="DT88" s="59">
        <f ca="1">AVERAGE(OFFSET($DS$3,0,0,'Données projet'!$E$14+1,1))-AVERAGE(OFFSET($H$3,0,0,'Données projet'!$E$14+1,1))</f>
        <v>411.72284844766</v>
      </c>
      <c r="DU88" s="59">
        <f t="shared" si="98"/>
        <v>261.95434270986397</v>
      </c>
      <c r="DV88" s="15">
        <f>IF(ISNA(VLOOKUP(A88,'Données projet'!$A$165:$I$185,3,0)),0,VLOOKUP(A88,'Données projet'!$A$165:$I$185,3,0))</f>
        <v>14</v>
      </c>
      <c r="DW88" s="15">
        <f>IF(ISNA(VLOOKUP(A88,'Données projet'!$A$165:$I$185,4,0)),0,VLOOKUP(A88,'Données projet'!$A$165:$I$185,4,0))</f>
        <v>28</v>
      </c>
      <c r="DX88" s="16">
        <f>IF(ISNA(VLOOKUP(A88,'Données projet'!$A$165:$I$185,5,0)),0%,VLOOKUP(A88,'Données projet'!$A$165:$I$185,5,0)*VLOOKUP('Données projet'!$B$14,Paramètres!$A$1:$I$89,7,0))</f>
        <v>0.43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78.912630454987266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78.912630454987266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636.99999999999977</v>
      </c>
      <c r="EK88" s="17">
        <f>EJ88*VLOOKUP('Données projet'!$B$15,Paramètres!$A$1:$I$89,3,0)*VLOOKUP('Données projet'!$B$15,Paramètres!$A$1:$I$89,5,0)</f>
        <v>356.08299999999991</v>
      </c>
      <c r="EL88" s="13">
        <f t="shared" si="99"/>
        <v>82.813805255716545</v>
      </c>
      <c r="EM88" s="20">
        <f t="shared" si="73"/>
        <v>764.41193582037283</v>
      </c>
      <c r="EN88" s="59">
        <f t="shared" si="74"/>
        <v>1057.7452691537062</v>
      </c>
      <c r="EO88" s="59">
        <f ca="1">AVERAGE(OFFSET($EN$3,0,0,'Données projet'!$E$15+1,1))-AVERAGE(OFFSET($H$3,0,0,'Données projet'!$E$15+1,1))</f>
        <v>443.34220761968419</v>
      </c>
      <c r="EP88" s="59">
        <f t="shared" si="100"/>
        <v>546.58234447298014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59.56748051674068</v>
      </c>
      <c r="EW88" s="21">
        <f>EXP(-LN(2)/25)*EW87+(1-EXP(-LN(2)/25))/(LN(2)/25)*Calculateur!ER88*Calculateur!ET88*VLOOKUP('Données projet'!$B$15,Paramètres!$A$1:$I$89,3,0)*0.475*44/12</f>
        <v>4.7743831094550293</v>
      </c>
      <c r="EX88" s="21">
        <f>EXP(-LN(2)/2)*EX87+(1-EXP(-LN(2)/2))/(LN(2)/2)*ER88*EU88*VLOOKUP('Données projet'!$B$15,Paramètres!$A$1:$I$89,3,0)*0.475*44/12</f>
        <v>3.1830337022555911E-8</v>
      </c>
      <c r="EY88" s="22">
        <f t="shared" si="75"/>
        <v>64.341863658026043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224.00000000000006</v>
      </c>
      <c r="O89" s="13">
        <f>N89*VLOOKUP('Données projet'!$B$9,Paramètres!$A$1:$I$89,3,0)*VLOOKUP('Données projet'!$B$9,Paramètres!$A$1:$I$89,5,0)</f>
        <v>195.68640000000008</v>
      </c>
      <c r="P89" s="13">
        <f t="shared" si="87"/>
        <v>48.794969360985156</v>
      </c>
      <c r="Q89" s="20">
        <f t="shared" si="54"/>
        <v>425.8050516370493</v>
      </c>
      <c r="R89" s="59">
        <f t="shared" si="55"/>
        <v>719.13838497038262</v>
      </c>
      <c r="S89" s="59">
        <f ca="1">AVERAGE(OFFSET($R$3,0,0,'Données projet'!$E$9+1,1))-AVERAGE(OFFSET($H$3,0,0,'Données projet'!$E$9+1,1))</f>
        <v>304.32767345253382</v>
      </c>
      <c r="T89" s="59">
        <f t="shared" si="88"/>
        <v>427.16091343339173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37.658142101230276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37.658142101230276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367.99999999999972</v>
      </c>
      <c r="AJ89" s="13">
        <f>AI89*VLOOKUP('Données projet'!$B$10,Paramètres!$A$1:$I$89,3,0)*VLOOKUP('Données projet'!$B$10,Paramètres!$A$1:$I$89,5,0)</f>
        <v>292.78079999999977</v>
      </c>
      <c r="AK89" s="13">
        <f t="shared" si="89"/>
        <v>69.660903052386217</v>
      </c>
      <c r="AL89" s="20">
        <f t="shared" si="58"/>
        <v>631.25263281623893</v>
      </c>
      <c r="AM89" s="59">
        <f t="shared" si="59"/>
        <v>924.58596614957219</v>
      </c>
      <c r="AN89" s="59">
        <f ca="1">AVERAGE(OFFSET($AM$3,0,0,'Données projet'!$E$10+1,1))-AVERAGE(OFFSET($H$3,0,0,'Données projet'!$E$10+1,1))</f>
        <v>405.40026823646758</v>
      </c>
      <c r="AO89" s="59">
        <f t="shared" si="90"/>
        <v>393.0787141050053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54.727546053596058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54.727546053596058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739.99999999999966</v>
      </c>
      <c r="BE89" s="13">
        <f>BD89*VLOOKUP('Données projet'!$B$11,Paramètres!$A$1:$I$89,3,0)*VLOOKUP('Données projet'!$B$11,Paramètres!$A$1:$I$89,5,0)</f>
        <v>413.65999999999985</v>
      </c>
      <c r="BF89" s="13">
        <f t="shared" si="91"/>
        <v>94.540585122244352</v>
      </c>
      <c r="BG89" s="20">
        <f t="shared" si="61"/>
        <v>885.11601908790863</v>
      </c>
      <c r="BH89" s="59">
        <f t="shared" si="62"/>
        <v>1178.4493524212419</v>
      </c>
      <c r="BI89" s="59">
        <f ca="1">AVERAGE(OFFSET($BH$3,0,0,'Données projet'!$E$11+1,1))-AVERAGE(OFFSET($H$3,0,0,'Données projet'!$E$11+1,1))</f>
        <v>555.15881087162279</v>
      </c>
      <c r="BJ89" s="59">
        <f t="shared" si="92"/>
        <v>668.20427590250733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73.795675045443687</v>
      </c>
      <c r="BQ89" s="21">
        <f>EXP(-LN(2)/25)*BQ88+(1-EXP(-LN(2)/25))/(LN(2)/25)*Calculateur!BL89*Calculateur!BN89*VLOOKUP('Données projet'!$B$11,Paramètres!$A$1:$I$89,3,0)*0.475*44/12</f>
        <v>12.231586161926101</v>
      </c>
      <c r="BR89" s="21">
        <f>EXP(-LN(2)/2)*BR88+(1-EXP(-LN(2)/2))/(LN(2)/2)*BL89*BO89*VLOOKUP('Données projet'!$B$11,Paramètres!$A$1:$I$89,3,0)*0.475*44/12</f>
        <v>3.1682974351155205E-9</v>
      </c>
      <c r="BS89" s="22">
        <f t="shared" si="63"/>
        <v>86.027261210538086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367.99999999999972</v>
      </c>
      <c r="BZ89" s="13">
        <f>BY89*VLOOKUP('Données projet'!$B$12,Paramètres!$A$1:$I$89,3,0)*VLOOKUP('Données projet'!$B$12,Paramètres!$A$1:$I$89,5,0)</f>
        <v>241.11359999999982</v>
      </c>
      <c r="CA89" s="13">
        <f t="shared" si="93"/>
        <v>58.6790623558988</v>
      </c>
      <c r="CB89" s="20">
        <f t="shared" si="64"/>
        <v>522.13888693652348</v>
      </c>
      <c r="CC89" s="59">
        <f t="shared" si="65"/>
        <v>815.47222026985673</v>
      </c>
      <c r="CD89" s="59">
        <f ca="1">AVERAGE(OFFSET($CC$3,0,0,'Données projet'!$E$12+1,1))-AVERAGE(OFFSET($H$3,0,0,'Données projet'!$E$12+1,1))</f>
        <v>340.49092994349405</v>
      </c>
      <c r="CE89" s="59">
        <f t="shared" si="94"/>
        <v>331.54434271908832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36.56601856189215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36.56601856189215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6.4</v>
      </c>
      <c r="CT89" s="12">
        <f>IF('Données projet'!$A$140&gt;35,CT88+CS89-DB88,IF(A89&lt;'Données projet'!$A$140,$CQ$205^A89,IF(A89='Données projet'!$A$140,'Données projet'!$B$140,CT88+CS89-DB88)))</f>
        <v>304.40000000000003</v>
      </c>
      <c r="CU89" s="17">
        <f>CT89*VLOOKUP('Données projet'!$B$13,Paramètres!$A$1:$I$89,3,0)*VLOOKUP('Données projet'!$B$13,Paramètres!$A$1:$I$89,5,0)</f>
        <v>275.42112000000003</v>
      </c>
      <c r="CV89" s="13">
        <f t="shared" si="95"/>
        <v>65.998433293601067</v>
      </c>
      <c r="CW89" s="20">
        <f t="shared" si="67"/>
        <v>594.63905531968851</v>
      </c>
      <c r="CX89" s="59">
        <f t="shared" si="68"/>
        <v>887.97238865302188</v>
      </c>
      <c r="CY89" s="59">
        <f ca="1">AVERAGE(OFFSET($CX$3,0,0,'Données projet'!$E$13+1,1))-AVERAGE(OFFSET($H$3,0,0,'Données projet'!$E$13+1,1))</f>
        <v>439.19854273764042</v>
      </c>
      <c r="CZ89" s="59">
        <f t="shared" si="96"/>
        <v>278.21741231699929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83.095957600288529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83.095957600288529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6.4</v>
      </c>
      <c r="DO89" s="12">
        <f>IF('Données projet'!$A$166&gt;35,DO88+DN89-DW88,IF(A89&lt;'Données projet'!$A$166,$DL$205^A89,IF(A89='Données projet'!$A$166,'Données projet'!$B$166,DO88+DN89-DW88)))</f>
        <v>304.40000000000003</v>
      </c>
      <c r="DP89" s="17">
        <f>DO89*VLOOKUP('Données projet'!$B$14,Paramètres!$A$1:$I$89,3,0)*VLOOKUP('Données projet'!$B$14,Paramètres!$A$1:$I$89,5,0)</f>
        <v>256.42656000000005</v>
      </c>
      <c r="DQ89" s="13">
        <f t="shared" si="97"/>
        <v>61.960052520146306</v>
      </c>
      <c r="DR89" s="20">
        <f t="shared" si="70"/>
        <v>554.52335013925483</v>
      </c>
      <c r="DS89" s="59">
        <f t="shared" si="71"/>
        <v>847.8566834725882</v>
      </c>
      <c r="DT89" s="59">
        <f ca="1">AVERAGE(OFFSET($DS$3,0,0,'Données projet'!$E$14+1,1))-AVERAGE(OFFSET($H$3,0,0,'Données projet'!$E$14+1,1))</f>
        <v>411.72284844766</v>
      </c>
      <c r="DU89" s="59">
        <f t="shared" si="98"/>
        <v>261.95434270986397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77.365201903716908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77.365201903716908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636.99999999999977</v>
      </c>
      <c r="EK89" s="17">
        <f>EJ89*VLOOKUP('Données projet'!$B$15,Paramètres!$A$1:$I$89,3,0)*VLOOKUP('Données projet'!$B$15,Paramètres!$A$1:$I$89,5,0)</f>
        <v>356.08299999999991</v>
      </c>
      <c r="EL89" s="13">
        <f t="shared" si="99"/>
        <v>82.813805255716545</v>
      </c>
      <c r="EM89" s="20">
        <f t="shared" si="73"/>
        <v>764.41193582037283</v>
      </c>
      <c r="EN89" s="59">
        <f t="shared" si="74"/>
        <v>1057.7452691537062</v>
      </c>
      <c r="EO89" s="59">
        <f ca="1">AVERAGE(OFFSET($EN$3,0,0,'Données projet'!$E$15+1,1))-AVERAGE(OFFSET($H$3,0,0,'Données projet'!$E$15+1,1))</f>
        <v>443.34220761968419</v>
      </c>
      <c r="EP89" s="59">
        <f t="shared" si="100"/>
        <v>546.58234447298014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58.39939855638297</v>
      </c>
      <c r="EW89" s="21">
        <f>EXP(-LN(2)/25)*EW88+(1-EXP(-LN(2)/25))/(LN(2)/25)*Calculateur!ER89*Calculateur!ET89*VLOOKUP('Données projet'!$B$15,Paramètres!$A$1:$I$89,3,0)*0.475*44/12</f>
        <v>4.6438273522530862</v>
      </c>
      <c r="EX89" s="21">
        <f>EXP(-LN(2)/2)*EX88+(1-EXP(-LN(2)/2))/(LN(2)/2)*ER89*EU89*VLOOKUP('Données projet'!$B$15,Paramètres!$A$1:$I$89,3,0)*0.475*44/12</f>
        <v>2.2507447156102506E-8</v>
      </c>
      <c r="EY89" s="22">
        <f t="shared" si="75"/>
        <v>63.043225931143503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224.00000000000006</v>
      </c>
      <c r="O90" s="13">
        <f>N90*VLOOKUP('Données projet'!$B$9,Paramètres!$A$1:$I$89,3,0)*VLOOKUP('Données projet'!$B$9,Paramètres!$A$1:$I$89,5,0)</f>
        <v>195.68640000000008</v>
      </c>
      <c r="P90" s="13">
        <f t="shared" si="87"/>
        <v>48.794969360985156</v>
      </c>
      <c r="Q90" s="20">
        <f t="shared" si="54"/>
        <v>425.8050516370493</v>
      </c>
      <c r="R90" s="59">
        <f t="shared" si="55"/>
        <v>719.13838497038262</v>
      </c>
      <c r="S90" s="59">
        <f ca="1">AVERAGE(OFFSET($R$3,0,0,'Données projet'!$E$9+1,1))-AVERAGE(OFFSET($H$3,0,0,'Données projet'!$E$9+1,1))</f>
        <v>304.32767345253382</v>
      </c>
      <c r="T90" s="59">
        <f t="shared" si="88"/>
        <v>427.16091343339173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36.919688903823811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36.919688903823811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367.99999999999972</v>
      </c>
      <c r="AJ90" s="13">
        <f>AI90*VLOOKUP('Données projet'!$B$10,Paramètres!$A$1:$I$89,3,0)*VLOOKUP('Données projet'!$B$10,Paramètres!$A$1:$I$89,5,0)</f>
        <v>292.78079999999977</v>
      </c>
      <c r="AK90" s="13">
        <f t="shared" si="89"/>
        <v>69.660903052386217</v>
      </c>
      <c r="AL90" s="20">
        <f t="shared" si="58"/>
        <v>631.25263281623893</v>
      </c>
      <c r="AM90" s="59">
        <f t="shared" si="59"/>
        <v>924.58596614957219</v>
      </c>
      <c r="AN90" s="59">
        <f ca="1">AVERAGE(OFFSET($AM$3,0,0,'Données projet'!$E$10+1,1))-AVERAGE(OFFSET($H$3,0,0,'Données projet'!$E$10+1,1))</f>
        <v>405.40026823646758</v>
      </c>
      <c r="AO90" s="59">
        <f t="shared" si="90"/>
        <v>393.0787141050053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53.654372255992079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53.654372255992079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739.99999999999966</v>
      </c>
      <c r="BE90" s="13">
        <f>BD90*VLOOKUP('Données projet'!$B$11,Paramètres!$A$1:$I$89,3,0)*VLOOKUP('Données projet'!$B$11,Paramètres!$A$1:$I$89,5,0)</f>
        <v>413.65999999999985</v>
      </c>
      <c r="BF90" s="13">
        <f t="shared" si="91"/>
        <v>94.540585122244352</v>
      </c>
      <c r="BG90" s="20">
        <f t="shared" si="61"/>
        <v>885.11601908790863</v>
      </c>
      <c r="BH90" s="59">
        <f t="shared" si="62"/>
        <v>1178.4493524212419</v>
      </c>
      <c r="BI90" s="59">
        <f ca="1">AVERAGE(OFFSET($BH$3,0,0,'Données projet'!$E$11+1,1))-AVERAGE(OFFSET($H$3,0,0,'Données projet'!$E$11+1,1))</f>
        <v>555.15881087162279</v>
      </c>
      <c r="BJ90" s="59">
        <f t="shared" si="92"/>
        <v>668.20427590250733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72.348586868719849</v>
      </c>
      <c r="BQ90" s="21">
        <f>EXP(-LN(2)/25)*BQ89+(1-EXP(-LN(2)/25))/(LN(2)/25)*Calculateur!BL90*Calculateur!BN90*VLOOKUP('Données projet'!$B$11,Paramètres!$A$1:$I$89,3,0)*0.475*44/12</f>
        <v>11.897112795097071</v>
      </c>
      <c r="BR90" s="21">
        <f>EXP(-LN(2)/2)*BR89+(1-EXP(-LN(2)/2))/(LN(2)/2)*BL90*BO90*VLOOKUP('Données projet'!$B$11,Paramètres!$A$1:$I$89,3,0)*0.475*44/12</f>
        <v>2.24032460118613E-9</v>
      </c>
      <c r="BS90" s="22">
        <f t="shared" si="63"/>
        <v>84.245699666057249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367.99999999999972</v>
      </c>
      <c r="BZ90" s="13">
        <f>BY90*VLOOKUP('Données projet'!$B$12,Paramètres!$A$1:$I$89,3,0)*VLOOKUP('Données projet'!$B$12,Paramètres!$A$1:$I$89,5,0)</f>
        <v>241.11359999999982</v>
      </c>
      <c r="CA90" s="13">
        <f t="shared" si="93"/>
        <v>58.6790623558988</v>
      </c>
      <c r="CB90" s="20">
        <f t="shared" si="64"/>
        <v>522.13888693652348</v>
      </c>
      <c r="CC90" s="59">
        <f t="shared" si="65"/>
        <v>815.47222026985673</v>
      </c>
      <c r="CD90" s="59">
        <f ca="1">AVERAGE(OFFSET($CC$3,0,0,'Données projet'!$E$12+1,1))-AVERAGE(OFFSET($H$3,0,0,'Données projet'!$E$12+1,1))</f>
        <v>340.49092994349405</v>
      </c>
      <c r="CE90" s="59">
        <f t="shared" si="94"/>
        <v>331.54434271908832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35.848981240962523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35.848981240962523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6.4</v>
      </c>
      <c r="CT90" s="12">
        <f>IF('Données projet'!$A$140&gt;35,CT89+CS90-DB89,IF(A90&lt;'Données projet'!$A$140,$CQ$205^A90,IF(A90='Données projet'!$A$140,'Données projet'!$B$140,CT89+CS90-DB89)))</f>
        <v>310.8</v>
      </c>
      <c r="CU90" s="17">
        <f>CT90*VLOOKUP('Données projet'!$B$13,Paramètres!$A$1:$I$89,3,0)*VLOOKUP('Données projet'!$B$13,Paramètres!$A$1:$I$89,5,0)</f>
        <v>281.21184</v>
      </c>
      <c r="CV90" s="13">
        <f t="shared" si="95"/>
        <v>67.22304110496664</v>
      </c>
      <c r="CW90" s="20">
        <f t="shared" si="67"/>
        <v>606.85741792448357</v>
      </c>
      <c r="CX90" s="59">
        <f t="shared" si="68"/>
        <v>900.19075125781683</v>
      </c>
      <c r="CY90" s="59">
        <f ca="1">AVERAGE(OFFSET($CX$3,0,0,'Données projet'!$E$13+1,1))-AVERAGE(OFFSET($H$3,0,0,'Données projet'!$E$13+1,1))</f>
        <v>439.19854273764042</v>
      </c>
      <c r="CZ90" s="59">
        <f t="shared" si="96"/>
        <v>278.21741231699929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81.466496555276422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81.466496555276422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6.4</v>
      </c>
      <c r="DO90" s="12">
        <f>IF('Données projet'!$A$166&gt;35,DO89+DN90-DW89,IF(A90&lt;'Données projet'!$A$166,$DL$205^A90,IF(A90='Données projet'!$A$166,'Données projet'!$B$166,DO89+DN90-DW89)))</f>
        <v>310.8</v>
      </c>
      <c r="DP90" s="17">
        <f>DO90*VLOOKUP('Données projet'!$B$14,Paramètres!$A$1:$I$89,3,0)*VLOOKUP('Données projet'!$B$14,Paramètres!$A$1:$I$89,5,0)</f>
        <v>261.81792000000002</v>
      </c>
      <c r="DQ90" s="13">
        <f t="shared" si="97"/>
        <v>63.109727755181751</v>
      </c>
      <c r="DR90" s="20">
        <f t="shared" si="70"/>
        <v>565.91565317360812</v>
      </c>
      <c r="DS90" s="59">
        <f t="shared" si="71"/>
        <v>859.24898650694149</v>
      </c>
      <c r="DT90" s="59">
        <f ca="1">AVERAGE(OFFSET($DS$3,0,0,'Données projet'!$E$14+1,1))-AVERAGE(OFFSET($H$3,0,0,'Données projet'!$E$14+1,1))</f>
        <v>411.72284844766</v>
      </c>
      <c r="DU90" s="59">
        <f t="shared" si="98"/>
        <v>261.95434270986397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75.848117482498736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75.848117482498736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636.99999999999977</v>
      </c>
      <c r="EK90" s="17">
        <f>EJ90*VLOOKUP('Données projet'!$B$15,Paramètres!$A$1:$I$89,3,0)*VLOOKUP('Données projet'!$B$15,Paramètres!$A$1:$I$89,5,0)</f>
        <v>356.08299999999991</v>
      </c>
      <c r="EL90" s="13">
        <f t="shared" si="99"/>
        <v>82.813805255716545</v>
      </c>
      <c r="EM90" s="20">
        <f t="shared" si="73"/>
        <v>764.41193582037283</v>
      </c>
      <c r="EN90" s="59">
        <f t="shared" si="74"/>
        <v>1057.7452691537062</v>
      </c>
      <c r="EO90" s="59">
        <f ca="1">AVERAGE(OFFSET($EN$3,0,0,'Données projet'!$E$15+1,1))-AVERAGE(OFFSET($H$3,0,0,'Données projet'!$E$15+1,1))</f>
        <v>443.34220761968419</v>
      </c>
      <c r="EP90" s="59">
        <f t="shared" si="100"/>
        <v>546.58234447298014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57.254221970808224</v>
      </c>
      <c r="EW90" s="21">
        <f>EXP(-LN(2)/25)*EW89+(1-EXP(-LN(2)/25))/(LN(2)/25)*Calculateur!ER90*Calculateur!ET90*VLOOKUP('Données projet'!$B$15,Paramètres!$A$1:$I$89,3,0)*0.475*44/12</f>
        <v>4.5168416490974588</v>
      </c>
      <c r="EX90" s="21">
        <f>EXP(-LN(2)/2)*EX89+(1-EXP(-LN(2)/2))/(LN(2)/2)*ER90*EU90*VLOOKUP('Données projet'!$B$15,Paramètres!$A$1:$I$89,3,0)*0.475*44/12</f>
        <v>1.5915168511277956E-8</v>
      </c>
      <c r="EY90" s="22">
        <f t="shared" si="75"/>
        <v>61.771063635820852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224.00000000000006</v>
      </c>
      <c r="O91" s="13">
        <f>N91*VLOOKUP('Données projet'!$B$9,Paramètres!$A$1:$I$89,3,0)*VLOOKUP('Données projet'!$B$9,Paramètres!$A$1:$I$89,5,0)</f>
        <v>195.68640000000008</v>
      </c>
      <c r="P91" s="13">
        <f t="shared" si="87"/>
        <v>48.794969360985156</v>
      </c>
      <c r="Q91" s="20">
        <f t="shared" si="54"/>
        <v>425.8050516370493</v>
      </c>
      <c r="R91" s="59">
        <f t="shared" si="55"/>
        <v>719.13838497038262</v>
      </c>
      <c r="S91" s="59">
        <f ca="1">AVERAGE(OFFSET($R$3,0,0,'Données projet'!$E$9+1,1))-AVERAGE(OFFSET($H$3,0,0,'Données projet'!$E$9+1,1))</f>
        <v>304.32767345253382</v>
      </c>
      <c r="T91" s="59">
        <f t="shared" si="88"/>
        <v>427.16091343339173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36.195716323206511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36.195716323206511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367.99999999999972</v>
      </c>
      <c r="AJ91" s="13">
        <f>AI91*VLOOKUP('Données projet'!$B$10,Paramètres!$A$1:$I$89,3,0)*VLOOKUP('Données projet'!$B$10,Paramètres!$A$1:$I$89,5,0)</f>
        <v>292.78079999999977</v>
      </c>
      <c r="AK91" s="13">
        <f t="shared" si="89"/>
        <v>69.660903052386217</v>
      </c>
      <c r="AL91" s="20">
        <f t="shared" si="58"/>
        <v>631.25263281623893</v>
      </c>
      <c r="AM91" s="59">
        <f t="shared" si="59"/>
        <v>924.58596614957219</v>
      </c>
      <c r="AN91" s="59">
        <f ca="1">AVERAGE(OFFSET($AM$3,0,0,'Données projet'!$E$10+1,1))-AVERAGE(OFFSET($H$3,0,0,'Données projet'!$E$10+1,1))</f>
        <v>405.40026823646758</v>
      </c>
      <c r="AO91" s="59">
        <f t="shared" si="90"/>
        <v>393.0787141050053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52.60224274198773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52.60224274198773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739.99999999999966</v>
      </c>
      <c r="BE91" s="13">
        <f>BD91*VLOOKUP('Données projet'!$B$11,Paramètres!$A$1:$I$89,3,0)*VLOOKUP('Données projet'!$B$11,Paramètres!$A$1:$I$89,5,0)</f>
        <v>413.65999999999985</v>
      </c>
      <c r="BF91" s="13">
        <f t="shared" si="91"/>
        <v>94.540585122244352</v>
      </c>
      <c r="BG91" s="20">
        <f t="shared" si="61"/>
        <v>885.11601908790863</v>
      </c>
      <c r="BH91" s="59">
        <f t="shared" si="62"/>
        <v>1178.4493524212419</v>
      </c>
      <c r="BI91" s="59">
        <f ca="1">AVERAGE(OFFSET($BH$3,0,0,'Données projet'!$E$11+1,1))-AVERAGE(OFFSET($H$3,0,0,'Données projet'!$E$11+1,1))</f>
        <v>555.15881087162279</v>
      </c>
      <c r="BJ91" s="59">
        <f t="shared" si="92"/>
        <v>668.20427590250733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70.929875208504939</v>
      </c>
      <c r="BQ91" s="21">
        <f>EXP(-LN(2)/25)*BQ90+(1-EXP(-LN(2)/25))/(LN(2)/25)*Calculateur!BL91*Calculateur!BN91*VLOOKUP('Données projet'!$B$11,Paramètres!$A$1:$I$89,3,0)*0.475*44/12</f>
        <v>11.57178562007317</v>
      </c>
      <c r="BR91" s="21">
        <f>EXP(-LN(2)/2)*BR90+(1-EXP(-LN(2)/2))/(LN(2)/2)*BL91*BO91*VLOOKUP('Données projet'!$B$11,Paramètres!$A$1:$I$89,3,0)*0.475*44/12</f>
        <v>1.5841487175577602E-9</v>
      </c>
      <c r="BS91" s="22">
        <f t="shared" si="63"/>
        <v>82.501660830162265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367.99999999999972</v>
      </c>
      <c r="BZ91" s="13">
        <f>BY91*VLOOKUP('Données projet'!$B$12,Paramètres!$A$1:$I$89,3,0)*VLOOKUP('Données projet'!$B$12,Paramètres!$A$1:$I$89,5,0)</f>
        <v>241.11359999999982</v>
      </c>
      <c r="CA91" s="13">
        <f t="shared" si="93"/>
        <v>58.6790623558988</v>
      </c>
      <c r="CB91" s="20">
        <f t="shared" si="64"/>
        <v>522.13888693652348</v>
      </c>
      <c r="CC91" s="59">
        <f t="shared" si="65"/>
        <v>815.47222026985673</v>
      </c>
      <c r="CD91" s="59">
        <f ca="1">AVERAGE(OFFSET($CC$3,0,0,'Données projet'!$E$12+1,1))-AVERAGE(OFFSET($H$3,0,0,'Données projet'!$E$12+1,1))</f>
        <v>340.49092994349405</v>
      </c>
      <c r="CE91" s="59">
        <f t="shared" si="94"/>
        <v>331.54434271908832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35.146004584546745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35.146004584546745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6.4</v>
      </c>
      <c r="CT91" s="12">
        <f>IF('Données projet'!$A$140&gt;35,CT90+CS91-DB90,IF(A91&lt;'Données projet'!$A$140,$CQ$205^A91,IF(A91='Données projet'!$A$140,'Données projet'!$B$140,CT90+CS91-DB90)))</f>
        <v>317.2</v>
      </c>
      <c r="CU91" s="17">
        <f>CT91*VLOOKUP('Données projet'!$B$13,Paramètres!$A$1:$I$89,3,0)*VLOOKUP('Données projet'!$B$13,Paramètres!$A$1:$I$89,5,0)</f>
        <v>287.00255999999996</v>
      </c>
      <c r="CV91" s="13">
        <f t="shared" si="95"/>
        <v>68.444716936118553</v>
      </c>
      <c r="CW91" s="20">
        <f t="shared" si="67"/>
        <v>619.07067399707296</v>
      </c>
      <c r="CX91" s="59">
        <f t="shared" si="68"/>
        <v>912.40400733040633</v>
      </c>
      <c r="CY91" s="59">
        <f ca="1">AVERAGE(OFFSET($CX$3,0,0,'Données projet'!$E$13+1,1))-AVERAGE(OFFSET($H$3,0,0,'Données projet'!$E$13+1,1))</f>
        <v>439.19854273764042</v>
      </c>
      <c r="CZ91" s="59">
        <f t="shared" si="96"/>
        <v>278.21741231699929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79.868988247483898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79.868988247483898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6.4</v>
      </c>
      <c r="DO91" s="12">
        <f>IF('Données projet'!$A$166&gt;35,DO90+DN91-DW90,IF(A91&lt;'Données projet'!$A$166,$DL$205^A91,IF(A91='Données projet'!$A$166,'Données projet'!$B$166,DO90+DN91-DW90)))</f>
        <v>317.2</v>
      </c>
      <c r="DP91" s="17">
        <f>DO91*VLOOKUP('Données projet'!$B$14,Paramètres!$A$1:$I$89,3,0)*VLOOKUP('Données projet'!$B$14,Paramètres!$A$1:$I$89,5,0)</f>
        <v>267.20928000000004</v>
      </c>
      <c r="DQ91" s="13">
        <f t="shared" si="97"/>
        <v>64.256650415058076</v>
      </c>
      <c r="DR91" s="20">
        <f t="shared" si="70"/>
        <v>577.3031621395595</v>
      </c>
      <c r="DS91" s="59">
        <f t="shared" si="71"/>
        <v>870.63649547289288</v>
      </c>
      <c r="DT91" s="59">
        <f ca="1">AVERAGE(OFFSET($DS$3,0,0,'Données projet'!$E$14+1,1))-AVERAGE(OFFSET($H$3,0,0,'Données projet'!$E$14+1,1))</f>
        <v>411.72284844766</v>
      </c>
      <c r="DU91" s="59">
        <f t="shared" si="98"/>
        <v>261.95434270986397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74.36078216145053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74.36078216145053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636.99999999999977</v>
      </c>
      <c r="EK91" s="17">
        <f>EJ91*VLOOKUP('Données projet'!$B$15,Paramètres!$A$1:$I$89,3,0)*VLOOKUP('Données projet'!$B$15,Paramètres!$A$1:$I$89,5,0)</f>
        <v>356.08299999999991</v>
      </c>
      <c r="EL91" s="13">
        <f t="shared" si="99"/>
        <v>82.813805255716545</v>
      </c>
      <c r="EM91" s="20">
        <f t="shared" si="73"/>
        <v>764.41193582037283</v>
      </c>
      <c r="EN91" s="59">
        <f t="shared" si="74"/>
        <v>1057.7452691537062</v>
      </c>
      <c r="EO91" s="59">
        <f ca="1">AVERAGE(OFFSET($EN$3,0,0,'Données projet'!$E$15+1,1))-AVERAGE(OFFSET($H$3,0,0,'Données projet'!$E$15+1,1))</f>
        <v>443.34220761968419</v>
      </c>
      <c r="EP91" s="59">
        <f t="shared" si="100"/>
        <v>546.58234447298014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56.13150159958785</v>
      </c>
      <c r="EW91" s="21">
        <f>EXP(-LN(2)/25)*EW90+(1-EXP(-LN(2)/25))/(LN(2)/25)*Calculateur!ER91*Calculateur!ET91*VLOOKUP('Données projet'!$B$15,Paramètres!$A$1:$I$89,3,0)*0.475*44/12</f>
        <v>4.3933283766725095</v>
      </c>
      <c r="EX91" s="21">
        <f>EXP(-LN(2)/2)*EX90+(1-EXP(-LN(2)/2))/(LN(2)/2)*ER91*EU91*VLOOKUP('Données projet'!$B$15,Paramètres!$A$1:$I$89,3,0)*0.475*44/12</f>
        <v>1.1253723578051253E-8</v>
      </c>
      <c r="EY91" s="22">
        <f t="shared" si="75"/>
        <v>60.524829987514082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224.00000000000006</v>
      </c>
      <c r="O92" s="13">
        <f>N92*VLOOKUP('Données projet'!$B$9,Paramètres!$A$1:$I$89,3,0)*VLOOKUP('Données projet'!$B$9,Paramètres!$A$1:$I$89,5,0)</f>
        <v>195.68640000000008</v>
      </c>
      <c r="P92" s="13">
        <f t="shared" si="87"/>
        <v>48.794969360985156</v>
      </c>
      <c r="Q92" s="20">
        <f t="shared" si="54"/>
        <v>425.8050516370493</v>
      </c>
      <c r="R92" s="59">
        <f t="shared" si="55"/>
        <v>719.13838497038262</v>
      </c>
      <c r="S92" s="59">
        <f ca="1">AVERAGE(OFFSET($R$3,0,0,'Données projet'!$E$9+1,1))-AVERAGE(OFFSET($H$3,0,0,'Données projet'!$E$9+1,1))</f>
        <v>304.32767345253382</v>
      </c>
      <c r="T92" s="59">
        <f t="shared" si="88"/>
        <v>427.16091343339173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35.485940403315446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35.485940403315446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367.99999999999972</v>
      </c>
      <c r="AJ92" s="13">
        <f>AI92*VLOOKUP('Données projet'!$B$10,Paramètres!$A$1:$I$89,3,0)*VLOOKUP('Données projet'!$B$10,Paramètres!$A$1:$I$89,5,0)</f>
        <v>292.78079999999977</v>
      </c>
      <c r="AK92" s="13">
        <f t="shared" si="89"/>
        <v>69.660903052386217</v>
      </c>
      <c r="AL92" s="20">
        <f t="shared" si="58"/>
        <v>631.25263281623893</v>
      </c>
      <c r="AM92" s="59">
        <f t="shared" si="59"/>
        <v>924.58596614957219</v>
      </c>
      <c r="AN92" s="59">
        <f ca="1">AVERAGE(OFFSET($AM$3,0,0,'Données projet'!$E$10+1,1))-AVERAGE(OFFSET($H$3,0,0,'Données projet'!$E$10+1,1))</f>
        <v>405.40026823646758</v>
      </c>
      <c r="AO92" s="59">
        <f t="shared" si="90"/>
        <v>393.0787141050053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51.570744846017369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51.570744846017369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739.99999999999966</v>
      </c>
      <c r="BE92" s="13">
        <f>BD92*VLOOKUP('Données projet'!$B$11,Paramètres!$A$1:$I$89,3,0)*VLOOKUP('Données projet'!$B$11,Paramètres!$A$1:$I$89,5,0)</f>
        <v>413.65999999999985</v>
      </c>
      <c r="BF92" s="13">
        <f t="shared" si="91"/>
        <v>94.540585122244352</v>
      </c>
      <c r="BG92" s="20">
        <f t="shared" si="61"/>
        <v>885.11601908790863</v>
      </c>
      <c r="BH92" s="59">
        <f t="shared" si="62"/>
        <v>1178.4493524212419</v>
      </c>
      <c r="BI92" s="59">
        <f ca="1">AVERAGE(OFFSET($BH$3,0,0,'Données projet'!$E$11+1,1))-AVERAGE(OFFSET($H$3,0,0,'Données projet'!$E$11+1,1))</f>
        <v>555.15881087162279</v>
      </c>
      <c r="BJ92" s="59">
        <f t="shared" si="92"/>
        <v>668.20427590250733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69.538983618618175</v>
      </c>
      <c r="BQ92" s="21">
        <f>EXP(-LN(2)/25)*BQ91+(1-EXP(-LN(2)/25))/(LN(2)/25)*Calculateur!BL92*Calculateur!BN92*VLOOKUP('Données projet'!$B$11,Paramètres!$A$1:$I$89,3,0)*0.475*44/12</f>
        <v>11.255354533758512</v>
      </c>
      <c r="BR92" s="21">
        <f>EXP(-LN(2)/2)*BR91+(1-EXP(-LN(2)/2))/(LN(2)/2)*BL92*BO92*VLOOKUP('Données projet'!$B$11,Paramètres!$A$1:$I$89,3,0)*0.475*44/12</f>
        <v>1.120162300593065E-9</v>
      </c>
      <c r="BS92" s="22">
        <f t="shared" si="63"/>
        <v>80.794338153496838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367.99999999999972</v>
      </c>
      <c r="BZ92" s="13">
        <f>BY92*VLOOKUP('Données projet'!$B$12,Paramètres!$A$1:$I$89,3,0)*VLOOKUP('Données projet'!$B$12,Paramètres!$A$1:$I$89,5,0)</f>
        <v>241.11359999999982</v>
      </c>
      <c r="CA92" s="13">
        <f t="shared" si="93"/>
        <v>58.6790623558988</v>
      </c>
      <c r="CB92" s="20">
        <f t="shared" si="64"/>
        <v>522.13888693652348</v>
      </c>
      <c r="CC92" s="59">
        <f t="shared" si="65"/>
        <v>815.47222026985673</v>
      </c>
      <c r="CD92" s="59">
        <f ca="1">AVERAGE(OFFSET($CC$3,0,0,'Données projet'!$E$12+1,1))-AVERAGE(OFFSET($H$3,0,0,'Données projet'!$E$12+1,1))</f>
        <v>340.49092994349405</v>
      </c>
      <c r="CE92" s="59">
        <f t="shared" si="94"/>
        <v>331.54434271908832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34.456812871589854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34.456812871589854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6.4</v>
      </c>
      <c r="CT92" s="12">
        <f>IF('Données projet'!$A$140&gt;35,CT91+CS92-DB91,IF(A92&lt;'Données projet'!$A$140,$CQ$205^A92,IF(A92='Données projet'!$A$140,'Données projet'!$B$140,CT91+CS92-DB91)))</f>
        <v>323.59999999999997</v>
      </c>
      <c r="CU92" s="17">
        <f>CT92*VLOOKUP('Données projet'!$B$13,Paramètres!$A$1:$I$89,3,0)*VLOOKUP('Données projet'!$B$13,Paramètres!$A$1:$I$89,5,0)</f>
        <v>292.79327999999992</v>
      </c>
      <c r="CV92" s="13">
        <f t="shared" si="95"/>
        <v>69.663526761731433</v>
      </c>
      <c r="CW92" s="20">
        <f t="shared" si="67"/>
        <v>631.27893844334869</v>
      </c>
      <c r="CX92" s="59">
        <f t="shared" si="68"/>
        <v>924.61227177668206</v>
      </c>
      <c r="CY92" s="59">
        <f ca="1">AVERAGE(OFFSET($CX$3,0,0,'Données projet'!$E$13+1,1))-AVERAGE(OFFSET($H$3,0,0,'Données projet'!$E$13+1,1))</f>
        <v>439.19854273764042</v>
      </c>
      <c r="CZ92" s="59">
        <f t="shared" si="96"/>
        <v>278.21741231699929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78.302806103223332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78.302806103223332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6.4</v>
      </c>
      <c r="DO92" s="12">
        <f>IF('Données projet'!$A$166&gt;35,DO91+DN92-DW91,IF(A92&lt;'Données projet'!$A$166,$DL$205^A92,IF(A92='Données projet'!$A$166,'Données projet'!$B$166,DO91+DN92-DW91)))</f>
        <v>323.59999999999997</v>
      </c>
      <c r="DP92" s="17">
        <f>DO92*VLOOKUP('Données projet'!$B$14,Paramètres!$A$1:$I$89,3,0)*VLOOKUP('Données projet'!$B$14,Paramètres!$A$1:$I$89,5,0)</f>
        <v>272.60064</v>
      </c>
      <c r="DQ92" s="13">
        <f t="shared" si="97"/>
        <v>65.400882437522853</v>
      </c>
      <c r="DR92" s="20">
        <f t="shared" si="70"/>
        <v>588.68598491201885</v>
      </c>
      <c r="DS92" s="59">
        <f t="shared" si="71"/>
        <v>882.01931824535222</v>
      </c>
      <c r="DT92" s="59">
        <f ca="1">AVERAGE(OFFSET($DS$3,0,0,'Données projet'!$E$14+1,1))-AVERAGE(OFFSET($H$3,0,0,'Données projet'!$E$14+1,1))</f>
        <v>411.72284844766</v>
      </c>
      <c r="DU92" s="59">
        <f t="shared" si="98"/>
        <v>261.95434270986397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72.902612578863113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72.902612578863113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636.99999999999977</v>
      </c>
      <c r="EK92" s="17">
        <f>EJ92*VLOOKUP('Données projet'!$B$15,Paramètres!$A$1:$I$89,3,0)*VLOOKUP('Données projet'!$B$15,Paramètres!$A$1:$I$89,5,0)</f>
        <v>356.08299999999991</v>
      </c>
      <c r="EL92" s="13">
        <f t="shared" si="99"/>
        <v>82.813805255716545</v>
      </c>
      <c r="EM92" s="20">
        <f t="shared" si="73"/>
        <v>764.41193582037283</v>
      </c>
      <c r="EN92" s="59">
        <f t="shared" si="74"/>
        <v>1057.7452691537062</v>
      </c>
      <c r="EO92" s="59">
        <f ca="1">AVERAGE(OFFSET($EN$3,0,0,'Données projet'!$E$15+1,1))-AVERAGE(OFFSET($H$3,0,0,'Données projet'!$E$15+1,1))</f>
        <v>443.34220761968419</v>
      </c>
      <c r="EP92" s="59">
        <f t="shared" si="100"/>
        <v>546.58234447298014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55.030797090055302</v>
      </c>
      <c r="EW92" s="21">
        <f>EXP(-LN(2)/25)*EW91+(1-EXP(-LN(2)/25))/(LN(2)/25)*Calculateur!ER92*Calculateur!ET92*VLOOKUP('Données projet'!$B$15,Paramètres!$A$1:$I$89,3,0)*0.475*44/12</f>
        <v>4.2731925811773017</v>
      </c>
      <c r="EX92" s="21">
        <f>EXP(-LN(2)/2)*EX91+(1-EXP(-LN(2)/2))/(LN(2)/2)*ER92*EU92*VLOOKUP('Données projet'!$B$15,Paramètres!$A$1:$I$89,3,0)*0.475*44/12</f>
        <v>7.9575842556389778E-9</v>
      </c>
      <c r="EY92" s="22">
        <f t="shared" si="75"/>
        <v>59.303989679190181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224.00000000000006</v>
      </c>
      <c r="O93" s="13">
        <f>N93*VLOOKUP('Données projet'!$B$9,Paramètres!$A$1:$I$89,3,0)*VLOOKUP('Données projet'!$B$9,Paramètres!$A$1:$I$89,5,0)</f>
        <v>195.68640000000008</v>
      </c>
      <c r="P93" s="13">
        <f t="shared" si="87"/>
        <v>48.794969360985156</v>
      </c>
      <c r="Q93" s="20">
        <f t="shared" si="54"/>
        <v>425.8050516370493</v>
      </c>
      <c r="R93" s="59">
        <f t="shared" si="55"/>
        <v>719.13838497038262</v>
      </c>
      <c r="S93" s="59">
        <f ca="1">AVERAGE(OFFSET($R$3,0,0,'Données projet'!$E$9+1,1))-AVERAGE(OFFSET($H$3,0,0,'Données projet'!$E$9+1,1))</f>
        <v>304.32767345253382</v>
      </c>
      <c r="T93" s="59">
        <f t="shared" si="88"/>
        <v>427.16091343339173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34.790082756292882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34.790082756292882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367.99999999999972</v>
      </c>
      <c r="AJ93" s="13">
        <f>AI93*VLOOKUP('Données projet'!$B$10,Paramètres!$A$1:$I$89,3,0)*VLOOKUP('Données projet'!$B$10,Paramètres!$A$1:$I$89,5,0)</f>
        <v>292.78079999999977</v>
      </c>
      <c r="AK93" s="13">
        <f t="shared" si="89"/>
        <v>69.660903052386217</v>
      </c>
      <c r="AL93" s="20">
        <f t="shared" si="58"/>
        <v>631.25263281623893</v>
      </c>
      <c r="AM93" s="59">
        <f t="shared" si="59"/>
        <v>924.58596614957219</v>
      </c>
      <c r="AN93" s="59">
        <f ca="1">AVERAGE(OFFSET($AM$3,0,0,'Données projet'!$E$10+1,1))-AVERAGE(OFFSET($H$3,0,0,'Données projet'!$E$10+1,1))</f>
        <v>405.40026823646758</v>
      </c>
      <c r="AO93" s="59">
        <f t="shared" si="90"/>
        <v>393.0787141050053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50.559473994635397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50.559473994635397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739.99999999999966</v>
      </c>
      <c r="BE93" s="13">
        <f>BD93*VLOOKUP('Données projet'!$B$11,Paramètres!$A$1:$I$89,3,0)*VLOOKUP('Données projet'!$B$11,Paramètres!$A$1:$I$89,5,0)</f>
        <v>413.65999999999985</v>
      </c>
      <c r="BF93" s="13">
        <f t="shared" si="91"/>
        <v>94.540585122244352</v>
      </c>
      <c r="BG93" s="20">
        <f t="shared" si="61"/>
        <v>885.11601908790863</v>
      </c>
      <c r="BH93" s="59">
        <f t="shared" si="62"/>
        <v>1178.4493524212419</v>
      </c>
      <c r="BI93" s="59">
        <f ca="1">AVERAGE(OFFSET($BH$3,0,0,'Données projet'!$E$11+1,1))-AVERAGE(OFFSET($H$3,0,0,'Données projet'!$E$11+1,1))</f>
        <v>555.15881087162279</v>
      </c>
      <c r="BJ93" s="59">
        <f t="shared" si="92"/>
        <v>668.20427590250733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68.175366564448993</v>
      </c>
      <c r="BQ93" s="21">
        <f>EXP(-LN(2)/25)*BQ92+(1-EXP(-LN(2)/25))/(LN(2)/25)*Calculateur!BL93*Calculateur!BN93*VLOOKUP('Données projet'!$B$11,Paramètres!$A$1:$I$89,3,0)*0.475*44/12</f>
        <v>10.947576272139514</v>
      </c>
      <c r="BR93" s="21">
        <f>EXP(-LN(2)/2)*BR92+(1-EXP(-LN(2)/2))/(LN(2)/2)*BL93*BO93*VLOOKUP('Données projet'!$B$11,Paramètres!$A$1:$I$89,3,0)*0.475*44/12</f>
        <v>7.9207435877888012E-10</v>
      </c>
      <c r="BS93" s="22">
        <f t="shared" si="63"/>
        <v>79.122942837380577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367.99999999999972</v>
      </c>
      <c r="BZ93" s="13">
        <f>BY93*VLOOKUP('Données projet'!$B$12,Paramètres!$A$1:$I$89,3,0)*VLOOKUP('Données projet'!$B$12,Paramètres!$A$1:$I$89,5,0)</f>
        <v>241.11359999999982</v>
      </c>
      <c r="CA93" s="13">
        <f t="shared" si="93"/>
        <v>58.6790623558988</v>
      </c>
      <c r="CB93" s="20">
        <f t="shared" si="64"/>
        <v>522.13888693652348</v>
      </c>
      <c r="CC93" s="59">
        <f t="shared" si="65"/>
        <v>815.47222026985673</v>
      </c>
      <c r="CD93" s="59">
        <f ca="1">AVERAGE(OFFSET($CC$3,0,0,'Données projet'!$E$12+1,1))-AVERAGE(OFFSET($H$3,0,0,'Données projet'!$E$12+1,1))</f>
        <v>340.49092994349405</v>
      </c>
      <c r="CE93" s="59">
        <f t="shared" si="94"/>
        <v>331.54434271908832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33.781135787758615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33.781135787758615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330</v>
      </c>
      <c r="CR93" s="12">
        <f>VLOOKUP(A93,'Données projet'!$A$139:$I$159,9,0)</f>
        <v>6.4</v>
      </c>
      <c r="CS93" s="12">
        <f t="array" ref="CS93">INDEX(CR:CR,MIN(IF(ISNUMBER(CR93:CR289),ROW(CR93:CR289),"")))</f>
        <v>6.4</v>
      </c>
      <c r="CT93" s="12">
        <f>IF('Données projet'!$A$140&gt;35,CT92+CS93-DB92,IF(A93&lt;'Données projet'!$A$140,$CQ$205^A93,IF(A93='Données projet'!$A$140,'Données projet'!$B$140,CT92+CS93-DB92)))</f>
        <v>329.99999999999994</v>
      </c>
      <c r="CU93" s="17">
        <f>CT93*VLOOKUP('Données projet'!$B$13,Paramètres!$A$1:$I$89,3,0)*VLOOKUP('Données projet'!$B$13,Paramètres!$A$1:$I$89,5,0)</f>
        <v>298.58399999999995</v>
      </c>
      <c r="CV93" s="13">
        <f t="shared" si="95"/>
        <v>70.879533797607607</v>
      </c>
      <c r="CW93" s="20">
        <f t="shared" si="67"/>
        <v>643.48232136416652</v>
      </c>
      <c r="CX93" s="59">
        <f t="shared" si="68"/>
        <v>936.81565469749989</v>
      </c>
      <c r="CY93" s="59">
        <f ca="1">AVERAGE(OFFSET($CX$3,0,0,'Données projet'!$E$13+1,1))-AVERAGE(OFFSET($H$3,0,0,'Données projet'!$E$13+1,1))</f>
        <v>439.19854273764042</v>
      </c>
      <c r="CZ93" s="59">
        <f t="shared" si="96"/>
        <v>278.21741231699929</v>
      </c>
      <c r="DA93" s="15">
        <f>IF(ISNA(VLOOKUP(A93,'Données projet'!$A$139:$I$159,3,0)),0,VLOOKUP(A93,'Données projet'!$A$139:$I$159,3,0))</f>
        <v>15</v>
      </c>
      <c r="DB93" s="15">
        <f>IF(ISNA(VLOOKUP(A93,'Données projet'!$A$139:$I$159,4,0)),0,VLOOKUP(A93,'Données projet'!$A$139:$I$159,4,0))</f>
        <v>28</v>
      </c>
      <c r="DC93" s="16">
        <f>IF(ISNA(VLOOKUP(A93,'Données projet'!$A$139:$I$159,5,0)),0%,VLOOKUP(A93,'Données projet'!$A$139:$I$159,5,0)*VLOOKUP('Données projet'!$B$13,Paramètres!$A$1:$I$89,7,0))</f>
        <v>0.43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88.810100212327953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88.810100212327953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330</v>
      </c>
      <c r="DM93" s="12">
        <f>VLOOKUP(A93,'Données projet'!$A$165:$I$185,9,0)</f>
        <v>6.4</v>
      </c>
      <c r="DN93" s="12">
        <f t="array" ref="DN93">INDEX(DM:DM,MIN(IF(ISNUMBER(DM93:DM289),ROW(DM93:DM289),"")))</f>
        <v>6.4</v>
      </c>
      <c r="DO93" s="12">
        <f>IF('Données projet'!$A$166&gt;35,DO92+DN93-DW92,IF(A93&lt;'Données projet'!$A$166,$DL$205^A93,IF(A93='Données projet'!$A$166,'Données projet'!$B$166,DO92+DN93-DW92)))</f>
        <v>329.99999999999994</v>
      </c>
      <c r="DP93" s="17">
        <f>DO93*VLOOKUP('Données projet'!$B$14,Paramètres!$A$1:$I$89,3,0)*VLOOKUP('Données projet'!$B$14,Paramètres!$A$1:$I$89,5,0)</f>
        <v>277.99200000000002</v>
      </c>
      <c r="DQ93" s="13">
        <f t="shared" si="97"/>
        <v>66.542483170264177</v>
      </c>
      <c r="DR93" s="20">
        <f t="shared" si="70"/>
        <v>600.06422485487678</v>
      </c>
      <c r="DS93" s="59">
        <f t="shared" si="71"/>
        <v>893.39755818821004</v>
      </c>
      <c r="DT93" s="59">
        <f ca="1">AVERAGE(OFFSET($DS$3,0,0,'Données projet'!$E$14+1,1))-AVERAGE(OFFSET($H$3,0,0,'Données projet'!$E$14+1,1))</f>
        <v>411.72284844766</v>
      </c>
      <c r="DU93" s="59">
        <f t="shared" si="98"/>
        <v>261.95434270986397</v>
      </c>
      <c r="DV93" s="15">
        <f>IF(ISNA(VLOOKUP(A93,'Données projet'!$A$165:$I$185,3,0)),0,VLOOKUP(A93,'Données projet'!$A$165:$I$185,3,0))</f>
        <v>15</v>
      </c>
      <c r="DW93" s="15">
        <f>IF(ISNA(VLOOKUP(A93,'Données projet'!$A$165:$I$185,4,0)),0,VLOOKUP(A93,'Données projet'!$A$165:$I$185,4,0))</f>
        <v>28</v>
      </c>
      <c r="DX93" s="16">
        <f>IF(ISNA(VLOOKUP(A93,'Données projet'!$A$165:$I$185,5,0)),0%,VLOOKUP(A93,'Données projet'!$A$165:$I$185,5,0)*VLOOKUP('Données projet'!$B$14,Paramètres!$A$1:$I$89,7,0))</f>
        <v>0.43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82.685265714926032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82.685265714926032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636.99999999999977</v>
      </c>
      <c r="EK93" s="17">
        <f>EJ93*VLOOKUP('Données projet'!$B$15,Paramètres!$A$1:$I$89,3,0)*VLOOKUP('Données projet'!$B$15,Paramètres!$A$1:$I$89,5,0)</f>
        <v>356.08299999999991</v>
      </c>
      <c r="EL93" s="13">
        <f t="shared" si="99"/>
        <v>82.813805255716545</v>
      </c>
      <c r="EM93" s="20">
        <f t="shared" si="73"/>
        <v>764.41193582037283</v>
      </c>
      <c r="EN93" s="59">
        <f t="shared" si="74"/>
        <v>1057.7452691537062</v>
      </c>
      <c r="EO93" s="59">
        <f ca="1">AVERAGE(OFFSET($EN$3,0,0,'Données projet'!$E$15+1,1))-AVERAGE(OFFSET($H$3,0,0,'Données projet'!$E$15+1,1))</f>
        <v>443.34220761968419</v>
      </c>
      <c r="EP93" s="59">
        <f t="shared" si="100"/>
        <v>546.58234447298014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53.951676724591231</v>
      </c>
      <c r="EW93" s="21">
        <f>EXP(-LN(2)/25)*EW92+(1-EXP(-LN(2)/25))/(LN(2)/25)*Calculateur!ER93*Calculateur!ET93*VLOOKUP('Données projet'!$B$15,Paramètres!$A$1:$I$89,3,0)*0.475*44/12</f>
        <v>4.1563419053275767</v>
      </c>
      <c r="EX93" s="21">
        <f>EXP(-LN(2)/2)*EX92+(1-EXP(-LN(2)/2))/(LN(2)/2)*ER93*EU93*VLOOKUP('Données projet'!$B$15,Paramètres!$A$1:$I$89,3,0)*0.475*44/12</f>
        <v>5.6268617890256264E-9</v>
      </c>
      <c r="EY93" s="22">
        <f t="shared" si="75"/>
        <v>58.108018635545669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224.00000000000006</v>
      </c>
      <c r="O94" s="13">
        <f>N94*VLOOKUP('Données projet'!$B$9,Paramètres!$A$1:$I$89,3,0)*VLOOKUP('Données projet'!$B$9,Paramètres!$A$1:$I$89,5,0)</f>
        <v>195.68640000000008</v>
      </c>
      <c r="P94" s="13">
        <f t="shared" si="87"/>
        <v>48.794969360985156</v>
      </c>
      <c r="Q94" s="20">
        <f t="shared" si="54"/>
        <v>425.8050516370493</v>
      </c>
      <c r="R94" s="59">
        <f t="shared" si="55"/>
        <v>719.13838497038262</v>
      </c>
      <c r="S94" s="59">
        <f ca="1">AVERAGE(OFFSET($R$3,0,0,'Données projet'!$E$9+1,1))-AVERAGE(OFFSET($H$3,0,0,'Données projet'!$E$9+1,1))</f>
        <v>304.32767345253382</v>
      </c>
      <c r="T94" s="59">
        <f t="shared" si="88"/>
        <v>427.16091343339173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34.107870453297174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34.107870453297174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367.99999999999972</v>
      </c>
      <c r="AJ94" s="13">
        <f>AI94*VLOOKUP('Données projet'!$B$10,Paramètres!$A$1:$I$89,3,0)*VLOOKUP('Données projet'!$B$10,Paramètres!$A$1:$I$89,5,0)</f>
        <v>292.78079999999977</v>
      </c>
      <c r="AK94" s="13">
        <f t="shared" si="89"/>
        <v>69.660903052386217</v>
      </c>
      <c r="AL94" s="20">
        <f t="shared" si="58"/>
        <v>631.25263281623893</v>
      </c>
      <c r="AM94" s="59">
        <f t="shared" si="59"/>
        <v>924.58596614957219</v>
      </c>
      <c r="AN94" s="59">
        <f ca="1">AVERAGE(OFFSET($AM$3,0,0,'Données projet'!$E$10+1,1))-AVERAGE(OFFSET($H$3,0,0,'Données projet'!$E$10+1,1))</f>
        <v>405.40026823646758</v>
      </c>
      <c r="AO94" s="59">
        <f t="shared" si="90"/>
        <v>393.0787141050053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49.568033547834709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49.568033547834709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739.99999999999966</v>
      </c>
      <c r="BE94" s="13">
        <f>BD94*VLOOKUP('Données projet'!$B$11,Paramètres!$A$1:$I$89,3,0)*VLOOKUP('Données projet'!$B$11,Paramètres!$A$1:$I$89,5,0)</f>
        <v>413.65999999999985</v>
      </c>
      <c r="BF94" s="13">
        <f t="shared" si="91"/>
        <v>94.540585122244352</v>
      </c>
      <c r="BG94" s="20">
        <f t="shared" si="61"/>
        <v>885.11601908790863</v>
      </c>
      <c r="BH94" s="59">
        <f t="shared" si="62"/>
        <v>1178.4493524212419</v>
      </c>
      <c r="BI94" s="59">
        <f ca="1">AVERAGE(OFFSET($BH$3,0,0,'Données projet'!$E$11+1,1))-AVERAGE(OFFSET($H$3,0,0,'Données projet'!$E$11+1,1))</f>
        <v>555.15881087162279</v>
      </c>
      <c r="BJ94" s="59">
        <f t="shared" si="92"/>
        <v>668.20427590250733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66.838489208987781</v>
      </c>
      <c r="BQ94" s="21">
        <f>EXP(-LN(2)/25)*BQ93+(1-EXP(-LN(2)/25))/(LN(2)/25)*Calculateur!BL94*Calculateur!BN94*VLOOKUP('Données projet'!$B$11,Paramètres!$A$1:$I$89,3,0)*0.475*44/12</f>
        <v>10.648214223269845</v>
      </c>
      <c r="BR94" s="21">
        <f>EXP(-LN(2)/2)*BR93+(1-EXP(-LN(2)/2))/(LN(2)/2)*BL94*BO94*VLOOKUP('Données projet'!$B$11,Paramètres!$A$1:$I$89,3,0)*0.475*44/12</f>
        <v>5.6008115029653251E-10</v>
      </c>
      <c r="BS94" s="22">
        <f t="shared" si="63"/>
        <v>77.486703432817706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367.99999999999972</v>
      </c>
      <c r="BZ94" s="13">
        <f>BY94*VLOOKUP('Données projet'!$B$12,Paramètres!$A$1:$I$89,3,0)*VLOOKUP('Données projet'!$B$12,Paramètres!$A$1:$I$89,5,0)</f>
        <v>241.11359999999982</v>
      </c>
      <c r="CA94" s="13">
        <f t="shared" si="93"/>
        <v>58.6790623558988</v>
      </c>
      <c r="CB94" s="20">
        <f t="shared" si="64"/>
        <v>522.13888693652348</v>
      </c>
      <c r="CC94" s="59">
        <f t="shared" si="65"/>
        <v>815.47222026985673</v>
      </c>
      <c r="CD94" s="59">
        <f ca="1">AVERAGE(OFFSET($CC$3,0,0,'Données projet'!$E$12+1,1))-AVERAGE(OFFSET($H$3,0,0,'Données projet'!$E$12+1,1))</f>
        <v>340.49092994349405</v>
      </c>
      <c r="CE94" s="59">
        <f t="shared" si="94"/>
        <v>331.54434271908832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33.118708319418978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33.118708319418978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6.2</v>
      </c>
      <c r="CT94" s="12">
        <f>IF('Données projet'!$A$140&gt;35,CT93+CS94-DB93,IF(A94&lt;'Données projet'!$A$140,$CQ$205^A94,IF(A94='Données projet'!$A$140,'Données projet'!$B$140,CT93+CS94-DB93)))</f>
        <v>308.19999999999993</v>
      </c>
      <c r="CU94" s="17">
        <f>CT94*VLOOKUP('Données projet'!$B$13,Paramètres!$A$1:$I$89,3,0)*VLOOKUP('Données projet'!$B$13,Paramètres!$A$1:$I$89,5,0)</f>
        <v>278.85935999999992</v>
      </c>
      <c r="CV94" s="13">
        <f t="shared" si="95"/>
        <v>66.725901622172387</v>
      </c>
      <c r="CW94" s="20">
        <f t="shared" si="67"/>
        <v>601.8943306586167</v>
      </c>
      <c r="CX94" s="59">
        <f t="shared" si="68"/>
        <v>895.22766399195007</v>
      </c>
      <c r="CY94" s="59">
        <f ca="1">AVERAGE(OFFSET($CX$3,0,0,'Données projet'!$E$13+1,1))-AVERAGE(OFFSET($H$3,0,0,'Données projet'!$E$13+1,1))</f>
        <v>439.19854273764042</v>
      </c>
      <c r="CZ94" s="59">
        <f t="shared" si="96"/>
        <v>278.21741231699929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87.068588315976612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87.068588315976612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6.2</v>
      </c>
      <c r="DO94" s="12">
        <f>IF('Données projet'!$A$166&gt;35,DO93+DN94-DW93,IF(A94&lt;'Données projet'!$A$166,$DL$205^A94,IF(A94='Données projet'!$A$166,'Données projet'!$B$166,DO93+DN94-DW93)))</f>
        <v>308.19999999999993</v>
      </c>
      <c r="DP94" s="17">
        <f>DO94*VLOOKUP('Données projet'!$B$14,Paramètres!$A$1:$I$89,3,0)*VLOOKUP('Données projet'!$B$14,Paramètres!$A$1:$I$89,5,0)</f>
        <v>259.62767999999994</v>
      </c>
      <c r="DQ94" s="13">
        <f t="shared" si="97"/>
        <v>62.643007760076095</v>
      </c>
      <c r="DR94" s="20">
        <f t="shared" si="70"/>
        <v>561.28811451546574</v>
      </c>
      <c r="DS94" s="59">
        <f t="shared" si="71"/>
        <v>854.62144784879911</v>
      </c>
      <c r="DT94" s="59">
        <f ca="1">AVERAGE(OFFSET($DS$3,0,0,'Données projet'!$E$14+1,1))-AVERAGE(OFFSET($H$3,0,0,'Données projet'!$E$14+1,1))</f>
        <v>411.72284844766</v>
      </c>
      <c r="DU94" s="59">
        <f t="shared" si="98"/>
        <v>261.95434270986397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81.063858087288565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81.063858087288565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636.99999999999977</v>
      </c>
      <c r="EK94" s="17">
        <f>EJ94*VLOOKUP('Données projet'!$B$15,Paramètres!$A$1:$I$89,3,0)*VLOOKUP('Données projet'!$B$15,Paramètres!$A$1:$I$89,5,0)</f>
        <v>356.08299999999991</v>
      </c>
      <c r="EL94" s="13">
        <f t="shared" si="99"/>
        <v>82.813805255716545</v>
      </c>
      <c r="EM94" s="20">
        <f t="shared" si="73"/>
        <v>764.41193582037283</v>
      </c>
      <c r="EN94" s="59">
        <f t="shared" si="74"/>
        <v>1057.7452691537062</v>
      </c>
      <c r="EO94" s="59">
        <f ca="1">AVERAGE(OFFSET($EN$3,0,0,'Données projet'!$E$15+1,1))-AVERAGE(OFFSET($H$3,0,0,'Données projet'!$E$15+1,1))</f>
        <v>443.34220761968419</v>
      </c>
      <c r="EP94" s="59">
        <f t="shared" si="100"/>
        <v>546.58234447298014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52.893717251295477</v>
      </c>
      <c r="EW94" s="21">
        <f>EXP(-LN(2)/25)*EW93+(1-EXP(-LN(2)/25))/(LN(2)/25)*Calculateur!ER94*Calculateur!ET94*VLOOKUP('Données projet'!$B$15,Paramètres!$A$1:$I$89,3,0)*0.475*44/12</f>
        <v>4.0426865173538724</v>
      </c>
      <c r="EX94" s="21">
        <f>EXP(-LN(2)/2)*EX93+(1-EXP(-LN(2)/2))/(LN(2)/2)*ER94*EU94*VLOOKUP('Données projet'!$B$15,Paramètres!$A$1:$I$89,3,0)*0.475*44/12</f>
        <v>3.9787921278194889E-9</v>
      </c>
      <c r="EY94" s="22">
        <f t="shared" si="75"/>
        <v>56.93640377262814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224.00000000000006</v>
      </c>
      <c r="O95" s="13">
        <f>N95*VLOOKUP('Données projet'!$B$9,Paramètres!$A$1:$I$89,3,0)*VLOOKUP('Données projet'!$B$9,Paramètres!$A$1:$I$89,5,0)</f>
        <v>195.68640000000008</v>
      </c>
      <c r="P95" s="13">
        <f t="shared" si="87"/>
        <v>48.794969360985156</v>
      </c>
      <c r="Q95" s="20">
        <f t="shared" si="54"/>
        <v>425.8050516370493</v>
      </c>
      <c r="R95" s="59">
        <f t="shared" si="55"/>
        <v>719.13838497038262</v>
      </c>
      <c r="S95" s="59">
        <f ca="1">AVERAGE(OFFSET($R$3,0,0,'Données projet'!$E$9+1,1))-AVERAGE(OFFSET($H$3,0,0,'Données projet'!$E$9+1,1))</f>
        <v>304.32767345253382</v>
      </c>
      <c r="T95" s="59">
        <f t="shared" si="88"/>
        <v>427.16091343339173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33.439035917454795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33.439035917454795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367.99999999999972</v>
      </c>
      <c r="AJ95" s="13">
        <f>AI95*VLOOKUP('Données projet'!$B$10,Paramètres!$A$1:$I$89,3,0)*VLOOKUP('Données projet'!$B$10,Paramètres!$A$1:$I$89,5,0)</f>
        <v>292.78079999999977</v>
      </c>
      <c r="AK95" s="13">
        <f t="shared" si="89"/>
        <v>69.660903052386217</v>
      </c>
      <c r="AL95" s="20">
        <f t="shared" si="58"/>
        <v>631.25263281623893</v>
      </c>
      <c r="AM95" s="59">
        <f t="shared" si="59"/>
        <v>924.58596614957219</v>
      </c>
      <c r="AN95" s="59">
        <f ca="1">AVERAGE(OFFSET($AM$3,0,0,'Données projet'!$E$10+1,1))-AVERAGE(OFFSET($H$3,0,0,'Données projet'!$E$10+1,1))</f>
        <v>405.40026823646758</v>
      </c>
      <c r="AO95" s="59">
        <f t="shared" si="90"/>
        <v>393.0787141050053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48.59603464347682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48.59603464347682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739.99999999999966</v>
      </c>
      <c r="BE95" s="13">
        <f>BD95*VLOOKUP('Données projet'!$B$11,Paramètres!$A$1:$I$89,3,0)*VLOOKUP('Données projet'!$B$11,Paramètres!$A$1:$I$89,5,0)</f>
        <v>413.65999999999985</v>
      </c>
      <c r="BF95" s="13">
        <f t="shared" si="91"/>
        <v>94.540585122244352</v>
      </c>
      <c r="BG95" s="20">
        <f t="shared" si="61"/>
        <v>885.11601908790863</v>
      </c>
      <c r="BH95" s="59">
        <f t="shared" si="62"/>
        <v>1178.4493524212419</v>
      </c>
      <c r="BI95" s="59">
        <f ca="1">AVERAGE(OFFSET($BH$3,0,0,'Données projet'!$E$11+1,1))-AVERAGE(OFFSET($H$3,0,0,'Données projet'!$E$11+1,1))</f>
        <v>555.15881087162279</v>
      </c>
      <c r="BJ95" s="59">
        <f t="shared" si="92"/>
        <v>668.20427590250733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65.527827203052496</v>
      </c>
      <c r="BQ95" s="21">
        <f>EXP(-LN(2)/25)*BQ94+(1-EXP(-LN(2)/25))/(LN(2)/25)*Calculateur!BL95*Calculateur!BN95*VLOOKUP('Données projet'!$B$11,Paramètres!$A$1:$I$89,3,0)*0.475*44/12</f>
        <v>10.357038245369282</v>
      </c>
      <c r="BR95" s="21">
        <f>EXP(-LN(2)/2)*BR94+(1-EXP(-LN(2)/2))/(LN(2)/2)*BL95*BO95*VLOOKUP('Données projet'!$B$11,Paramètres!$A$1:$I$89,3,0)*0.475*44/12</f>
        <v>3.9603717938944006E-10</v>
      </c>
      <c r="BS95" s="22">
        <f t="shared" si="63"/>
        <v>75.88486544881782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367.99999999999972</v>
      </c>
      <c r="BZ95" s="13">
        <f>BY95*VLOOKUP('Données projet'!$B$12,Paramètres!$A$1:$I$89,3,0)*VLOOKUP('Données projet'!$B$12,Paramètres!$A$1:$I$89,5,0)</f>
        <v>241.11359999999982</v>
      </c>
      <c r="CA95" s="13">
        <f t="shared" si="93"/>
        <v>58.6790623558988</v>
      </c>
      <c r="CB95" s="20">
        <f t="shared" si="64"/>
        <v>522.13888693652348</v>
      </c>
      <c r="CC95" s="59">
        <f t="shared" si="65"/>
        <v>815.47222026985673</v>
      </c>
      <c r="CD95" s="59">
        <f ca="1">AVERAGE(OFFSET($CC$3,0,0,'Données projet'!$E$12+1,1))-AVERAGE(OFFSET($H$3,0,0,'Données projet'!$E$12+1,1))</f>
        <v>340.49092994349405</v>
      </c>
      <c r="CE95" s="59">
        <f t="shared" si="94"/>
        <v>331.54434271908832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32.469270649692618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32.469270649692618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6.2</v>
      </c>
      <c r="CT95" s="12">
        <f>IF('Données projet'!$A$140&gt;35,CT94+CS95-DB94,IF(A95&lt;'Données projet'!$A$140,$CQ$205^A95,IF(A95='Données projet'!$A$140,'Données projet'!$B$140,CT94+CS95-DB94)))</f>
        <v>314.39999999999992</v>
      </c>
      <c r="CU95" s="17">
        <f>CT95*VLOOKUP('Données projet'!$B$13,Paramètres!$A$1:$I$89,3,0)*VLOOKUP('Données projet'!$B$13,Paramètres!$A$1:$I$89,5,0)</f>
        <v>284.46911999999992</v>
      </c>
      <c r="CV95" s="13">
        <f t="shared" si="95"/>
        <v>67.91059023737904</v>
      </c>
      <c r="CW95" s="20">
        <f t="shared" si="67"/>
        <v>613.72799533010163</v>
      </c>
      <c r="CX95" s="59">
        <f t="shared" si="68"/>
        <v>907.06132866343501</v>
      </c>
      <c r="CY95" s="59">
        <f ca="1">AVERAGE(OFFSET($CX$3,0,0,'Données projet'!$E$13+1,1))-AVERAGE(OFFSET($H$3,0,0,'Données projet'!$E$13+1,1))</f>
        <v>439.19854273764042</v>
      </c>
      <c r="CZ95" s="59">
        <f t="shared" si="96"/>
        <v>278.21741231699929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85.361226405695348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85.361226405695348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6.2</v>
      </c>
      <c r="DO95" s="12">
        <f>IF('Données projet'!$A$166&gt;35,DO94+DN95-DW94,IF(A95&lt;'Données projet'!$A$166,$DL$205^A95,IF(A95='Données projet'!$A$166,'Données projet'!$B$166,DO94+DN95-DW94)))</f>
        <v>314.39999999999992</v>
      </c>
      <c r="DP95" s="17">
        <f>DO95*VLOOKUP('Données projet'!$B$14,Paramètres!$A$1:$I$89,3,0)*VLOOKUP('Données projet'!$B$14,Paramètres!$A$1:$I$89,5,0)</f>
        <v>264.85055999999997</v>
      </c>
      <c r="DQ95" s="13">
        <f t="shared" si="97"/>
        <v>63.755206416242395</v>
      </c>
      <c r="DR95" s="20">
        <f t="shared" si="70"/>
        <v>572.32170984162212</v>
      </c>
      <c r="DS95" s="59">
        <f t="shared" si="71"/>
        <v>865.65504317495538</v>
      </c>
      <c r="DT95" s="59">
        <f ca="1">AVERAGE(OFFSET($DS$3,0,0,'Données projet'!$E$14+1,1))-AVERAGE(OFFSET($H$3,0,0,'Données projet'!$E$14+1,1))</f>
        <v>411.72284844766</v>
      </c>
      <c r="DU95" s="59">
        <f t="shared" si="98"/>
        <v>261.95434270986397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79.474245274268071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79.474245274268071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636.99999999999977</v>
      </c>
      <c r="EK95" s="17">
        <f>EJ95*VLOOKUP('Données projet'!$B$15,Paramètres!$A$1:$I$89,3,0)*VLOOKUP('Données projet'!$B$15,Paramètres!$A$1:$I$89,5,0)</f>
        <v>356.08299999999991</v>
      </c>
      <c r="EL95" s="13">
        <f t="shared" si="99"/>
        <v>82.813805255716545</v>
      </c>
      <c r="EM95" s="20">
        <f t="shared" si="73"/>
        <v>764.41193582037283</v>
      </c>
      <c r="EN95" s="59">
        <f t="shared" si="74"/>
        <v>1057.7452691537062</v>
      </c>
      <c r="EO95" s="59">
        <f ca="1">AVERAGE(OFFSET($EN$3,0,0,'Données projet'!$E$15+1,1))-AVERAGE(OFFSET($H$3,0,0,'Données projet'!$E$15+1,1))</f>
        <v>443.34220761968419</v>
      </c>
      <c r="EP95" s="59">
        <f t="shared" si="100"/>
        <v>546.58234447298014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51.856503717979493</v>
      </c>
      <c r="EW95" s="21">
        <f>EXP(-LN(2)/25)*EW94+(1-EXP(-LN(2)/25))/(LN(2)/25)*Calculateur!ER95*Calculateur!ET95*VLOOKUP('Données projet'!$B$15,Paramètres!$A$1:$I$89,3,0)*0.475*44/12</f>
        <v>3.9321390419411864</v>
      </c>
      <c r="EX95" s="21">
        <f>EXP(-LN(2)/2)*EX94+(1-EXP(-LN(2)/2))/(LN(2)/2)*ER95*EU95*VLOOKUP('Données projet'!$B$15,Paramètres!$A$1:$I$89,3,0)*0.475*44/12</f>
        <v>2.8134308945128132E-9</v>
      </c>
      <c r="EY95" s="22">
        <f t="shared" si="75"/>
        <v>55.788642762734106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224.00000000000006</v>
      </c>
      <c r="O96" s="13">
        <f>N96*VLOOKUP('Données projet'!$B$9,Paramètres!$A$1:$I$89,3,0)*VLOOKUP('Données projet'!$B$9,Paramètres!$A$1:$I$89,5,0)</f>
        <v>195.68640000000008</v>
      </c>
      <c r="P96" s="13">
        <f t="shared" si="87"/>
        <v>48.794969360985156</v>
      </c>
      <c r="Q96" s="20">
        <f t="shared" si="54"/>
        <v>425.8050516370493</v>
      </c>
      <c r="R96" s="59">
        <f t="shared" si="55"/>
        <v>719.13838497038262</v>
      </c>
      <c r="S96" s="59">
        <f ca="1">AVERAGE(OFFSET($R$3,0,0,'Données projet'!$E$9+1,1))-AVERAGE(OFFSET($H$3,0,0,'Données projet'!$E$9+1,1))</f>
        <v>304.32767345253382</v>
      </c>
      <c r="T96" s="59">
        <f t="shared" si="88"/>
        <v>427.16091343339173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32.783316818911501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32.783316818911501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367.99999999999972</v>
      </c>
      <c r="AJ96" s="13">
        <f>AI96*VLOOKUP('Données projet'!$B$10,Paramètres!$A$1:$I$89,3,0)*VLOOKUP('Données projet'!$B$10,Paramètres!$A$1:$I$89,5,0)</f>
        <v>292.78079999999977</v>
      </c>
      <c r="AK96" s="13">
        <f t="shared" si="89"/>
        <v>69.660903052386217</v>
      </c>
      <c r="AL96" s="20">
        <f t="shared" si="58"/>
        <v>631.25263281623893</v>
      </c>
      <c r="AM96" s="59">
        <f t="shared" si="59"/>
        <v>924.58596614957219</v>
      </c>
      <c r="AN96" s="59">
        <f ca="1">AVERAGE(OFFSET($AM$3,0,0,'Données projet'!$E$10+1,1))-AVERAGE(OFFSET($H$3,0,0,'Données projet'!$E$10+1,1))</f>
        <v>405.40026823646758</v>
      </c>
      <c r="AO96" s="59">
        <f t="shared" si="90"/>
        <v>393.0787141050053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47.643096044772598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47.643096044772598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739.99999999999966</v>
      </c>
      <c r="BE96" s="13">
        <f>BD96*VLOOKUP('Données projet'!$B$11,Paramètres!$A$1:$I$89,3,0)*VLOOKUP('Données projet'!$B$11,Paramètres!$A$1:$I$89,5,0)</f>
        <v>413.65999999999985</v>
      </c>
      <c r="BF96" s="13">
        <f t="shared" si="91"/>
        <v>94.540585122244352</v>
      </c>
      <c r="BG96" s="20">
        <f t="shared" si="61"/>
        <v>885.11601908790863</v>
      </c>
      <c r="BH96" s="59">
        <f t="shared" si="62"/>
        <v>1178.4493524212419</v>
      </c>
      <c r="BI96" s="59">
        <f ca="1">AVERAGE(OFFSET($BH$3,0,0,'Données projet'!$E$11+1,1))-AVERAGE(OFFSET($H$3,0,0,'Données projet'!$E$11+1,1))</f>
        <v>555.15881087162279</v>
      </c>
      <c r="BJ96" s="59">
        <f t="shared" si="92"/>
        <v>668.20427590250733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64.242866479628717</v>
      </c>
      <c r="BQ96" s="21">
        <f>EXP(-LN(2)/25)*BQ95+(1-EXP(-LN(2)/25))/(LN(2)/25)*Calculateur!BL96*Calculateur!BN96*VLOOKUP('Données projet'!$B$11,Paramètres!$A$1:$I$89,3,0)*0.475*44/12</f>
        <v>10.073824489896689</v>
      </c>
      <c r="BR96" s="21">
        <f>EXP(-LN(2)/2)*BR95+(1-EXP(-LN(2)/2))/(LN(2)/2)*BL96*BO96*VLOOKUP('Données projet'!$B$11,Paramètres!$A$1:$I$89,3,0)*0.475*44/12</f>
        <v>2.8004057514826626E-10</v>
      </c>
      <c r="BS96" s="22">
        <f t="shared" si="63"/>
        <v>74.31669096980545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367.99999999999972</v>
      </c>
      <c r="BZ96" s="13">
        <f>BY96*VLOOKUP('Données projet'!$B$12,Paramètres!$A$1:$I$89,3,0)*VLOOKUP('Données projet'!$B$12,Paramètres!$A$1:$I$89,5,0)</f>
        <v>241.11359999999982</v>
      </c>
      <c r="CA96" s="13">
        <f t="shared" si="93"/>
        <v>58.6790623558988</v>
      </c>
      <c r="CB96" s="20">
        <f t="shared" si="64"/>
        <v>522.13888693652348</v>
      </c>
      <c r="CC96" s="59">
        <f t="shared" si="65"/>
        <v>815.47222026985673</v>
      </c>
      <c r="CD96" s="59">
        <f ca="1">AVERAGE(OFFSET($CC$3,0,0,'Données projet'!$E$12+1,1))-AVERAGE(OFFSET($H$3,0,0,'Données projet'!$E$12+1,1))</f>
        <v>340.49092994349405</v>
      </c>
      <c r="CE96" s="59">
        <f t="shared" si="94"/>
        <v>331.54434271908832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31.832568056551729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31.832568056551729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6.2</v>
      </c>
      <c r="CT96" s="12">
        <f>IF('Données projet'!$A$140&gt;35,CT95+CS96-DB95,IF(A96&lt;'Données projet'!$A$140,$CQ$205^A96,IF(A96='Données projet'!$A$140,'Données projet'!$B$140,CT95+CS96-DB95)))</f>
        <v>320.59999999999991</v>
      </c>
      <c r="CU96" s="17">
        <f>CT96*VLOOKUP('Données projet'!$B$13,Paramètres!$A$1:$I$89,3,0)*VLOOKUP('Données projet'!$B$13,Paramètres!$A$1:$I$89,5,0)</f>
        <v>290.07887999999991</v>
      </c>
      <c r="CV96" s="13">
        <f t="shared" si="95"/>
        <v>69.092562427360406</v>
      </c>
      <c r="CW96" s="20">
        <f t="shared" si="67"/>
        <v>625.55692889431919</v>
      </c>
      <c r="CX96" s="59">
        <f t="shared" si="68"/>
        <v>918.89026222765256</v>
      </c>
      <c r="CY96" s="59">
        <f ca="1">AVERAGE(OFFSET($CX$3,0,0,'Données projet'!$E$13+1,1))-AVERAGE(OFFSET($H$3,0,0,'Données projet'!$E$13+1,1))</f>
        <v>439.19854273764042</v>
      </c>
      <c r="CZ96" s="59">
        <f t="shared" si="96"/>
        <v>278.21741231699929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83.687344821086754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83.687344821086754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6.2</v>
      </c>
      <c r="DO96" s="12">
        <f>IF('Données projet'!$A$166&gt;35,DO95+DN96-DW95,IF(A96&lt;'Données projet'!$A$166,$DL$205^A96,IF(A96='Données projet'!$A$166,'Données projet'!$B$166,DO95+DN96-DW95)))</f>
        <v>320.59999999999991</v>
      </c>
      <c r="DP96" s="17">
        <f>DO96*VLOOKUP('Données projet'!$B$14,Paramètres!$A$1:$I$89,3,0)*VLOOKUP('Données projet'!$B$14,Paramètres!$A$1:$I$89,5,0)</f>
        <v>270.07343999999995</v>
      </c>
      <c r="DQ96" s="13">
        <f t="shared" si="97"/>
        <v>64.864854862635113</v>
      </c>
      <c r="DR96" s="20">
        <f t="shared" si="70"/>
        <v>583.35086355242277</v>
      </c>
      <c r="DS96" s="59">
        <f t="shared" si="71"/>
        <v>876.68419688575614</v>
      </c>
      <c r="DT96" s="59">
        <f ca="1">AVERAGE(OFFSET($DS$3,0,0,'Données projet'!$E$14+1,1))-AVERAGE(OFFSET($H$3,0,0,'Données projet'!$E$14+1,1))</f>
        <v>411.72284844766</v>
      </c>
      <c r="DU96" s="59">
        <f t="shared" si="98"/>
        <v>261.95434270986397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77.915803798942832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77.915803798942832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636.99999999999977</v>
      </c>
      <c r="EK96" s="17">
        <f>EJ96*VLOOKUP('Données projet'!$B$15,Paramètres!$A$1:$I$89,3,0)*VLOOKUP('Données projet'!$B$15,Paramètres!$A$1:$I$89,5,0)</f>
        <v>356.08299999999991</v>
      </c>
      <c r="EL96" s="13">
        <f t="shared" si="99"/>
        <v>82.813805255716545</v>
      </c>
      <c r="EM96" s="20">
        <f t="shared" si="73"/>
        <v>764.41193582037283</v>
      </c>
      <c r="EN96" s="59">
        <f t="shared" si="74"/>
        <v>1057.7452691537062</v>
      </c>
      <c r="EO96" s="59">
        <f ca="1">AVERAGE(OFFSET($EN$3,0,0,'Données projet'!$E$15+1,1))-AVERAGE(OFFSET($H$3,0,0,'Données projet'!$E$15+1,1))</f>
        <v>443.34220761968419</v>
      </c>
      <c r="EP96" s="59">
        <f t="shared" si="100"/>
        <v>546.58234447298014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50.839629309414043</v>
      </c>
      <c r="EW96" s="21">
        <f>EXP(-LN(2)/25)*EW95+(1-EXP(-LN(2)/25))/(LN(2)/25)*Calculateur!ER96*Calculateur!ET96*VLOOKUP('Données projet'!$B$15,Paramètres!$A$1:$I$89,3,0)*0.475*44/12</f>
        <v>3.8246144930570996</v>
      </c>
      <c r="EX96" s="21">
        <f>EXP(-LN(2)/2)*EX95+(1-EXP(-LN(2)/2))/(LN(2)/2)*ER96*EU96*VLOOKUP('Données projet'!$B$15,Paramètres!$A$1:$I$89,3,0)*0.475*44/12</f>
        <v>1.9893960639097444E-9</v>
      </c>
      <c r="EY96" s="22">
        <f t="shared" si="75"/>
        <v>54.66424380446054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224.00000000000006</v>
      </c>
      <c r="O97" s="13">
        <f>N97*VLOOKUP('Données projet'!$B$9,Paramètres!$A$1:$I$89,3,0)*VLOOKUP('Données projet'!$B$9,Paramètres!$A$1:$I$89,5,0)</f>
        <v>195.68640000000008</v>
      </c>
      <c r="P97" s="13">
        <f t="shared" si="87"/>
        <v>48.794969360985156</v>
      </c>
      <c r="Q97" s="20">
        <f t="shared" si="54"/>
        <v>425.8050516370493</v>
      </c>
      <c r="R97" s="59">
        <f t="shared" si="55"/>
        <v>719.13838497038262</v>
      </c>
      <c r="S97" s="59">
        <f ca="1">AVERAGE(OFFSET($R$3,0,0,'Données projet'!$E$9+1,1))-AVERAGE(OFFSET($H$3,0,0,'Données projet'!$E$9+1,1))</f>
        <v>304.32767345253382</v>
      </c>
      <c r="T97" s="59">
        <f t="shared" si="88"/>
        <v>427.16091343339173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32.140455971941478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32.140455971941478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367.99999999999972</v>
      </c>
      <c r="AJ97" s="13">
        <f>AI97*VLOOKUP('Données projet'!$B$10,Paramètres!$A$1:$I$89,3,0)*VLOOKUP('Données projet'!$B$10,Paramètres!$A$1:$I$89,5,0)</f>
        <v>292.78079999999977</v>
      </c>
      <c r="AK97" s="13">
        <f t="shared" si="89"/>
        <v>69.660903052386217</v>
      </c>
      <c r="AL97" s="20">
        <f t="shared" si="58"/>
        <v>631.25263281623893</v>
      </c>
      <c r="AM97" s="59">
        <f t="shared" si="59"/>
        <v>924.58596614957219</v>
      </c>
      <c r="AN97" s="59">
        <f ca="1">AVERAGE(OFFSET($AM$3,0,0,'Données projet'!$E$10+1,1))-AVERAGE(OFFSET($H$3,0,0,'Données projet'!$E$10+1,1))</f>
        <v>405.40026823646758</v>
      </c>
      <c r="AO97" s="59">
        <f t="shared" si="90"/>
        <v>393.0787141050053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46.708843990753813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46.708843990753813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739.99999999999966</v>
      </c>
      <c r="BE97" s="13">
        <f>BD97*VLOOKUP('Données projet'!$B$11,Paramètres!$A$1:$I$89,3,0)*VLOOKUP('Données projet'!$B$11,Paramètres!$A$1:$I$89,5,0)</f>
        <v>413.65999999999985</v>
      </c>
      <c r="BF97" s="13">
        <f t="shared" si="91"/>
        <v>94.540585122244352</v>
      </c>
      <c r="BG97" s="20">
        <f t="shared" si="61"/>
        <v>885.11601908790863</v>
      </c>
      <c r="BH97" s="59">
        <f t="shared" si="62"/>
        <v>1178.4493524212419</v>
      </c>
      <c r="BI97" s="59">
        <f ca="1">AVERAGE(OFFSET($BH$3,0,0,'Données projet'!$E$11+1,1))-AVERAGE(OFFSET($H$3,0,0,'Données projet'!$E$11+1,1))</f>
        <v>555.15881087162279</v>
      </c>
      <c r="BJ97" s="59">
        <f t="shared" si="92"/>
        <v>668.20427590250733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62.983103052242626</v>
      </c>
      <c r="BQ97" s="21">
        <f>EXP(-LN(2)/25)*BQ96+(1-EXP(-LN(2)/25))/(LN(2)/25)*Calculateur!BL97*Calculateur!BN97*VLOOKUP('Données projet'!$B$11,Paramètres!$A$1:$I$89,3,0)*0.475*44/12</f>
        <v>9.7983552294610572</v>
      </c>
      <c r="BR97" s="21">
        <f>EXP(-LN(2)/2)*BR96+(1-EXP(-LN(2)/2))/(LN(2)/2)*BL97*BO97*VLOOKUP('Données projet'!$B$11,Paramètres!$A$1:$I$89,3,0)*0.475*44/12</f>
        <v>1.9801858969472003E-10</v>
      </c>
      <c r="BS97" s="22">
        <f t="shared" si="63"/>
        <v>72.781458281901692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367.99999999999972</v>
      </c>
      <c r="BZ97" s="13">
        <f>BY97*VLOOKUP('Données projet'!$B$12,Paramètres!$A$1:$I$89,3,0)*VLOOKUP('Données projet'!$B$12,Paramètres!$A$1:$I$89,5,0)</f>
        <v>241.11359999999982</v>
      </c>
      <c r="CA97" s="13">
        <f t="shared" si="93"/>
        <v>58.6790623558988</v>
      </c>
      <c r="CB97" s="20">
        <f t="shared" si="64"/>
        <v>522.13888693652348</v>
      </c>
      <c r="CC97" s="59">
        <f t="shared" si="65"/>
        <v>815.47222026985673</v>
      </c>
      <c r="CD97" s="59">
        <f ca="1">AVERAGE(OFFSET($CC$3,0,0,'Données projet'!$E$12+1,1))-AVERAGE(OFFSET($H$3,0,0,'Données projet'!$E$12+1,1))</f>
        <v>340.49092994349405</v>
      </c>
      <c r="CE97" s="59">
        <f t="shared" si="94"/>
        <v>331.54434271908832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31.208350812912098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31.208350812912098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6.2</v>
      </c>
      <c r="CT97" s="12">
        <f>IF('Données projet'!$A$140&gt;35,CT96+CS97-DB96,IF(A97&lt;'Données projet'!$A$140,$CQ$205^A97,IF(A97='Données projet'!$A$140,'Données projet'!$B$140,CT96+CS97-DB96)))</f>
        <v>326.7999999999999</v>
      </c>
      <c r="CU97" s="17">
        <f>CT97*VLOOKUP('Données projet'!$B$13,Paramètres!$A$1:$I$89,3,0)*VLOOKUP('Données projet'!$B$13,Paramètres!$A$1:$I$89,5,0)</f>
        <v>295.68863999999991</v>
      </c>
      <c r="CV97" s="13">
        <f t="shared" si="95"/>
        <v>70.271876780519747</v>
      </c>
      <c r="CW97" s="20">
        <f t="shared" si="67"/>
        <v>637.3812333927383</v>
      </c>
      <c r="CX97" s="59">
        <f t="shared" si="68"/>
        <v>930.71456672607155</v>
      </c>
      <c r="CY97" s="59">
        <f ca="1">AVERAGE(OFFSET($CX$3,0,0,'Données projet'!$E$13+1,1))-AVERAGE(OFFSET($H$3,0,0,'Données projet'!$E$13+1,1))</f>
        <v>439.19854273764042</v>
      </c>
      <c r="CZ97" s="59">
        <f t="shared" si="96"/>
        <v>278.21741231699929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82.046287033385383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82.046287033385383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6.2</v>
      </c>
      <c r="DO97" s="12">
        <f>IF('Données projet'!$A$166&gt;35,DO96+DN97-DW96,IF(A97&lt;'Données projet'!$A$166,$DL$205^A97,IF(A97='Données projet'!$A$166,'Données projet'!$B$166,DO96+DN97-DW96)))</f>
        <v>326.7999999999999</v>
      </c>
      <c r="DP97" s="17">
        <f>DO97*VLOOKUP('Données projet'!$B$14,Paramètres!$A$1:$I$89,3,0)*VLOOKUP('Données projet'!$B$14,Paramètres!$A$1:$I$89,5,0)</f>
        <v>275.29631999999992</v>
      </c>
      <c r="DQ97" s="13">
        <f t="shared" si="97"/>
        <v>65.972008102689301</v>
      </c>
      <c r="DR97" s="20">
        <f t="shared" si="70"/>
        <v>594.37567144551701</v>
      </c>
      <c r="DS97" s="59">
        <f t="shared" si="71"/>
        <v>887.70900477885039</v>
      </c>
      <c r="DT97" s="59">
        <f ca="1">AVERAGE(OFFSET($DS$3,0,0,'Données projet'!$E$14+1,1))-AVERAGE(OFFSET($H$3,0,0,'Données projet'!$E$14+1,1))</f>
        <v>411.72284844766</v>
      </c>
      <c r="DU97" s="59">
        <f t="shared" si="98"/>
        <v>261.95434270986397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76.387922410393287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76.387922410393287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636.99999999999977</v>
      </c>
      <c r="EK97" s="17">
        <f>EJ97*VLOOKUP('Données projet'!$B$15,Paramètres!$A$1:$I$89,3,0)*VLOOKUP('Données projet'!$B$15,Paramètres!$A$1:$I$89,5,0)</f>
        <v>356.08299999999991</v>
      </c>
      <c r="EL97" s="13">
        <f t="shared" si="99"/>
        <v>82.813805255716545</v>
      </c>
      <c r="EM97" s="20">
        <f t="shared" si="73"/>
        <v>764.41193582037283</v>
      </c>
      <c r="EN97" s="59">
        <f t="shared" si="74"/>
        <v>1057.7452691537062</v>
      </c>
      <c r="EO97" s="59">
        <f ca="1">AVERAGE(OFFSET($EN$3,0,0,'Données projet'!$E$15+1,1))-AVERAGE(OFFSET($H$3,0,0,'Données projet'!$E$15+1,1))</f>
        <v>443.34220761968419</v>
      </c>
      <c r="EP97" s="59">
        <f t="shared" si="100"/>
        <v>546.58234447298014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49.84269518776842</v>
      </c>
      <c r="EW97" s="21">
        <f>EXP(-LN(2)/25)*EW96+(1-EXP(-LN(2)/25))/(LN(2)/25)*Calculateur!ER97*Calculateur!ET97*VLOOKUP('Données projet'!$B$15,Paramètres!$A$1:$I$89,3,0)*0.475*44/12</f>
        <v>3.7200302086167181</v>
      </c>
      <c r="EX97" s="21">
        <f>EXP(-LN(2)/2)*EX96+(1-EXP(-LN(2)/2))/(LN(2)/2)*ER97*EU97*VLOOKUP('Données projet'!$B$15,Paramètres!$A$1:$I$89,3,0)*0.475*44/12</f>
        <v>1.4067154472564066E-9</v>
      </c>
      <c r="EY97" s="22">
        <f t="shared" si="75"/>
        <v>53.562725397791858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224.00000000000006</v>
      </c>
      <c r="O98" s="13">
        <f>N98*VLOOKUP('Données projet'!$B$9,Paramètres!$A$1:$I$89,3,0)*VLOOKUP('Données projet'!$B$9,Paramètres!$A$1:$I$89,5,0)</f>
        <v>195.68640000000008</v>
      </c>
      <c r="P98" s="13">
        <f t="shared" si="87"/>
        <v>48.794969360985156</v>
      </c>
      <c r="Q98" s="20">
        <f t="shared" si="54"/>
        <v>425.8050516370493</v>
      </c>
      <c r="R98" s="59">
        <f t="shared" si="55"/>
        <v>719.13838497038262</v>
      </c>
      <c r="S98" s="59">
        <f ca="1">AVERAGE(OFFSET($R$3,0,0,'Données projet'!$E$9+1,1))-AVERAGE(OFFSET($H$3,0,0,'Données projet'!$E$9+1,1))</f>
        <v>304.32767345253382</v>
      </c>
      <c r="T98" s="59">
        <f t="shared" si="88"/>
        <v>427.16091343339173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31.510201234074138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31.510201234074138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367.99999999999972</v>
      </c>
      <c r="AJ98" s="13">
        <f>AI98*VLOOKUP('Données projet'!$B$10,Paramètres!$A$1:$I$89,3,0)*VLOOKUP('Données projet'!$B$10,Paramètres!$A$1:$I$89,5,0)</f>
        <v>292.78079999999977</v>
      </c>
      <c r="AK98" s="13">
        <f t="shared" si="89"/>
        <v>69.660903052386217</v>
      </c>
      <c r="AL98" s="20">
        <f t="shared" si="58"/>
        <v>631.25263281623893</v>
      </c>
      <c r="AM98" s="59">
        <f t="shared" si="59"/>
        <v>924.58596614957219</v>
      </c>
      <c r="AN98" s="59">
        <f ca="1">AVERAGE(OFFSET($AM$3,0,0,'Données projet'!$E$10+1,1))-AVERAGE(OFFSET($H$3,0,0,'Données projet'!$E$10+1,1))</f>
        <v>405.40026823646758</v>
      </c>
      <c r="AO98" s="59">
        <f t="shared" si="90"/>
        <v>393.0787141050053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45.79291204967685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45.79291204967685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739.99999999999966</v>
      </c>
      <c r="BE98" s="13">
        <f>BD98*VLOOKUP('Données projet'!$B$11,Paramètres!$A$1:$I$89,3,0)*VLOOKUP('Données projet'!$B$11,Paramètres!$A$1:$I$89,5,0)</f>
        <v>413.65999999999985</v>
      </c>
      <c r="BF98" s="13">
        <f t="shared" si="91"/>
        <v>94.540585122244352</v>
      </c>
      <c r="BG98" s="20">
        <f t="shared" si="61"/>
        <v>885.11601908790863</v>
      </c>
      <c r="BH98" s="59">
        <f t="shared" si="62"/>
        <v>1178.4493524212419</v>
      </c>
      <c r="BI98" s="59">
        <f ca="1">AVERAGE(OFFSET($BH$3,0,0,'Données projet'!$E$11+1,1))-AVERAGE(OFFSET($H$3,0,0,'Données projet'!$E$11+1,1))</f>
        <v>555.15881087162279</v>
      </c>
      <c r="BJ98" s="59">
        <f t="shared" si="92"/>
        <v>668.20427590250733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61.748042817287754</v>
      </c>
      <c r="BQ98" s="21">
        <f>EXP(-LN(2)/25)*BQ97+(1-EXP(-LN(2)/25))/(LN(2)/25)*Calculateur!BL98*Calculateur!BN98*VLOOKUP('Données projet'!$B$11,Paramètres!$A$1:$I$89,3,0)*0.475*44/12</f>
        <v>9.5304186904383368</v>
      </c>
      <c r="BR98" s="21">
        <f>EXP(-LN(2)/2)*BR97+(1-EXP(-LN(2)/2))/(LN(2)/2)*BL98*BO98*VLOOKUP('Données projet'!$B$11,Paramètres!$A$1:$I$89,3,0)*0.475*44/12</f>
        <v>1.4002028757413313E-10</v>
      </c>
      <c r="BS98" s="22">
        <f t="shared" si="63"/>
        <v>71.278461507866112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367.99999999999972</v>
      </c>
      <c r="BZ98" s="13">
        <f>BY98*VLOOKUP('Données projet'!$B$12,Paramètres!$A$1:$I$89,3,0)*VLOOKUP('Données projet'!$B$12,Paramètres!$A$1:$I$89,5,0)</f>
        <v>241.11359999999982</v>
      </c>
      <c r="CA98" s="13">
        <f t="shared" si="93"/>
        <v>58.6790623558988</v>
      </c>
      <c r="CB98" s="20">
        <f t="shared" si="64"/>
        <v>522.13888693652348</v>
      </c>
      <c r="CC98" s="59">
        <f t="shared" si="65"/>
        <v>815.47222026985673</v>
      </c>
      <c r="CD98" s="59">
        <f ca="1">AVERAGE(OFFSET($CC$3,0,0,'Données projet'!$E$12+1,1))-AVERAGE(OFFSET($H$3,0,0,'Données projet'!$E$12+1,1))</f>
        <v>340.49092994349405</v>
      </c>
      <c r="CE98" s="59">
        <f t="shared" si="94"/>
        <v>331.54434271908832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30.596374088685316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30.596374088685316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333</v>
      </c>
      <c r="CR98" s="12">
        <f>VLOOKUP(A98,'Données projet'!$A$139:$I$159,9,0)</f>
        <v>6.2</v>
      </c>
      <c r="CS98" s="12">
        <f t="array" ref="CS98">INDEX(CR:CR,MIN(IF(ISNUMBER(CR98:CR294),ROW(CR98:CR294),"")))</f>
        <v>6.2</v>
      </c>
      <c r="CT98" s="12">
        <f>IF('Données projet'!$A$140&gt;35,CT97+CS98-DB97,IF(A98&lt;'Données projet'!$A$140,$CQ$205^A98,IF(A98='Données projet'!$A$140,'Données projet'!$B$140,CT97+CS98-DB97)))</f>
        <v>332.99999999999989</v>
      </c>
      <c r="CU98" s="17">
        <f>CT98*VLOOKUP('Données projet'!$B$13,Paramètres!$A$1:$I$89,3,0)*VLOOKUP('Données projet'!$B$13,Paramètres!$A$1:$I$89,5,0)</f>
        <v>301.2983999999999</v>
      </c>
      <c r="CV98" s="13">
        <f t="shared" si="95"/>
        <v>71.448589534990518</v>
      </c>
      <c r="CW98" s="20">
        <f t="shared" si="67"/>
        <v>649.20100677344158</v>
      </c>
      <c r="CX98" s="59">
        <f t="shared" si="68"/>
        <v>942.53434010677483</v>
      </c>
      <c r="CY98" s="59">
        <f ca="1">AVERAGE(OFFSET($CX$3,0,0,'Données projet'!$E$13+1,1))-AVERAGE(OFFSET($H$3,0,0,'Données projet'!$E$13+1,1))</f>
        <v>439.19854273764042</v>
      </c>
      <c r="CZ98" s="59">
        <f t="shared" si="96"/>
        <v>278.21741231699929</v>
      </c>
      <c r="DA98" s="15">
        <f>IF(ISNA(VLOOKUP(A98,'Données projet'!$A$139:$I$159,3,0)),0,VLOOKUP(A98,'Données projet'!$A$139:$I$159,3,0))</f>
        <v>16</v>
      </c>
      <c r="DB98" s="15">
        <f>IF(ISNA(VLOOKUP(A98,'Données projet'!$A$139:$I$159,4,0)),0,VLOOKUP(A98,'Données projet'!$A$139:$I$159,4,0))</f>
        <v>28</v>
      </c>
      <c r="DC98" s="16">
        <f>IF(ISNA(VLOOKUP(A98,'Données projet'!$A$139:$I$159,5,0)),0%,VLOOKUP(A98,'Données projet'!$A$139:$I$159,5,0)*VLOOKUP('Données projet'!$B$13,Paramètres!$A$1:$I$89,7,0))</f>
        <v>0.43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92.480173764747434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92.480173764747434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333</v>
      </c>
      <c r="DM98" s="12">
        <f>VLOOKUP(A98,'Données projet'!$A$165:$I$185,9,0)</f>
        <v>6.2</v>
      </c>
      <c r="DN98" s="12">
        <f t="array" ref="DN98">INDEX(DM:DM,MIN(IF(ISNUMBER(DM98:DM294),ROW(DM98:DM294),"")))</f>
        <v>6.2</v>
      </c>
      <c r="DO98" s="12">
        <f>IF('Données projet'!$A$166&gt;35,DO97+DN98-DW97,IF(A98&lt;'Données projet'!$A$166,$DL$205^A98,IF(A98='Données projet'!$A$166,'Données projet'!$B$166,DO97+DN98-DW97)))</f>
        <v>332.99999999999989</v>
      </c>
      <c r="DP98" s="17">
        <f>DO98*VLOOKUP('Données projet'!$B$14,Paramètres!$A$1:$I$89,3,0)*VLOOKUP('Données projet'!$B$14,Paramètres!$A$1:$I$89,5,0)</f>
        <v>280.5191999999999</v>
      </c>
      <c r="DQ98" s="13">
        <f t="shared" si="97"/>
        <v>67.076718933381159</v>
      </c>
      <c r="DR98" s="20">
        <f t="shared" si="70"/>
        <v>605.39622547563874</v>
      </c>
      <c r="DS98" s="59">
        <f t="shared" si="71"/>
        <v>898.72955880897212</v>
      </c>
      <c r="DT98" s="59">
        <f ca="1">AVERAGE(OFFSET($DS$3,0,0,'Données projet'!$E$14+1,1))-AVERAGE(OFFSET($H$3,0,0,'Données projet'!$E$14+1,1))</f>
        <v>411.72284844766</v>
      </c>
      <c r="DU98" s="59">
        <f t="shared" si="98"/>
        <v>261.95434270986397</v>
      </c>
      <c r="DV98" s="15">
        <f>IF(ISNA(VLOOKUP(A98,'Données projet'!$A$165:$I$185,3,0)),0,VLOOKUP(A98,'Données projet'!$A$165:$I$185,3,0))</f>
        <v>16</v>
      </c>
      <c r="DW98" s="15">
        <f>IF(ISNA(VLOOKUP(A98,'Données projet'!$A$165:$I$185,4,0)),0,VLOOKUP(A98,'Données projet'!$A$165:$I$185,4,0))</f>
        <v>28</v>
      </c>
      <c r="DX98" s="16">
        <f>IF(ISNA(VLOOKUP(A98,'Données projet'!$A$165:$I$185,5,0)),0%,VLOOKUP(A98,'Données projet'!$A$165:$I$185,5,0)*VLOOKUP('Données projet'!$B$14,Paramètres!$A$1:$I$89,7,0))</f>
        <v>0.43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86.102230746488999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86.102230746488999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636.99999999999977</v>
      </c>
      <c r="EK98" s="17">
        <f>EJ98*VLOOKUP('Données projet'!$B$15,Paramètres!$A$1:$I$89,3,0)*VLOOKUP('Données projet'!$B$15,Paramètres!$A$1:$I$89,5,0)</f>
        <v>356.08299999999991</v>
      </c>
      <c r="EL98" s="13">
        <f t="shared" si="99"/>
        <v>82.813805255716545</v>
      </c>
      <c r="EM98" s="20">
        <f t="shared" si="73"/>
        <v>764.41193582037283</v>
      </c>
      <c r="EN98" s="59">
        <f t="shared" si="74"/>
        <v>1057.7452691537062</v>
      </c>
      <c r="EO98" s="59">
        <f ca="1">AVERAGE(OFFSET($EN$3,0,0,'Données projet'!$E$15+1,1))-AVERAGE(OFFSET($H$3,0,0,'Données projet'!$E$15+1,1))</f>
        <v>443.34220761968419</v>
      </c>
      <c r="EP98" s="59">
        <f t="shared" si="100"/>
        <v>546.58234447298014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48.865310336178496</v>
      </c>
      <c r="EW98" s="21">
        <f>EXP(-LN(2)/25)*EW97+(1-EXP(-LN(2)/25))/(LN(2)/25)*Calculateur!ER98*Calculateur!ET98*VLOOKUP('Données projet'!$B$15,Paramètres!$A$1:$I$89,3,0)*0.475*44/12</f>
        <v>3.6183057869342075</v>
      </c>
      <c r="EX98" s="21">
        <f>EXP(-LN(2)/2)*EX97+(1-EXP(-LN(2)/2))/(LN(2)/2)*ER98*EU98*VLOOKUP('Données projet'!$B$15,Paramètres!$A$1:$I$89,3,0)*0.475*44/12</f>
        <v>9.9469803195487222E-10</v>
      </c>
      <c r="EY98" s="22">
        <f t="shared" si="75"/>
        <v>52.4836161241074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224.00000000000006</v>
      </c>
      <c r="O99" s="13">
        <f>N99*VLOOKUP('Données projet'!$B$9,Paramètres!$A$1:$I$89,3,0)*VLOOKUP('Données projet'!$B$9,Paramètres!$A$1:$I$89,5,0)</f>
        <v>195.68640000000008</v>
      </c>
      <c r="P99" s="13">
        <f t="shared" si="87"/>
        <v>48.794969360985156</v>
      </c>
      <c r="Q99" s="20">
        <f t="shared" ref="Q99:Q130" si="107">(O99+P99)*0.475*44/12</f>
        <v>425.8050516370493</v>
      </c>
      <c r="R99" s="59">
        <f t="shared" si="55"/>
        <v>719.13838497038262</v>
      </c>
      <c r="S99" s="59">
        <f ca="1">AVERAGE(OFFSET($R$3,0,0,'Données projet'!$E$9+1,1))-AVERAGE(OFFSET($H$3,0,0,'Données projet'!$E$9+1,1))</f>
        <v>304.32767345253382</v>
      </c>
      <c r="T99" s="59">
        <f t="shared" si="88"/>
        <v>427.16091343339173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30.892305407198947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30.892305407198947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367.99999999999972</v>
      </c>
      <c r="AJ99" s="13">
        <f>AI99*VLOOKUP('Données projet'!$B$10,Paramètres!$A$1:$I$89,3,0)*VLOOKUP('Données projet'!$B$10,Paramètres!$A$1:$I$89,5,0)</f>
        <v>292.78079999999977</v>
      </c>
      <c r="AK99" s="13">
        <f t="shared" si="89"/>
        <v>69.660903052386217</v>
      </c>
      <c r="AL99" s="20">
        <f t="shared" si="58"/>
        <v>631.25263281623893</v>
      </c>
      <c r="AM99" s="59">
        <f t="shared" si="59"/>
        <v>924.58596614957219</v>
      </c>
      <c r="AN99" s="59">
        <f ca="1">AVERAGE(OFFSET($AM$3,0,0,'Données projet'!$E$10+1,1))-AVERAGE(OFFSET($H$3,0,0,'Données projet'!$E$10+1,1))</f>
        <v>405.40026823646758</v>
      </c>
      <c r="AO99" s="59">
        <f t="shared" si="90"/>
        <v>393.0787141050053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44.89494097530109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44.89494097530109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739.99999999999966</v>
      </c>
      <c r="BE99" s="13">
        <f>BD99*VLOOKUP('Données projet'!$B$11,Paramètres!$A$1:$I$89,3,0)*VLOOKUP('Données projet'!$B$11,Paramètres!$A$1:$I$89,5,0)</f>
        <v>413.65999999999985</v>
      </c>
      <c r="BF99" s="13">
        <f t="shared" si="91"/>
        <v>94.540585122244352</v>
      </c>
      <c r="BG99" s="20">
        <f t="shared" si="61"/>
        <v>885.11601908790863</v>
      </c>
      <c r="BH99" s="59">
        <f t="shared" si="62"/>
        <v>1178.4493524212419</v>
      </c>
      <c r="BI99" s="59">
        <f ca="1">AVERAGE(OFFSET($BH$3,0,0,'Données projet'!$E$11+1,1))-AVERAGE(OFFSET($H$3,0,0,'Données projet'!$E$11+1,1))</f>
        <v>555.15881087162279</v>
      </c>
      <c r="BJ99" s="59">
        <f t="shared" si="92"/>
        <v>668.20427590250733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60.537201360227989</v>
      </c>
      <c r="BQ99" s="21">
        <f>EXP(-LN(2)/25)*BQ98+(1-EXP(-LN(2)/25))/(LN(2)/25)*Calculateur!BL99*Calculateur!BN99*VLOOKUP('Données projet'!$B$11,Paramètres!$A$1:$I$89,3,0)*0.475*44/12</f>
        <v>9.269808890165363</v>
      </c>
      <c r="BR99" s="21">
        <f>EXP(-LN(2)/2)*BR98+(1-EXP(-LN(2)/2))/(LN(2)/2)*BL99*BO99*VLOOKUP('Données projet'!$B$11,Paramètres!$A$1:$I$89,3,0)*0.475*44/12</f>
        <v>9.9009294847360015E-11</v>
      </c>
      <c r="BS99" s="22">
        <f t="shared" si="63"/>
        <v>69.807010250492354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367.99999999999972</v>
      </c>
      <c r="BZ99" s="13">
        <f>BY99*VLOOKUP('Données projet'!$B$12,Paramètres!$A$1:$I$89,3,0)*VLOOKUP('Données projet'!$B$12,Paramètres!$A$1:$I$89,5,0)</f>
        <v>241.11359999999982</v>
      </c>
      <c r="CA99" s="13">
        <f t="shared" si="93"/>
        <v>58.6790623558988</v>
      </c>
      <c r="CB99" s="20">
        <f t="shared" si="64"/>
        <v>522.13888693652348</v>
      </c>
      <c r="CC99" s="59">
        <f t="shared" si="65"/>
        <v>815.47222026985673</v>
      </c>
      <c r="CD99" s="59">
        <f ca="1">AVERAGE(OFFSET($CC$3,0,0,'Données projet'!$E$12+1,1))-AVERAGE(OFFSET($H$3,0,0,'Données projet'!$E$12+1,1))</f>
        <v>340.49092994349405</v>
      </c>
      <c r="CE99" s="59">
        <f t="shared" si="94"/>
        <v>331.54434271908832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29.996397854751677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29.996397854751677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5.6</v>
      </c>
      <c r="CT99" s="12">
        <f>IF('Données projet'!$A$140&gt;35,CT98+CS99-DB98,IF(A99&lt;'Données projet'!$A$140,$CQ$205^A99,IF(A99='Données projet'!$A$140,'Données projet'!$B$140,CT98+CS99-DB98)))</f>
        <v>310.59999999999991</v>
      </c>
      <c r="CU99" s="17">
        <f>CT99*VLOOKUP('Données projet'!$B$13,Paramètres!$A$1:$I$89,3,0)*VLOOKUP('Données projet'!$B$13,Paramètres!$A$1:$I$89,5,0)</f>
        <v>281.03087999999991</v>
      </c>
      <c r="CV99" s="13">
        <f t="shared" si="95"/>
        <v>67.184816842275467</v>
      </c>
      <c r="CW99" s="20">
        <f t="shared" si="67"/>
        <v>606.4756720002963</v>
      </c>
      <c r="CX99" s="59">
        <f t="shared" si="68"/>
        <v>899.80900533362956</v>
      </c>
      <c r="CY99" s="59">
        <f ca="1">AVERAGE(OFFSET($CX$3,0,0,'Données projet'!$E$13+1,1))-AVERAGE(OFFSET($H$3,0,0,'Données projet'!$E$13+1,1))</f>
        <v>439.19854273764042</v>
      </c>
      <c r="CZ99" s="59">
        <f t="shared" si="96"/>
        <v>278.21741231699929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90.66669396455697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90.66669396455697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5.6</v>
      </c>
      <c r="DO99" s="12">
        <f>IF('Données projet'!$A$166&gt;35,DO98+DN99-DW98,IF(A99&lt;'Données projet'!$A$166,$DL$205^A99,IF(A99='Données projet'!$A$166,'Données projet'!$B$166,DO98+DN99-DW98)))</f>
        <v>310.59999999999991</v>
      </c>
      <c r="DP99" s="17">
        <f>DO99*VLOOKUP('Données projet'!$B$14,Paramètres!$A$1:$I$89,3,0)*VLOOKUP('Données projet'!$B$14,Paramètres!$A$1:$I$89,5,0)</f>
        <v>261.64943999999997</v>
      </c>
      <c r="DQ99" s="13">
        <f t="shared" si="97"/>
        <v>63.073842398428624</v>
      </c>
      <c r="DR99" s="20">
        <f t="shared" si="70"/>
        <v>565.55971684392978</v>
      </c>
      <c r="DS99" s="59">
        <f t="shared" si="71"/>
        <v>858.89305017726315</v>
      </c>
      <c r="DT99" s="59">
        <f ca="1">AVERAGE(OFFSET($DS$3,0,0,'Données projet'!$E$14+1,1))-AVERAGE(OFFSET($H$3,0,0,'Données projet'!$E$14+1,1))</f>
        <v>411.72284844766</v>
      </c>
      <c r="DU99" s="59">
        <f t="shared" si="98"/>
        <v>261.95434270986397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84.413818518725463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84.413818518725463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636.99999999999977</v>
      </c>
      <c r="EK99" s="17">
        <f>EJ99*VLOOKUP('Données projet'!$B$15,Paramètres!$A$1:$I$89,3,0)*VLOOKUP('Données projet'!$B$15,Paramètres!$A$1:$I$89,5,0)</f>
        <v>356.08299999999991</v>
      </c>
      <c r="EL99" s="13">
        <f t="shared" si="99"/>
        <v>82.813805255716545</v>
      </c>
      <c r="EM99" s="20">
        <f t="shared" si="73"/>
        <v>764.41193582037283</v>
      </c>
      <c r="EN99" s="59">
        <f t="shared" si="74"/>
        <v>1057.7452691537062</v>
      </c>
      <c r="EO99" s="59">
        <f ca="1">AVERAGE(OFFSET($EN$3,0,0,'Données projet'!$E$15+1,1))-AVERAGE(OFFSET($H$3,0,0,'Données projet'!$E$15+1,1))</f>
        <v>443.34220761968419</v>
      </c>
      <c r="EP99" s="59">
        <f t="shared" si="100"/>
        <v>546.58234447298014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47.907091405382353</v>
      </c>
      <c r="EW99" s="21">
        <f>EXP(-LN(2)/25)*EW98+(1-EXP(-LN(2)/25))/(LN(2)/25)*Calculateur!ER99*Calculateur!ET99*VLOOKUP('Données projet'!$B$15,Paramètres!$A$1:$I$89,3,0)*0.475*44/12</f>
        <v>3.5193630249120598</v>
      </c>
      <c r="EX99" s="21">
        <f>EXP(-LN(2)/2)*EX98+(1-EXP(-LN(2)/2))/(LN(2)/2)*ER99*EU99*VLOOKUP('Données projet'!$B$15,Paramètres!$A$1:$I$89,3,0)*0.475*44/12</f>
        <v>7.033577236282033E-10</v>
      </c>
      <c r="EY99" s="22">
        <f t="shared" si="75"/>
        <v>51.426454430997772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224.00000000000006</v>
      </c>
      <c r="O100" s="13">
        <f>N100*VLOOKUP('Données projet'!$B$9,Paramètres!$A$1:$I$89,3,0)*VLOOKUP('Données projet'!$B$9,Paramètres!$A$1:$I$89,5,0)</f>
        <v>195.68640000000008</v>
      </c>
      <c r="P100" s="13">
        <f t="shared" si="87"/>
        <v>48.794969360985156</v>
      </c>
      <c r="Q100" s="20">
        <f t="shared" si="107"/>
        <v>425.8050516370493</v>
      </c>
      <c r="R100" s="59">
        <f t="shared" si="55"/>
        <v>719.13838497038262</v>
      </c>
      <c r="S100" s="59">
        <f ca="1">AVERAGE(OFFSET($R$3,0,0,'Données projet'!$E$9+1,1))-AVERAGE(OFFSET($H$3,0,0,'Données projet'!$E$9+1,1))</f>
        <v>304.32767345253382</v>
      </c>
      <c r="T100" s="59">
        <f t="shared" si="88"/>
        <v>427.16091343339173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30.286526140609539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30.286526140609539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367.99999999999972</v>
      </c>
      <c r="AJ100" s="13">
        <f>AI100*VLOOKUP('Données projet'!$B$10,Paramètres!$A$1:$I$89,3,0)*VLOOKUP('Données projet'!$B$10,Paramètres!$A$1:$I$89,5,0)</f>
        <v>292.78079999999977</v>
      </c>
      <c r="AK100" s="13">
        <f t="shared" si="89"/>
        <v>69.660903052386217</v>
      </c>
      <c r="AL100" s="20">
        <f t="shared" si="58"/>
        <v>631.25263281623893</v>
      </c>
      <c r="AM100" s="59">
        <f t="shared" si="59"/>
        <v>924.58596614957219</v>
      </c>
      <c r="AN100" s="59">
        <f ca="1">AVERAGE(OFFSET($AM$3,0,0,'Données projet'!$E$10+1,1))-AVERAGE(OFFSET($H$3,0,0,'Données projet'!$E$10+1,1))</f>
        <v>405.40026823646758</v>
      </c>
      <c r="AO100" s="59">
        <f t="shared" si="90"/>
        <v>393.0787141050053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44.014578565985566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44.014578565985566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739.99999999999966</v>
      </c>
      <c r="BE100" s="13">
        <f>BD100*VLOOKUP('Données projet'!$B$11,Paramètres!$A$1:$I$89,3,0)*VLOOKUP('Données projet'!$B$11,Paramètres!$A$1:$I$89,5,0)</f>
        <v>413.65999999999985</v>
      </c>
      <c r="BF100" s="13">
        <f t="shared" si="91"/>
        <v>94.540585122244352</v>
      </c>
      <c r="BG100" s="20">
        <f t="shared" si="61"/>
        <v>885.11601908790863</v>
      </c>
      <c r="BH100" s="59">
        <f t="shared" si="62"/>
        <v>1178.4493524212419</v>
      </c>
      <c r="BI100" s="59">
        <f ca="1">AVERAGE(OFFSET($BH$3,0,0,'Données projet'!$E$11+1,1))-AVERAGE(OFFSET($H$3,0,0,'Données projet'!$E$11+1,1))</f>
        <v>555.15881087162279</v>
      </c>
      <c r="BJ100" s="59">
        <f t="shared" si="92"/>
        <v>668.20427590250733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59.350103765600799</v>
      </c>
      <c r="BQ100" s="21">
        <f>EXP(-LN(2)/25)*BQ99+(1-EXP(-LN(2)/25))/(LN(2)/25)*Calculateur!BL100*Calculateur!BN100*VLOOKUP('Données projet'!$B$11,Paramètres!$A$1:$I$89,3,0)*0.475*44/12</f>
        <v>9.0163254785857276</v>
      </c>
      <c r="BR100" s="21">
        <f>EXP(-LN(2)/2)*BR99+(1-EXP(-LN(2)/2))/(LN(2)/2)*BL100*BO100*VLOOKUP('Données projet'!$B$11,Paramètres!$A$1:$I$89,3,0)*0.475*44/12</f>
        <v>7.0010143787066564E-11</v>
      </c>
      <c r="BS100" s="22">
        <f t="shared" si="63"/>
        <v>68.366429244256537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367.99999999999972</v>
      </c>
      <c r="BZ100" s="13">
        <f>BY100*VLOOKUP('Données projet'!$B$12,Paramètres!$A$1:$I$89,3,0)*VLOOKUP('Données projet'!$B$12,Paramètres!$A$1:$I$89,5,0)</f>
        <v>241.11359999999982</v>
      </c>
      <c r="CA100" s="13">
        <f t="shared" si="93"/>
        <v>58.6790623558988</v>
      </c>
      <c r="CB100" s="20">
        <f t="shared" si="64"/>
        <v>522.13888693652348</v>
      </c>
      <c r="CC100" s="59">
        <f t="shared" si="65"/>
        <v>815.47222026985673</v>
      </c>
      <c r="CD100" s="59">
        <f ca="1">AVERAGE(OFFSET($CC$3,0,0,'Données projet'!$E$12+1,1))-AVERAGE(OFFSET($H$3,0,0,'Données projet'!$E$12+1,1))</f>
        <v>340.49092994349405</v>
      </c>
      <c r="CE100" s="59">
        <f t="shared" si="94"/>
        <v>331.54434271908832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29.40818678881611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29.40818678881611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5.6</v>
      </c>
      <c r="CT100" s="12">
        <f>IF('Données projet'!$A$140&gt;35,CT99+CS100-DB99,IF(A100&lt;'Données projet'!$A$140,$CQ$205^A100,IF(A100='Données projet'!$A$140,'Données projet'!$B$140,CT99+CS100-DB99)))</f>
        <v>316.19999999999993</v>
      </c>
      <c r="CU100" s="17">
        <f>CT100*VLOOKUP('Données projet'!$B$13,Paramètres!$A$1:$I$89,3,0)*VLOOKUP('Données projet'!$B$13,Paramètres!$A$1:$I$89,5,0)</f>
        <v>286.09775999999994</v>
      </c>
      <c r="CV100" s="13">
        <f t="shared" si="95"/>
        <v>68.254020651723678</v>
      </c>
      <c r="CW100" s="20">
        <f t="shared" si="67"/>
        <v>617.16268463508527</v>
      </c>
      <c r="CX100" s="59">
        <f t="shared" si="68"/>
        <v>910.49601796841853</v>
      </c>
      <c r="CY100" s="59">
        <f ca="1">AVERAGE(OFFSET($CX$3,0,0,'Données projet'!$E$13+1,1))-AVERAGE(OFFSET($H$3,0,0,'Données projet'!$E$13+1,1))</f>
        <v>439.19854273764042</v>
      </c>
      <c r="CZ100" s="59">
        <f t="shared" si="96"/>
        <v>278.21741231699929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88.888775397134779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88.888775397134779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5.6</v>
      </c>
      <c r="DO100" s="12">
        <f>IF('Données projet'!$A$166&gt;35,DO99+DN100-DW99,IF(A100&lt;'Données projet'!$A$166,$DL$205^A100,IF(A100='Données projet'!$A$166,'Données projet'!$B$166,DO99+DN100-DW99)))</f>
        <v>316.19999999999993</v>
      </c>
      <c r="DP100" s="17">
        <f>DO100*VLOOKUP('Données projet'!$B$14,Paramètres!$A$1:$I$89,3,0)*VLOOKUP('Données projet'!$B$14,Paramètres!$A$1:$I$89,5,0)</f>
        <v>266.36687999999992</v>
      </c>
      <c r="DQ100" s="13">
        <f t="shared" si="97"/>
        <v>64.077622653233107</v>
      </c>
      <c r="DR100" s="20">
        <f t="shared" si="70"/>
        <v>575.52417545438084</v>
      </c>
      <c r="DS100" s="59">
        <f t="shared" si="71"/>
        <v>868.8575087877141</v>
      </c>
      <c r="DT100" s="59">
        <f ca="1">AVERAGE(OFFSET($DS$3,0,0,'Données projet'!$E$14+1,1))-AVERAGE(OFFSET($H$3,0,0,'Données projet'!$E$14+1,1))</f>
        <v>411.72284844766</v>
      </c>
      <c r="DU100" s="59">
        <f t="shared" si="98"/>
        <v>261.95434270986397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82.758515024918594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82.758515024918594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636.99999999999977</v>
      </c>
      <c r="EK100" s="17">
        <f>EJ100*VLOOKUP('Données projet'!$B$15,Paramètres!$A$1:$I$89,3,0)*VLOOKUP('Données projet'!$B$15,Paramètres!$A$1:$I$89,5,0)</f>
        <v>356.08299999999991</v>
      </c>
      <c r="EL100" s="13">
        <f t="shared" si="99"/>
        <v>82.813805255716545</v>
      </c>
      <c r="EM100" s="20">
        <f t="shared" si="73"/>
        <v>764.41193582037283</v>
      </c>
      <c r="EN100" s="59">
        <f t="shared" si="74"/>
        <v>1057.7452691537062</v>
      </c>
      <c r="EO100" s="59">
        <f ca="1">AVERAGE(OFFSET($EN$3,0,0,'Données projet'!$E$15+1,1))-AVERAGE(OFFSET($H$3,0,0,'Données projet'!$E$15+1,1))</f>
        <v>443.34220761968419</v>
      </c>
      <c r="EP100" s="59">
        <f t="shared" si="100"/>
        <v>546.58234447298014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46.967662563363284</v>
      </c>
      <c r="EW100" s="21">
        <f>EXP(-LN(2)/25)*EW99+(1-EXP(-LN(2)/25))/(LN(2)/25)*Calculateur!ER100*Calculateur!ET100*VLOOKUP('Données projet'!$B$15,Paramètres!$A$1:$I$89,3,0)*0.475*44/12</f>
        <v>3.4231258579205814</v>
      </c>
      <c r="EX100" s="21">
        <f>EXP(-LN(2)/2)*EX99+(1-EXP(-LN(2)/2))/(LN(2)/2)*ER100*EU100*VLOOKUP('Données projet'!$B$15,Paramètres!$A$1:$I$89,3,0)*0.475*44/12</f>
        <v>4.9734901597743611E-10</v>
      </c>
      <c r="EY100" s="22">
        <f t="shared" si="75"/>
        <v>50.390788421781217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224.00000000000006</v>
      </c>
      <c r="O101" s="13">
        <f>N101*VLOOKUP('Données projet'!$B$9,Paramètres!$A$1:$I$89,3,0)*VLOOKUP('Données projet'!$B$9,Paramètres!$A$1:$I$89,5,0)</f>
        <v>195.68640000000008</v>
      </c>
      <c r="P101" s="13">
        <f t="shared" si="87"/>
        <v>48.794969360985156</v>
      </c>
      <c r="Q101" s="20">
        <f t="shared" si="107"/>
        <v>425.8050516370493</v>
      </c>
      <c r="R101" s="59">
        <f t="shared" si="55"/>
        <v>719.13838497038262</v>
      </c>
      <c r="S101" s="59">
        <f ca="1">AVERAGE(OFFSET($R$3,0,0,'Données projet'!$E$9+1,1))-AVERAGE(OFFSET($H$3,0,0,'Données projet'!$E$9+1,1))</f>
        <v>304.32767345253382</v>
      </c>
      <c r="T101" s="59">
        <f t="shared" si="88"/>
        <v>427.16091343339173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29.692625835949077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29.692625835949077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367.99999999999972</v>
      </c>
      <c r="AJ101" s="13">
        <f>AI101*VLOOKUP('Données projet'!$B$10,Paramètres!$A$1:$I$89,3,0)*VLOOKUP('Données projet'!$B$10,Paramètres!$A$1:$I$89,5,0)</f>
        <v>292.78079999999977</v>
      </c>
      <c r="AK101" s="13">
        <f t="shared" si="89"/>
        <v>69.660903052386217</v>
      </c>
      <c r="AL101" s="20">
        <f t="shared" si="58"/>
        <v>631.25263281623893</v>
      </c>
      <c r="AM101" s="59">
        <f t="shared" si="59"/>
        <v>924.58596614957219</v>
      </c>
      <c r="AN101" s="59">
        <f ca="1">AVERAGE(OFFSET($AM$3,0,0,'Données projet'!$E$10+1,1))-AVERAGE(OFFSET($H$3,0,0,'Données projet'!$E$10+1,1))</f>
        <v>405.40026823646758</v>
      </c>
      <c r="AO101" s="59">
        <f t="shared" si="90"/>
        <v>393.0787141050053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43.15147952654867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43.15147952654867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739.99999999999966</v>
      </c>
      <c r="BE101" s="13">
        <f>BD101*VLOOKUP('Données projet'!$B$11,Paramètres!$A$1:$I$89,3,0)*VLOOKUP('Données projet'!$B$11,Paramètres!$A$1:$I$89,5,0)</f>
        <v>413.65999999999985</v>
      </c>
      <c r="BF101" s="13">
        <f t="shared" si="91"/>
        <v>94.540585122244352</v>
      </c>
      <c r="BG101" s="20">
        <f t="shared" si="61"/>
        <v>885.11601908790863</v>
      </c>
      <c r="BH101" s="59">
        <f t="shared" si="62"/>
        <v>1178.4493524212419</v>
      </c>
      <c r="BI101" s="59">
        <f ca="1">AVERAGE(OFFSET($BH$3,0,0,'Données projet'!$E$11+1,1))-AVERAGE(OFFSET($H$3,0,0,'Données projet'!$E$11+1,1))</f>
        <v>555.15881087162279</v>
      </c>
      <c r="BJ101" s="59">
        <f t="shared" si="92"/>
        <v>668.20427590250733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58.186284430746213</v>
      </c>
      <c r="BQ101" s="21">
        <f>EXP(-LN(2)/25)*BQ100+(1-EXP(-LN(2)/25))/(LN(2)/25)*Calculateur!BL101*Calculateur!BN101*VLOOKUP('Données projet'!$B$11,Paramètres!$A$1:$I$89,3,0)*0.475*44/12</f>
        <v>8.7697735842258506</v>
      </c>
      <c r="BR101" s="21">
        <f>EXP(-LN(2)/2)*BR100+(1-EXP(-LN(2)/2))/(LN(2)/2)*BL101*BO101*VLOOKUP('Données projet'!$B$11,Paramètres!$A$1:$I$89,3,0)*0.475*44/12</f>
        <v>4.9504647423680008E-11</v>
      </c>
      <c r="BS101" s="22">
        <f t="shared" si="63"/>
        <v>66.956058015021569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367.99999999999972</v>
      </c>
      <c r="BZ101" s="13">
        <f>BY101*VLOOKUP('Données projet'!$B$12,Paramètres!$A$1:$I$89,3,0)*VLOOKUP('Données projet'!$B$12,Paramètres!$A$1:$I$89,5,0)</f>
        <v>241.11359999999982</v>
      </c>
      <c r="CA101" s="13">
        <f t="shared" si="93"/>
        <v>58.6790623558988</v>
      </c>
      <c r="CB101" s="20">
        <f t="shared" si="64"/>
        <v>522.13888693652348</v>
      </c>
      <c r="CC101" s="59">
        <f t="shared" si="65"/>
        <v>815.47222026985673</v>
      </c>
      <c r="CD101" s="59">
        <f ca="1">AVERAGE(OFFSET($CC$3,0,0,'Données projet'!$E$12+1,1))-AVERAGE(OFFSET($H$3,0,0,'Données projet'!$E$12+1,1))</f>
        <v>340.49092994349405</v>
      </c>
      <c r="CE101" s="59">
        <f t="shared" si="94"/>
        <v>331.54434271908832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28.831510183110215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28.831510183110215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5.6</v>
      </c>
      <c r="CT101" s="12">
        <f>IF('Données projet'!$A$140&gt;35,CT100+CS101-DB100,IF(A101&lt;'Données projet'!$A$140,$CQ$205^A101,IF(A101='Données projet'!$A$140,'Données projet'!$B$140,CT100+CS101-DB100)))</f>
        <v>321.79999999999995</v>
      </c>
      <c r="CU101" s="17">
        <f>CT101*VLOOKUP('Données projet'!$B$13,Paramètres!$A$1:$I$89,3,0)*VLOOKUP('Données projet'!$B$13,Paramètres!$A$1:$I$89,5,0)</f>
        <v>291.16463999999991</v>
      </c>
      <c r="CV101" s="13">
        <f t="shared" si="95"/>
        <v>69.321022467464644</v>
      </c>
      <c r="CW101" s="20">
        <f t="shared" si="67"/>
        <v>627.84586213083401</v>
      </c>
      <c r="CX101" s="59">
        <f t="shared" si="68"/>
        <v>921.17919546416738</v>
      </c>
      <c r="CY101" s="59">
        <f ca="1">AVERAGE(OFFSET($CX$3,0,0,'Données projet'!$E$13+1,1))-AVERAGE(OFFSET($H$3,0,0,'Données projet'!$E$13+1,1))</f>
        <v>439.19854273764042</v>
      </c>
      <c r="CZ101" s="59">
        <f t="shared" si="96"/>
        <v>278.21741231699929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87.145720728396498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87.145720728396498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5.6</v>
      </c>
      <c r="DO101" s="12">
        <f>IF('Données projet'!$A$166&gt;35,DO100+DN101-DW100,IF(A101&lt;'Données projet'!$A$166,$DL$205^A101,IF(A101='Données projet'!$A$166,'Données projet'!$B$166,DO100+DN101-DW100)))</f>
        <v>321.79999999999995</v>
      </c>
      <c r="DP101" s="17">
        <f>DO101*VLOOKUP('Données projet'!$B$14,Paramètres!$A$1:$I$89,3,0)*VLOOKUP('Données projet'!$B$14,Paramètres!$A$1:$I$89,5,0)</f>
        <v>271.08431999999999</v>
      </c>
      <c r="DQ101" s="13">
        <f t="shared" si="97"/>
        <v>65.079335652211455</v>
      </c>
      <c r="DR101" s="20">
        <f t="shared" si="70"/>
        <v>585.4850335942682</v>
      </c>
      <c r="DS101" s="59">
        <f t="shared" si="71"/>
        <v>878.81836692760157</v>
      </c>
      <c r="DT101" s="59">
        <f ca="1">AVERAGE(OFFSET($DS$3,0,0,'Données projet'!$E$14+1,1))-AVERAGE(OFFSET($H$3,0,0,'Données projet'!$E$14+1,1))</f>
        <v>411.72284844766</v>
      </c>
      <c r="DU101" s="59">
        <f t="shared" si="98"/>
        <v>261.95434270986397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81.13567102298984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81.13567102298984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636.99999999999977</v>
      </c>
      <c r="EK101" s="17">
        <f>EJ101*VLOOKUP('Données projet'!$B$15,Paramètres!$A$1:$I$89,3,0)*VLOOKUP('Données projet'!$B$15,Paramètres!$A$1:$I$89,5,0)</f>
        <v>356.08299999999991</v>
      </c>
      <c r="EL101" s="13">
        <f t="shared" si="99"/>
        <v>82.813805255716545</v>
      </c>
      <c r="EM101" s="20">
        <f t="shared" si="73"/>
        <v>764.41193582037283</v>
      </c>
      <c r="EN101" s="59">
        <f t="shared" si="74"/>
        <v>1057.7452691537062</v>
      </c>
      <c r="EO101" s="59">
        <f ca="1">AVERAGE(OFFSET($EN$3,0,0,'Données projet'!$E$15+1,1))-AVERAGE(OFFSET($H$3,0,0,'Données projet'!$E$15+1,1))</f>
        <v>443.34220761968419</v>
      </c>
      <c r="EP101" s="59">
        <f t="shared" si="100"/>
        <v>546.58234447298014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46.04665534794119</v>
      </c>
      <c r="EW101" s="21">
        <f>EXP(-LN(2)/25)*EW100+(1-EXP(-LN(2)/25))/(LN(2)/25)*Calculateur!ER101*Calculateur!ET101*VLOOKUP('Données projet'!$B$15,Paramètres!$A$1:$I$89,3,0)*0.475*44/12</f>
        <v>3.3295203013213781</v>
      </c>
      <c r="EX101" s="21">
        <f>EXP(-LN(2)/2)*EX100+(1-EXP(-LN(2)/2))/(LN(2)/2)*ER101*EU101*VLOOKUP('Données projet'!$B$15,Paramètres!$A$1:$I$89,3,0)*0.475*44/12</f>
        <v>3.5167886181410165E-10</v>
      </c>
      <c r="EY101" s="22">
        <f t="shared" si="75"/>
        <v>49.376175649614247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224.00000000000006</v>
      </c>
      <c r="O102" s="13">
        <f>N102*VLOOKUP('Données projet'!$B$9,Paramètres!$A$1:$I$89,3,0)*VLOOKUP('Données projet'!$B$9,Paramètres!$A$1:$I$89,5,0)</f>
        <v>195.68640000000008</v>
      </c>
      <c r="P102" s="13">
        <f t="shared" si="87"/>
        <v>48.794969360985156</v>
      </c>
      <c r="Q102" s="20">
        <f t="shared" si="107"/>
        <v>425.8050516370493</v>
      </c>
      <c r="R102" s="59">
        <f t="shared" si="55"/>
        <v>719.13838497038262</v>
      </c>
      <c r="S102" s="59">
        <f ca="1">AVERAGE(OFFSET($R$3,0,0,'Données projet'!$E$9+1,1))-AVERAGE(OFFSET($H$3,0,0,'Données projet'!$E$9+1,1))</f>
        <v>304.32767345253382</v>
      </c>
      <c r="T102" s="59">
        <f t="shared" si="88"/>
        <v>427.16091343339173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29.11037155401959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29.11037155401959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367.99999999999972</v>
      </c>
      <c r="AJ102" s="13">
        <f>AI102*VLOOKUP('Données projet'!$B$10,Paramètres!$A$1:$I$89,3,0)*VLOOKUP('Données projet'!$B$10,Paramètres!$A$1:$I$89,5,0)</f>
        <v>292.78079999999977</v>
      </c>
      <c r="AK102" s="13">
        <f t="shared" si="89"/>
        <v>69.660903052386217</v>
      </c>
      <c r="AL102" s="20">
        <f t="shared" si="58"/>
        <v>631.25263281623893</v>
      </c>
      <c r="AM102" s="59">
        <f t="shared" si="59"/>
        <v>924.58596614957219</v>
      </c>
      <c r="AN102" s="59">
        <f ca="1">AVERAGE(OFFSET($AM$3,0,0,'Données projet'!$E$10+1,1))-AVERAGE(OFFSET($H$3,0,0,'Données projet'!$E$10+1,1))</f>
        <v>405.40026823646758</v>
      </c>
      <c r="AO102" s="59">
        <f t="shared" si="90"/>
        <v>393.0787141050053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42.305305332836696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42.305305332836696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739.99999999999966</v>
      </c>
      <c r="BE102" s="13">
        <f>BD102*VLOOKUP('Données projet'!$B$11,Paramètres!$A$1:$I$89,3,0)*VLOOKUP('Données projet'!$B$11,Paramètres!$A$1:$I$89,5,0)</f>
        <v>413.65999999999985</v>
      </c>
      <c r="BF102" s="13">
        <f t="shared" si="91"/>
        <v>94.540585122244352</v>
      </c>
      <c r="BG102" s="20">
        <f t="shared" si="61"/>
        <v>885.11601908790863</v>
      </c>
      <c r="BH102" s="59">
        <f t="shared" si="62"/>
        <v>1178.4493524212419</v>
      </c>
      <c r="BI102" s="59">
        <f ca="1">AVERAGE(OFFSET($BH$3,0,0,'Données projet'!$E$11+1,1))-AVERAGE(OFFSET($H$3,0,0,'Données projet'!$E$11+1,1))</f>
        <v>555.15881087162279</v>
      </c>
      <c r="BJ102" s="59">
        <f t="shared" si="92"/>
        <v>668.20427590250733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57.045286883188425</v>
      </c>
      <c r="BQ102" s="21">
        <f>EXP(-LN(2)/25)*BQ101+(1-EXP(-LN(2)/25))/(LN(2)/25)*Calculateur!BL102*Calculateur!BN102*VLOOKUP('Données projet'!$B$11,Paramètres!$A$1:$I$89,3,0)*0.475*44/12</f>
        <v>8.529963664382846</v>
      </c>
      <c r="BR102" s="21">
        <f>EXP(-LN(2)/2)*BR101+(1-EXP(-LN(2)/2))/(LN(2)/2)*BL102*BO102*VLOOKUP('Données projet'!$B$11,Paramètres!$A$1:$I$89,3,0)*0.475*44/12</f>
        <v>3.5005071893533282E-11</v>
      </c>
      <c r="BS102" s="22">
        <f t="shared" si="63"/>
        <v>65.575250547606274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367.99999999999972</v>
      </c>
      <c r="BZ102" s="13">
        <f>BY102*VLOOKUP('Données projet'!$B$12,Paramètres!$A$1:$I$89,3,0)*VLOOKUP('Données projet'!$B$12,Paramètres!$A$1:$I$89,5,0)</f>
        <v>241.11359999999982</v>
      </c>
      <c r="CA102" s="13">
        <f t="shared" si="93"/>
        <v>58.6790623558988</v>
      </c>
      <c r="CB102" s="20">
        <f t="shared" si="64"/>
        <v>522.13888693652348</v>
      </c>
      <c r="CC102" s="59">
        <f t="shared" si="65"/>
        <v>815.47222026985673</v>
      </c>
      <c r="CD102" s="59">
        <f ca="1">AVERAGE(OFFSET($CC$3,0,0,'Données projet'!$E$12+1,1))-AVERAGE(OFFSET($H$3,0,0,'Données projet'!$E$12+1,1))</f>
        <v>340.49092994349405</v>
      </c>
      <c r="CE102" s="59">
        <f t="shared" si="94"/>
        <v>331.54434271908832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28.266141853904212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28.266141853904212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5.6</v>
      </c>
      <c r="CT102" s="12">
        <f>IF('Données projet'!$A$140&gt;35,CT101+CS102-DB101,IF(A102&lt;'Données projet'!$A$140,$CQ$205^A102,IF(A102='Données projet'!$A$140,'Données projet'!$B$140,CT101+CS102-DB101)))</f>
        <v>327.39999999999998</v>
      </c>
      <c r="CU102" s="17">
        <f>CT102*VLOOKUP('Données projet'!$B$13,Paramètres!$A$1:$I$89,3,0)*VLOOKUP('Données projet'!$B$13,Paramètres!$A$1:$I$89,5,0)</f>
        <v>296.23151999999993</v>
      </c>
      <c r="CV102" s="13">
        <f t="shared" si="95"/>
        <v>70.385865030263986</v>
      </c>
      <c r="CW102" s="20">
        <f t="shared" si="67"/>
        <v>638.52527892770956</v>
      </c>
      <c r="CX102" s="59">
        <f t="shared" si="68"/>
        <v>931.85861226104294</v>
      </c>
      <c r="CY102" s="59">
        <f ca="1">AVERAGE(OFFSET($CX$3,0,0,'Données projet'!$E$13+1,1))-AVERAGE(OFFSET($H$3,0,0,'Données projet'!$E$13+1,1))</f>
        <v>439.19854273764042</v>
      </c>
      <c r="CZ102" s="59">
        <f t="shared" si="96"/>
        <v>278.21741231699929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85.436846298553803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85.436846298553803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5.6</v>
      </c>
      <c r="DO102" s="12">
        <f>IF('Données projet'!$A$166&gt;35,DO101+DN102-DW101,IF(A102&lt;'Données projet'!$A$166,$DL$205^A102,IF(A102='Données projet'!$A$166,'Données projet'!$B$166,DO101+DN102-DW101)))</f>
        <v>327.39999999999998</v>
      </c>
      <c r="DP102" s="17">
        <f>DO102*VLOOKUP('Données projet'!$B$14,Paramètres!$A$1:$I$89,3,0)*VLOOKUP('Données projet'!$B$14,Paramètres!$A$1:$I$89,5,0)</f>
        <v>275.80176</v>
      </c>
      <c r="DQ102" s="13">
        <f t="shared" si="97"/>
        <v>66.079021520862696</v>
      </c>
      <c r="DR102" s="20">
        <f t="shared" si="70"/>
        <v>595.44236114883586</v>
      </c>
      <c r="DS102" s="59">
        <f t="shared" si="71"/>
        <v>888.77569448216923</v>
      </c>
      <c r="DT102" s="59">
        <f ca="1">AVERAGE(OFFSET($DS$3,0,0,'Données projet'!$E$14+1,1))-AVERAGE(OFFSET($H$3,0,0,'Données projet'!$E$14+1,1))</f>
        <v>411.72284844766</v>
      </c>
      <c r="DU102" s="59">
        <f t="shared" si="98"/>
        <v>261.95434270986397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79.544650002101818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79.544650002101818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636.99999999999977</v>
      </c>
      <c r="EK102" s="17">
        <f>EJ102*VLOOKUP('Données projet'!$B$15,Paramètres!$A$1:$I$89,3,0)*VLOOKUP('Données projet'!$B$15,Paramètres!$A$1:$I$89,5,0)</f>
        <v>356.08299999999991</v>
      </c>
      <c r="EL102" s="13">
        <f t="shared" si="99"/>
        <v>82.813805255716545</v>
      </c>
      <c r="EM102" s="20">
        <f t="shared" si="73"/>
        <v>764.41193582037283</v>
      </c>
      <c r="EN102" s="59">
        <f t="shared" si="74"/>
        <v>1057.7452691537062</v>
      </c>
      <c r="EO102" s="59">
        <f ca="1">AVERAGE(OFFSET($EN$3,0,0,'Données projet'!$E$15+1,1))-AVERAGE(OFFSET($H$3,0,0,'Données projet'!$E$15+1,1))</f>
        <v>443.34220761968419</v>
      </c>
      <c r="EP102" s="59">
        <f t="shared" si="100"/>
        <v>546.58234447298014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45.143708522254592</v>
      </c>
      <c r="EW102" s="21">
        <f>EXP(-LN(2)/25)*EW101+(1-EXP(-LN(2)/25))/(LN(2)/25)*Calculateur!ER102*Calculateur!ET102*VLOOKUP('Données projet'!$B$15,Paramètres!$A$1:$I$89,3,0)*0.475*44/12</f>
        <v>3.2384743935898821</v>
      </c>
      <c r="EX102" s="21">
        <f>EXP(-LN(2)/2)*EX101+(1-EXP(-LN(2)/2))/(LN(2)/2)*ER102*EU102*VLOOKUP('Données projet'!$B$15,Paramètres!$A$1:$I$89,3,0)*0.475*44/12</f>
        <v>2.4867450798871805E-10</v>
      </c>
      <c r="EY102" s="22">
        <f t="shared" si="75"/>
        <v>48.38218291609315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224.00000000000006</v>
      </c>
      <c r="O103" s="13">
        <f>N103*VLOOKUP('Données projet'!$B$9,Paramètres!$A$1:$I$89,3,0)*VLOOKUP('Données projet'!$B$9,Paramètres!$A$1:$I$89,5,0)</f>
        <v>195.68640000000008</v>
      </c>
      <c r="P103" s="13">
        <f t="shared" si="87"/>
        <v>48.794969360985156</v>
      </c>
      <c r="Q103" s="20">
        <f t="shared" si="107"/>
        <v>425.8050516370493</v>
      </c>
      <c r="R103" s="59">
        <f t="shared" si="55"/>
        <v>719.13838497038262</v>
      </c>
      <c r="S103" s="59">
        <f ca="1">AVERAGE(OFFSET($R$3,0,0,'Données projet'!$E$9+1,1))-AVERAGE(OFFSET($H$3,0,0,'Données projet'!$E$9+1,1))</f>
        <v>304.32767345253382</v>
      </c>
      <c r="T103" s="59">
        <f t="shared" si="88"/>
        <v>427.16091343339173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28.539534923418696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28.539534923418696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367.99999999999972</v>
      </c>
      <c r="AJ103" s="13">
        <f>AI103*VLOOKUP('Données projet'!$B$10,Paramètres!$A$1:$I$89,3,0)*VLOOKUP('Données projet'!$B$10,Paramètres!$A$1:$I$89,5,0)</f>
        <v>292.78079999999977</v>
      </c>
      <c r="AK103" s="13">
        <f t="shared" si="89"/>
        <v>69.660903052386217</v>
      </c>
      <c r="AL103" s="20">
        <f t="shared" si="58"/>
        <v>631.25263281623893</v>
      </c>
      <c r="AM103" s="59">
        <f t="shared" si="59"/>
        <v>924.58596614957219</v>
      </c>
      <c r="AN103" s="59">
        <f ca="1">AVERAGE(OFFSET($AM$3,0,0,'Données projet'!$E$10+1,1))-AVERAGE(OFFSET($H$3,0,0,'Données projet'!$E$10+1,1))</f>
        <v>405.40026823646758</v>
      </c>
      <c r="AO103" s="59">
        <f t="shared" si="90"/>
        <v>393.0787141050053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41.47572409894812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41.47572409894812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739.99999999999966</v>
      </c>
      <c r="BE103" s="13">
        <f>BD103*VLOOKUP('Données projet'!$B$11,Paramètres!$A$1:$I$89,3,0)*VLOOKUP('Données projet'!$B$11,Paramètres!$A$1:$I$89,5,0)</f>
        <v>413.65999999999985</v>
      </c>
      <c r="BF103" s="13">
        <f t="shared" si="91"/>
        <v>94.540585122244352</v>
      </c>
      <c r="BG103" s="20">
        <f t="shared" si="61"/>
        <v>885.11601908790863</v>
      </c>
      <c r="BH103" s="59">
        <f t="shared" si="62"/>
        <v>1178.4493524212419</v>
      </c>
      <c r="BI103" s="59">
        <f ca="1">AVERAGE(OFFSET($BH$3,0,0,'Données projet'!$E$11+1,1))-AVERAGE(OFFSET($H$3,0,0,'Données projet'!$E$11+1,1))</f>
        <v>555.15881087162279</v>
      </c>
      <c r="BJ103" s="59">
        <f t="shared" si="92"/>
        <v>668.20427590250733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55.926663601598456</v>
      </c>
      <c r="BQ103" s="21">
        <f>EXP(-LN(2)/25)*BQ102+(1-EXP(-LN(2)/25))/(LN(2)/25)*Calculateur!BL103*Calculateur!BN103*VLOOKUP('Données projet'!$B$11,Paramètres!$A$1:$I$89,3,0)*0.475*44/12</f>
        <v>8.2967113594090041</v>
      </c>
      <c r="BR103" s="21">
        <f>EXP(-LN(2)/2)*BR102+(1-EXP(-LN(2)/2))/(LN(2)/2)*BL103*BO103*VLOOKUP('Données projet'!$B$11,Paramètres!$A$1:$I$89,3,0)*0.475*44/12</f>
        <v>2.4752323711840004E-11</v>
      </c>
      <c r="BS103" s="22">
        <f t="shared" si="63"/>
        <v>64.223374961032221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367.99999999999972</v>
      </c>
      <c r="BZ103" s="13">
        <f>BY103*VLOOKUP('Données projet'!$B$12,Paramètres!$A$1:$I$89,3,0)*VLOOKUP('Données projet'!$B$12,Paramètres!$A$1:$I$89,5,0)</f>
        <v>241.11359999999982</v>
      </c>
      <c r="CA103" s="13">
        <f t="shared" si="93"/>
        <v>58.6790623558988</v>
      </c>
      <c r="CB103" s="20">
        <f t="shared" si="64"/>
        <v>522.13888693652348</v>
      </c>
      <c r="CC103" s="59">
        <f t="shared" si="65"/>
        <v>815.47222026985673</v>
      </c>
      <c r="CD103" s="59">
        <f ca="1">AVERAGE(OFFSET($CC$3,0,0,'Données projet'!$E$12+1,1))-AVERAGE(OFFSET($H$3,0,0,'Données projet'!$E$12+1,1))</f>
        <v>340.49092994349405</v>
      </c>
      <c r="CE103" s="59">
        <f t="shared" si="94"/>
        <v>331.54434271908832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27.711860052793309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27.711860052793309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333</v>
      </c>
      <c r="CR103" s="12">
        <f>VLOOKUP(A103,'Données projet'!$A$139:$I$159,9,0)</f>
        <v>5.6</v>
      </c>
      <c r="CS103" s="12">
        <f t="array" ref="CS103">INDEX(CR:CR,MIN(IF(ISNUMBER(CR103:CR299),ROW(CR103:CR299),"")))</f>
        <v>5.6</v>
      </c>
      <c r="CT103" s="12">
        <f>IF('Données projet'!$A$140&gt;35,CT102+CS103-DB102,IF(A103&lt;'Données projet'!$A$140,$CQ$205^A103,IF(A103='Données projet'!$A$140,'Données projet'!$B$140,CT102+CS103-DB102)))</f>
        <v>333</v>
      </c>
      <c r="CU103" s="17">
        <f>CT103*VLOOKUP('Données projet'!$B$13,Paramètres!$A$1:$I$89,3,0)*VLOOKUP('Données projet'!$B$13,Paramètres!$A$1:$I$89,5,0)</f>
        <v>301.29840000000002</v>
      </c>
      <c r="CV103" s="13">
        <f t="shared" si="95"/>
        <v>71.448589534990518</v>
      </c>
      <c r="CW103" s="20">
        <f t="shared" si="67"/>
        <v>649.2010067734418</v>
      </c>
      <c r="CX103" s="59">
        <f t="shared" si="68"/>
        <v>942.53434010677506</v>
      </c>
      <c r="CY103" s="59">
        <f ca="1">AVERAGE(OFFSET($CX$3,0,0,'Données projet'!$E$13+1,1))-AVERAGE(OFFSET($H$3,0,0,'Données projet'!$E$13+1,1))</f>
        <v>439.19854273764042</v>
      </c>
      <c r="CZ103" s="59">
        <f t="shared" si="96"/>
        <v>278.21741231699929</v>
      </c>
      <c r="DA103" s="15">
        <f>IF(ISNA(VLOOKUP(A103,'Données projet'!$A$139:$I$159,3,0)),0,VLOOKUP(A103,'Données projet'!$A$139:$I$159,3,0))</f>
        <v>17</v>
      </c>
      <c r="DB103" s="15">
        <f>IF(ISNA(VLOOKUP(A103,'Données projet'!$A$139:$I$159,4,0)),0,VLOOKUP(A103,'Données projet'!$A$139:$I$159,4,0))</f>
        <v>27</v>
      </c>
      <c r="DC103" s="16">
        <f>IF(ISNA(VLOOKUP(A103,'Données projet'!$A$139:$I$159,5,0)),0%,VLOOKUP(A103,'Données projet'!$A$139:$I$159,5,0)*VLOOKUP('Données projet'!$B$13,Paramètres!$A$1:$I$89,7,0))</f>
        <v>0.43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95.374147503020254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95.374147503020254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333</v>
      </c>
      <c r="DM103" s="12">
        <f>VLOOKUP(A103,'Données projet'!$A$165:$I$185,9,0)</f>
        <v>5.6</v>
      </c>
      <c r="DN103" s="12">
        <f t="array" ref="DN103">INDEX(DM:DM,MIN(IF(ISNUMBER(DM103:DM299),ROW(DM103:DM299),"")))</f>
        <v>5.6</v>
      </c>
      <c r="DO103" s="12">
        <f>IF('Données projet'!$A$166&gt;35,DO102+DN103-DW102,IF(A103&lt;'Données projet'!$A$166,$DL$205^A103,IF(A103='Données projet'!$A$166,'Données projet'!$B$166,DO102+DN103-DW102)))</f>
        <v>333</v>
      </c>
      <c r="DP103" s="17">
        <f>DO103*VLOOKUP('Données projet'!$B$14,Paramètres!$A$1:$I$89,3,0)*VLOOKUP('Données projet'!$B$14,Paramètres!$A$1:$I$89,5,0)</f>
        <v>280.51920000000007</v>
      </c>
      <c r="DQ103" s="13">
        <f t="shared" si="97"/>
        <v>67.07671893338123</v>
      </c>
      <c r="DR103" s="20">
        <f t="shared" si="70"/>
        <v>605.39622547563897</v>
      </c>
      <c r="DS103" s="59">
        <f t="shared" si="71"/>
        <v>898.72955880897234</v>
      </c>
      <c r="DT103" s="59">
        <f ca="1">AVERAGE(OFFSET($DS$3,0,0,'Données projet'!$E$14+1,1))-AVERAGE(OFFSET($H$3,0,0,'Données projet'!$E$14+1,1))</f>
        <v>411.72284844766</v>
      </c>
      <c r="DU103" s="59">
        <f t="shared" si="98"/>
        <v>261.95434270986397</v>
      </c>
      <c r="DV103" s="15">
        <f>IF(ISNA(VLOOKUP(A103,'Données projet'!$A$165:$I$185,3,0)),0,VLOOKUP(A103,'Données projet'!$A$165:$I$185,3,0))</f>
        <v>17</v>
      </c>
      <c r="DW103" s="15">
        <f>IF(ISNA(VLOOKUP(A103,'Données projet'!$A$165:$I$185,4,0)),0,VLOOKUP(A103,'Données projet'!$A$165:$I$185,4,0))</f>
        <v>27</v>
      </c>
      <c r="DX103" s="16">
        <f>IF(ISNA(VLOOKUP(A103,'Données projet'!$A$165:$I$185,5,0)),0%,VLOOKUP(A103,'Données projet'!$A$165:$I$185,5,0)*VLOOKUP('Données projet'!$B$14,Paramètres!$A$1:$I$89,7,0))</f>
        <v>0.43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88.796620089018845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88.796620089018845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636.99999999999977</v>
      </c>
      <c r="EK103" s="17">
        <f>EJ103*VLOOKUP('Données projet'!$B$15,Paramètres!$A$1:$I$89,3,0)*VLOOKUP('Données projet'!$B$15,Paramètres!$A$1:$I$89,5,0)</f>
        <v>356.08299999999991</v>
      </c>
      <c r="EL103" s="13">
        <f t="shared" si="99"/>
        <v>82.813805255716545</v>
      </c>
      <c r="EM103" s="20">
        <f t="shared" si="73"/>
        <v>764.41193582037283</v>
      </c>
      <c r="EN103" s="59">
        <f t="shared" si="74"/>
        <v>1057.7452691537062</v>
      </c>
      <c r="EO103" s="59">
        <f ca="1">AVERAGE(OFFSET($EN$3,0,0,'Données projet'!$E$15+1,1))-AVERAGE(OFFSET($H$3,0,0,'Données projet'!$E$15+1,1))</f>
        <v>443.34220761968419</v>
      </c>
      <c r="EP103" s="59">
        <f t="shared" si="100"/>
        <v>546.58234447298014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44.258467933076531</v>
      </c>
      <c r="EW103" s="21">
        <f>EXP(-LN(2)/25)*EW102+(1-EXP(-LN(2)/25))/(LN(2)/25)*Calculateur!ER103*Calculateur!ET103*VLOOKUP('Données projet'!$B$15,Paramètres!$A$1:$I$89,3,0)*0.475*44/12</f>
        <v>3.1499181409932002</v>
      </c>
      <c r="EX103" s="21">
        <f>EXP(-LN(2)/2)*EX102+(1-EXP(-LN(2)/2))/(LN(2)/2)*ER103*EU103*VLOOKUP('Données projet'!$B$15,Paramètres!$A$1:$I$89,3,0)*0.475*44/12</f>
        <v>1.7583943090705082E-10</v>
      </c>
      <c r="EY103" s="22">
        <f t="shared" si="75"/>
        <v>47.40838607424557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224.00000000000006</v>
      </c>
      <c r="O104" s="13">
        <f>N104*VLOOKUP('Données projet'!$B$9,Paramètres!$A$1:$I$89,3,0)*VLOOKUP('Données projet'!$B$9,Paramètres!$A$1:$I$89,5,0)</f>
        <v>195.68640000000008</v>
      </c>
      <c r="P104" s="13">
        <f t="shared" si="87"/>
        <v>48.794969360985156</v>
      </c>
      <c r="Q104" s="20">
        <f t="shared" si="107"/>
        <v>425.8050516370493</v>
      </c>
      <c r="R104" s="59">
        <f t="shared" si="55"/>
        <v>719.13838497038262</v>
      </c>
      <c r="S104" s="59">
        <f ca="1">AVERAGE(OFFSET($R$3,0,0,'Données projet'!$E$9+1,1))-AVERAGE(OFFSET($H$3,0,0,'Données projet'!$E$9+1,1))</f>
        <v>304.32767345253382</v>
      </c>
      <c r="T104" s="59">
        <f t="shared" si="88"/>
        <v>427.16091343339173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27.979892050967919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27.979892050967919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367.99999999999972</v>
      </c>
      <c r="AJ104" s="13">
        <f>AI104*VLOOKUP('Données projet'!$B$10,Paramètres!$A$1:$I$89,3,0)*VLOOKUP('Données projet'!$B$10,Paramètres!$A$1:$I$89,5,0)</f>
        <v>292.78079999999977</v>
      </c>
      <c r="AK104" s="13">
        <f t="shared" si="89"/>
        <v>69.660903052386217</v>
      </c>
      <c r="AL104" s="20">
        <f t="shared" si="58"/>
        <v>631.25263281623893</v>
      </c>
      <c r="AM104" s="59">
        <f t="shared" si="59"/>
        <v>924.58596614957219</v>
      </c>
      <c r="AN104" s="59">
        <f ca="1">AVERAGE(OFFSET($AM$3,0,0,'Données projet'!$E$10+1,1))-AVERAGE(OFFSET($H$3,0,0,'Données projet'!$E$10+1,1))</f>
        <v>405.40026823646758</v>
      </c>
      <c r="AO104" s="59">
        <f t="shared" si="90"/>
        <v>393.0787141050053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40.662410447061511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40.662410447061511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739.99999999999966</v>
      </c>
      <c r="BE104" s="13">
        <f>BD104*VLOOKUP('Données projet'!$B$11,Paramètres!$A$1:$I$89,3,0)*VLOOKUP('Données projet'!$B$11,Paramètres!$A$1:$I$89,5,0)</f>
        <v>413.65999999999985</v>
      </c>
      <c r="BF104" s="13">
        <f t="shared" si="91"/>
        <v>94.540585122244352</v>
      </c>
      <c r="BG104" s="20">
        <f t="shared" si="61"/>
        <v>885.11601908790863</v>
      </c>
      <c r="BH104" s="59">
        <f t="shared" si="62"/>
        <v>1178.4493524212419</v>
      </c>
      <c r="BI104" s="59">
        <f ca="1">AVERAGE(OFFSET($BH$3,0,0,'Données projet'!$E$11+1,1))-AVERAGE(OFFSET($H$3,0,0,'Données projet'!$E$11+1,1))</f>
        <v>555.15881087162279</v>
      </c>
      <c r="BJ104" s="59">
        <f t="shared" si="92"/>
        <v>668.20427590250733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54.829975840267636</v>
      </c>
      <c r="BQ104" s="21">
        <f>EXP(-LN(2)/25)*BQ103+(1-EXP(-LN(2)/25))/(LN(2)/25)*Calculateur!BL104*Calculateur!BN104*VLOOKUP('Données projet'!$B$11,Paramètres!$A$1:$I$89,3,0)*0.475*44/12</f>
        <v>8.0698373509808761</v>
      </c>
      <c r="BR104" s="21">
        <f>EXP(-LN(2)/2)*BR103+(1-EXP(-LN(2)/2))/(LN(2)/2)*BL104*BO104*VLOOKUP('Données projet'!$B$11,Paramètres!$A$1:$I$89,3,0)*0.475*44/12</f>
        <v>1.7502535946766641E-11</v>
      </c>
      <c r="BS104" s="22">
        <f t="shared" si="63"/>
        <v>62.899813191266013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367.99999999999972</v>
      </c>
      <c r="BZ104" s="13">
        <f>BY104*VLOOKUP('Données projet'!$B$12,Paramètres!$A$1:$I$89,3,0)*VLOOKUP('Données projet'!$B$12,Paramètres!$A$1:$I$89,5,0)</f>
        <v>241.11359999999982</v>
      </c>
      <c r="CA104" s="13">
        <f t="shared" si="93"/>
        <v>58.6790623558988</v>
      </c>
      <c r="CB104" s="20">
        <f t="shared" si="64"/>
        <v>522.13888693652348</v>
      </c>
      <c r="CC104" s="59">
        <f t="shared" si="65"/>
        <v>815.47222026985673</v>
      </c>
      <c r="CD104" s="59">
        <f ca="1">AVERAGE(OFFSET($CC$3,0,0,'Données projet'!$E$12+1,1))-AVERAGE(OFFSET($H$3,0,0,'Données projet'!$E$12+1,1))</f>
        <v>340.49092994349405</v>
      </c>
      <c r="CE104" s="59">
        <f t="shared" si="94"/>
        <v>331.54434271908832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27.168447379723673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27.168447379723673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5.4</v>
      </c>
      <c r="CT104" s="12">
        <f>IF('Données projet'!$A$140&gt;35,CT103+CS104-DB103,IF(A104&lt;'Données projet'!$A$140,$CQ$205^A104,IF(A104='Données projet'!$A$140,'Données projet'!$B$140,CT103+CS104-DB103)))</f>
        <v>311.39999999999998</v>
      </c>
      <c r="CU104" s="17">
        <f>CT104*VLOOKUP('Données projet'!$B$13,Paramètres!$A$1:$I$89,3,0)*VLOOKUP('Données projet'!$B$13,Paramètres!$A$1:$I$89,5,0)</f>
        <v>281.75471999999996</v>
      </c>
      <c r="CV104" s="13">
        <f t="shared" si="95"/>
        <v>67.337696723120317</v>
      </c>
      <c r="CW104" s="20">
        <f t="shared" si="67"/>
        <v>608.00262579276773</v>
      </c>
      <c r="CX104" s="59">
        <f t="shared" si="68"/>
        <v>901.33595912610099</v>
      </c>
      <c r="CY104" s="59">
        <f ca="1">AVERAGE(OFFSET($CX$3,0,0,'Données projet'!$E$13+1,1))-AVERAGE(OFFSET($H$3,0,0,'Données projet'!$E$13+1,1))</f>
        <v>439.19854273764042</v>
      </c>
      <c r="CZ104" s="59">
        <f t="shared" si="96"/>
        <v>278.21741231699929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93.503918642971954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93.503918642971954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5.4</v>
      </c>
      <c r="DO104" s="12">
        <f>IF('Données projet'!$A$166&gt;35,DO103+DN104-DW103,IF(A104&lt;'Données projet'!$A$166,$DL$205^A104,IF(A104='Données projet'!$A$166,'Données projet'!$B$166,DO103+DN104-DW103)))</f>
        <v>311.39999999999998</v>
      </c>
      <c r="DP104" s="17">
        <f>DO104*VLOOKUP('Données projet'!$B$14,Paramètres!$A$1:$I$89,3,0)*VLOOKUP('Données projet'!$B$14,Paramètres!$A$1:$I$89,5,0)</f>
        <v>262.32336000000004</v>
      </c>
      <c r="DQ104" s="13">
        <f t="shared" si="97"/>
        <v>63.217367706132244</v>
      </c>
      <c r="DR104" s="20">
        <f t="shared" si="70"/>
        <v>566.98343408818027</v>
      </c>
      <c r="DS104" s="59">
        <f t="shared" si="71"/>
        <v>860.31676742151353</v>
      </c>
      <c r="DT104" s="59">
        <f ca="1">AVERAGE(OFFSET($DS$3,0,0,'Données projet'!$E$14+1,1))-AVERAGE(OFFSET($H$3,0,0,'Données projet'!$E$14+1,1))</f>
        <v>411.72284844766</v>
      </c>
      <c r="DU104" s="59">
        <f t="shared" si="98"/>
        <v>261.95434270986397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87.055372529663529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87.055372529663529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636.99999999999977</v>
      </c>
      <c r="EK104" s="17">
        <f>EJ104*VLOOKUP('Données projet'!$B$15,Paramètres!$A$1:$I$89,3,0)*VLOOKUP('Données projet'!$B$15,Paramètres!$A$1:$I$89,5,0)</f>
        <v>356.08299999999991</v>
      </c>
      <c r="EL104" s="13">
        <f t="shared" si="99"/>
        <v>82.813805255716545</v>
      </c>
      <c r="EM104" s="20">
        <f t="shared" si="73"/>
        <v>764.41193582037283</v>
      </c>
      <c r="EN104" s="59">
        <f t="shared" si="74"/>
        <v>1057.7452691537062</v>
      </c>
      <c r="EO104" s="59">
        <f ca="1">AVERAGE(OFFSET($EN$3,0,0,'Données projet'!$E$15+1,1))-AVERAGE(OFFSET($H$3,0,0,'Données projet'!$E$15+1,1))</f>
        <v>443.34220761968419</v>
      </c>
      <c r="EP104" s="59">
        <f t="shared" si="100"/>
        <v>546.58234447298014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43.390586371908803</v>
      </c>
      <c r="EW104" s="21">
        <f>EXP(-LN(2)/25)*EW103+(1-EXP(-LN(2)/25))/(LN(2)/25)*Calculateur!ER104*Calculateur!ET104*VLOOKUP('Données projet'!$B$15,Paramètres!$A$1:$I$89,3,0)*0.475*44/12</f>
        <v>3.0637834637807453</v>
      </c>
      <c r="EX104" s="21">
        <f>EXP(-LN(2)/2)*EX103+(1-EXP(-LN(2)/2))/(LN(2)/2)*ER104*EU104*VLOOKUP('Données projet'!$B$15,Paramètres!$A$1:$I$89,3,0)*0.475*44/12</f>
        <v>1.2433725399435903E-10</v>
      </c>
      <c r="EY104" s="22">
        <f t="shared" si="75"/>
        <v>46.454369835813885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224.00000000000006</v>
      </c>
      <c r="O105" s="13">
        <f>N105*VLOOKUP('Données projet'!$B$9,Paramètres!$A$1:$I$89,3,0)*VLOOKUP('Données projet'!$B$9,Paramètres!$A$1:$I$89,5,0)</f>
        <v>195.68640000000008</v>
      </c>
      <c r="P105" s="13">
        <f t="shared" si="87"/>
        <v>48.794969360985156</v>
      </c>
      <c r="Q105" s="20">
        <f t="shared" si="107"/>
        <v>425.8050516370493</v>
      </c>
      <c r="R105" s="59">
        <f t="shared" si="55"/>
        <v>719.13838497038262</v>
      </c>
      <c r="S105" s="59">
        <f ca="1">AVERAGE(OFFSET($R$3,0,0,'Données projet'!$E$9+1,1))-AVERAGE(OFFSET($H$3,0,0,'Données projet'!$E$9+1,1))</f>
        <v>304.32767345253382</v>
      </c>
      <c r="T105" s="59">
        <f t="shared" si="88"/>
        <v>427.16091343339173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27.431223433897458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27.431223433897458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367.99999999999972</v>
      </c>
      <c r="AJ105" s="13">
        <f>AI105*VLOOKUP('Données projet'!$B$10,Paramètres!$A$1:$I$89,3,0)*VLOOKUP('Données projet'!$B$10,Paramètres!$A$1:$I$89,5,0)</f>
        <v>292.78079999999977</v>
      </c>
      <c r="AK105" s="13">
        <f t="shared" si="89"/>
        <v>69.660903052386217</v>
      </c>
      <c r="AL105" s="20">
        <f t="shared" si="58"/>
        <v>631.25263281623893</v>
      </c>
      <c r="AM105" s="59">
        <f t="shared" si="59"/>
        <v>924.58596614957219</v>
      </c>
      <c r="AN105" s="59">
        <f ca="1">AVERAGE(OFFSET($AM$3,0,0,'Données projet'!$E$10+1,1))-AVERAGE(OFFSET($H$3,0,0,'Données projet'!$E$10+1,1))</f>
        <v>405.40026823646758</v>
      </c>
      <c r="AO105" s="59">
        <f t="shared" si="90"/>
        <v>393.0787141050053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39.865045379816053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39.865045379816053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739.99999999999966</v>
      </c>
      <c r="BE105" s="13">
        <f>BD105*VLOOKUP('Données projet'!$B$11,Paramètres!$A$1:$I$89,3,0)*VLOOKUP('Données projet'!$B$11,Paramètres!$A$1:$I$89,5,0)</f>
        <v>413.65999999999985</v>
      </c>
      <c r="BF105" s="13">
        <f t="shared" si="91"/>
        <v>94.540585122244352</v>
      </c>
      <c r="BG105" s="20">
        <f t="shared" si="61"/>
        <v>885.11601908790863</v>
      </c>
      <c r="BH105" s="59">
        <f t="shared" si="62"/>
        <v>1178.4493524212419</v>
      </c>
      <c r="BI105" s="59">
        <f ca="1">AVERAGE(OFFSET($BH$3,0,0,'Données projet'!$E$11+1,1))-AVERAGE(OFFSET($H$3,0,0,'Données projet'!$E$11+1,1))</f>
        <v>555.15881087162279</v>
      </c>
      <c r="BJ105" s="59">
        <f t="shared" si="92"/>
        <v>668.20427590250733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53.754793457023027</v>
      </c>
      <c r="BQ105" s="21">
        <f>EXP(-LN(2)/25)*BQ104+(1-EXP(-LN(2)/25))/(LN(2)/25)*Calculateur!BL105*Calculateur!BN105*VLOOKUP('Données projet'!$B$11,Paramètres!$A$1:$I$89,3,0)*0.475*44/12</f>
        <v>7.8491672242440016</v>
      </c>
      <c r="BR105" s="21">
        <f>EXP(-LN(2)/2)*BR104+(1-EXP(-LN(2)/2))/(LN(2)/2)*BL105*BO105*VLOOKUP('Données projet'!$B$11,Paramètres!$A$1:$I$89,3,0)*0.475*44/12</f>
        <v>1.2376161855920002E-11</v>
      </c>
      <c r="BS105" s="22">
        <f t="shared" si="63"/>
        <v>61.603960681279403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367.99999999999972</v>
      </c>
      <c r="BZ105" s="13">
        <f>BY105*VLOOKUP('Données projet'!$B$12,Paramètres!$A$1:$I$89,3,0)*VLOOKUP('Données projet'!$B$12,Paramètres!$A$1:$I$89,5,0)</f>
        <v>241.11359999999982</v>
      </c>
      <c r="CA105" s="13">
        <f t="shared" si="93"/>
        <v>58.6790623558988</v>
      </c>
      <c r="CB105" s="20">
        <f t="shared" si="64"/>
        <v>522.13888693652348</v>
      </c>
      <c r="CC105" s="59">
        <f t="shared" si="65"/>
        <v>815.47222026985673</v>
      </c>
      <c r="CD105" s="59">
        <f ca="1">AVERAGE(OFFSET($CC$3,0,0,'Données projet'!$E$12+1,1))-AVERAGE(OFFSET($H$3,0,0,'Données projet'!$E$12+1,1))</f>
        <v>340.49092994349405</v>
      </c>
      <c r="CE105" s="59">
        <f t="shared" si="94"/>
        <v>331.54434271908832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26.63569069772393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26.63569069772393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5.4</v>
      </c>
      <c r="CT105" s="12">
        <f>IF('Données projet'!$A$140&gt;35,CT104+CS105-DB104,IF(A105&lt;'Données projet'!$A$140,$CQ$205^A105,IF(A105='Données projet'!$A$140,'Données projet'!$B$140,CT104+CS105-DB104)))</f>
        <v>316.79999999999995</v>
      </c>
      <c r="CU105" s="17">
        <f>CT105*VLOOKUP('Données projet'!$B$13,Paramètres!$A$1:$I$89,3,0)*VLOOKUP('Données projet'!$B$13,Paramètres!$A$1:$I$89,5,0)</f>
        <v>286.64063999999996</v>
      </c>
      <c r="CV105" s="13">
        <f t="shared" si="95"/>
        <v>68.368446832003599</v>
      </c>
      <c r="CW105" s="20">
        <f t="shared" si="67"/>
        <v>618.30749289907283</v>
      </c>
      <c r="CX105" s="59">
        <f t="shared" si="68"/>
        <v>911.6408262324062</v>
      </c>
      <c r="CY105" s="59">
        <f ca="1">AVERAGE(OFFSET($CX$3,0,0,'Données projet'!$E$13+1,1))-AVERAGE(OFFSET($H$3,0,0,'Données projet'!$E$13+1,1))</f>
        <v>439.19854273764042</v>
      </c>
      <c r="CZ105" s="59">
        <f t="shared" si="96"/>
        <v>278.21741231699929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91.670363830142222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91.670363830142222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5.4</v>
      </c>
      <c r="DO105" s="12">
        <f>IF('Données projet'!$A$166&gt;35,DO104+DN105-DW104,IF(A105&lt;'Données projet'!$A$166,$DL$205^A105,IF(A105='Données projet'!$A$166,'Données projet'!$B$166,DO104+DN105-DW104)))</f>
        <v>316.79999999999995</v>
      </c>
      <c r="DP105" s="17">
        <f>DO105*VLOOKUP('Données projet'!$B$14,Paramètres!$A$1:$I$89,3,0)*VLOOKUP('Données projet'!$B$14,Paramètres!$A$1:$I$89,5,0)</f>
        <v>266.87231999999995</v>
      </c>
      <c r="DQ105" s="13">
        <f t="shared" si="97"/>
        <v>64.185047205393062</v>
      </c>
      <c r="DR105" s="20">
        <f t="shared" si="70"/>
        <v>576.59158121605947</v>
      </c>
      <c r="DS105" s="59">
        <f t="shared" si="71"/>
        <v>869.92491454939272</v>
      </c>
      <c r="DT105" s="59">
        <f ca="1">AVERAGE(OFFSET($DS$3,0,0,'Données projet'!$E$14+1,1))-AVERAGE(OFFSET($H$3,0,0,'Données projet'!$E$14+1,1))</f>
        <v>411.72284844766</v>
      </c>
      <c r="DU105" s="59">
        <f t="shared" si="98"/>
        <v>261.95434270986397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85.34826977289103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85.34826977289103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636.99999999999977</v>
      </c>
      <c r="EK105" s="17">
        <f>EJ105*VLOOKUP('Données projet'!$B$15,Paramètres!$A$1:$I$89,3,0)*VLOOKUP('Données projet'!$B$15,Paramètres!$A$1:$I$89,5,0)</f>
        <v>356.08299999999991</v>
      </c>
      <c r="EL105" s="13">
        <f t="shared" si="99"/>
        <v>82.813805255716545</v>
      </c>
      <c r="EM105" s="20">
        <f t="shared" si="73"/>
        <v>764.41193582037283</v>
      </c>
      <c r="EN105" s="59">
        <f t="shared" si="74"/>
        <v>1057.7452691537062</v>
      </c>
      <c r="EO105" s="59">
        <f ca="1">AVERAGE(OFFSET($EN$3,0,0,'Données projet'!$E$15+1,1))-AVERAGE(OFFSET($H$3,0,0,'Données projet'!$E$15+1,1))</f>
        <v>443.34220761968419</v>
      </c>
      <c r="EP105" s="59">
        <f t="shared" si="100"/>
        <v>546.58234447298014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42.539723438800095</v>
      </c>
      <c r="EW105" s="21">
        <f>EXP(-LN(2)/25)*EW104+(1-EXP(-LN(2)/25))/(LN(2)/25)*Calculateur!ER105*Calculateur!ET105*VLOOKUP('Données projet'!$B$15,Paramètres!$A$1:$I$89,3,0)*0.475*44/12</f>
        <v>2.980004143846291</v>
      </c>
      <c r="EX105" s="21">
        <f>EXP(-LN(2)/2)*EX104+(1-EXP(-LN(2)/2))/(LN(2)/2)*ER105*EU105*VLOOKUP('Données projet'!$B$15,Paramètres!$A$1:$I$89,3,0)*0.475*44/12</f>
        <v>8.7919715453525412E-11</v>
      </c>
      <c r="EY105" s="22">
        <f t="shared" si="75"/>
        <v>45.519727582734312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224.00000000000006</v>
      </c>
      <c r="O106" s="13">
        <f>N106*VLOOKUP('Données projet'!$B$9,Paramètres!$A$1:$I$89,3,0)*VLOOKUP('Données projet'!$B$9,Paramètres!$A$1:$I$89,5,0)</f>
        <v>195.68640000000008</v>
      </c>
      <c r="P106" s="13">
        <f t="shared" si="87"/>
        <v>48.794969360985156</v>
      </c>
      <c r="Q106" s="20">
        <f t="shared" si="107"/>
        <v>425.8050516370493</v>
      </c>
      <c r="R106" s="59">
        <f t="shared" si="55"/>
        <v>719.13838497038262</v>
      </c>
      <c r="S106" s="59">
        <f ca="1">AVERAGE(OFFSET($R$3,0,0,'Données projet'!$E$9+1,1))-AVERAGE(OFFSET($H$3,0,0,'Données projet'!$E$9+1,1))</f>
        <v>304.32767345253382</v>
      </c>
      <c r="T106" s="59">
        <f t="shared" si="88"/>
        <v>427.16091343339173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26.893313873752934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26.893313873752934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367.99999999999972</v>
      </c>
      <c r="AJ106" s="13">
        <f>AI106*VLOOKUP('Données projet'!$B$10,Paramètres!$A$1:$I$89,3,0)*VLOOKUP('Données projet'!$B$10,Paramètres!$A$1:$I$89,5,0)</f>
        <v>292.78079999999977</v>
      </c>
      <c r="AK106" s="13">
        <f t="shared" si="89"/>
        <v>69.660903052386217</v>
      </c>
      <c r="AL106" s="20">
        <f t="shared" si="58"/>
        <v>631.25263281623893</v>
      </c>
      <c r="AM106" s="59">
        <f t="shared" si="59"/>
        <v>924.58596614957219</v>
      </c>
      <c r="AN106" s="59">
        <f ca="1">AVERAGE(OFFSET($AM$3,0,0,'Données projet'!$E$10+1,1))-AVERAGE(OFFSET($H$3,0,0,'Données projet'!$E$10+1,1))</f>
        <v>405.40026823646758</v>
      </c>
      <c r="AO106" s="59">
        <f t="shared" si="90"/>
        <v>393.0787141050053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39.083316155194609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39.083316155194609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739.99999999999966</v>
      </c>
      <c r="BE106" s="13">
        <f>BD106*VLOOKUP('Données projet'!$B$11,Paramètres!$A$1:$I$89,3,0)*VLOOKUP('Données projet'!$B$11,Paramètres!$A$1:$I$89,5,0)</f>
        <v>413.65999999999985</v>
      </c>
      <c r="BF106" s="13">
        <f t="shared" si="91"/>
        <v>94.540585122244352</v>
      </c>
      <c r="BG106" s="20">
        <f t="shared" si="61"/>
        <v>885.11601908790863</v>
      </c>
      <c r="BH106" s="59">
        <f t="shared" si="62"/>
        <v>1178.4493524212419</v>
      </c>
      <c r="BI106" s="59">
        <f ca="1">AVERAGE(OFFSET($BH$3,0,0,'Données projet'!$E$11+1,1))-AVERAGE(OFFSET($H$3,0,0,'Données projet'!$E$11+1,1))</f>
        <v>555.15881087162279</v>
      </c>
      <c r="BJ106" s="59">
        <f t="shared" si="92"/>
        <v>668.20427590250733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52.700694744517349</v>
      </c>
      <c r="BQ106" s="21">
        <f>EXP(-LN(2)/25)*BQ105+(1-EXP(-LN(2)/25))/(LN(2)/25)*Calculateur!BL106*Calculateur!BN106*VLOOKUP('Données projet'!$B$11,Paramètres!$A$1:$I$89,3,0)*0.475*44/12</f>
        <v>7.6345313337272849</v>
      </c>
      <c r="BR106" s="21">
        <f>EXP(-LN(2)/2)*BR105+(1-EXP(-LN(2)/2))/(LN(2)/2)*BL106*BO106*VLOOKUP('Données projet'!$B$11,Paramètres!$A$1:$I$89,3,0)*0.475*44/12</f>
        <v>8.7512679733833205E-12</v>
      </c>
      <c r="BS106" s="22">
        <f t="shared" si="63"/>
        <v>60.335226078253385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367.99999999999972</v>
      </c>
      <c r="BZ106" s="13">
        <f>BY106*VLOOKUP('Données projet'!$B$12,Paramètres!$A$1:$I$89,3,0)*VLOOKUP('Données projet'!$B$12,Paramètres!$A$1:$I$89,5,0)</f>
        <v>241.11359999999982</v>
      </c>
      <c r="CA106" s="13">
        <f t="shared" si="93"/>
        <v>58.6790623558988</v>
      </c>
      <c r="CB106" s="20">
        <f t="shared" si="64"/>
        <v>522.13888693652348</v>
      </c>
      <c r="CC106" s="59">
        <f t="shared" si="65"/>
        <v>815.47222026985673</v>
      </c>
      <c r="CD106" s="59">
        <f ca="1">AVERAGE(OFFSET($CC$3,0,0,'Données projet'!$E$12+1,1))-AVERAGE(OFFSET($H$3,0,0,'Données projet'!$E$12+1,1))</f>
        <v>340.49092994349405</v>
      </c>
      <c r="CE106" s="59">
        <f t="shared" si="94"/>
        <v>331.54434271908832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26.113381049308714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26.113381049308714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5.4</v>
      </c>
      <c r="CT106" s="12">
        <f>IF('Données projet'!$A$140&gt;35,CT105+CS106-DB105,IF(A106&lt;'Données projet'!$A$140,$CQ$205^A106,IF(A106='Données projet'!$A$140,'Données projet'!$B$140,CT105+CS106-DB105)))</f>
        <v>322.19999999999993</v>
      </c>
      <c r="CU106" s="17">
        <f>CT106*VLOOKUP('Données projet'!$B$13,Paramètres!$A$1:$I$89,3,0)*VLOOKUP('Données projet'!$B$13,Paramètres!$A$1:$I$89,5,0)</f>
        <v>291.5265599999999</v>
      </c>
      <c r="CV106" s="13">
        <f t="shared" si="95"/>
        <v>69.397153761857183</v>
      </c>
      <c r="CW106" s="20">
        <f t="shared" si="67"/>
        <v>628.60880146856778</v>
      </c>
      <c r="CX106" s="59">
        <f t="shared" si="68"/>
        <v>921.94213480190115</v>
      </c>
      <c r="CY106" s="59">
        <f ca="1">AVERAGE(OFFSET($CX$3,0,0,'Données projet'!$E$13+1,1))-AVERAGE(OFFSET($H$3,0,0,'Données projet'!$E$13+1,1))</f>
        <v>439.19854273764042</v>
      </c>
      <c r="CZ106" s="59">
        <f t="shared" si="96"/>
        <v>278.21741231699929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89.872763908834074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89.872763908834074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5.4</v>
      </c>
      <c r="DO106" s="12">
        <f>IF('Données projet'!$A$166&gt;35,DO105+DN106-DW105,IF(A106&lt;'Données projet'!$A$166,$DL$205^A106,IF(A106='Données projet'!$A$166,'Données projet'!$B$166,DO105+DN106-DW105)))</f>
        <v>322.19999999999993</v>
      </c>
      <c r="DP106" s="17">
        <f>DO106*VLOOKUP('Données projet'!$B$14,Paramètres!$A$1:$I$89,3,0)*VLOOKUP('Données projet'!$B$14,Paramètres!$A$1:$I$89,5,0)</f>
        <v>271.42127999999997</v>
      </c>
      <c r="DQ106" s="13">
        <f t="shared" si="97"/>
        <v>65.15080854578764</v>
      </c>
      <c r="DR106" s="20">
        <f t="shared" si="70"/>
        <v>586.19638755057997</v>
      </c>
      <c r="DS106" s="59">
        <f t="shared" si="71"/>
        <v>879.52972088391334</v>
      </c>
      <c r="DT106" s="59">
        <f ca="1">AVERAGE(OFFSET($DS$3,0,0,'Données projet'!$E$14+1,1))-AVERAGE(OFFSET($H$3,0,0,'Données projet'!$E$14+1,1))</f>
        <v>411.72284844766</v>
      </c>
      <c r="DU106" s="59">
        <f t="shared" si="98"/>
        <v>261.95434270986397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83.674642259948968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83.674642259948968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636.99999999999977</v>
      </c>
      <c r="EK106" s="17">
        <f>EJ106*VLOOKUP('Données projet'!$B$15,Paramètres!$A$1:$I$89,3,0)*VLOOKUP('Données projet'!$B$15,Paramètres!$A$1:$I$89,5,0)</f>
        <v>356.08299999999991</v>
      </c>
      <c r="EL106" s="13">
        <f t="shared" si="99"/>
        <v>82.813805255716545</v>
      </c>
      <c r="EM106" s="20">
        <f t="shared" si="73"/>
        <v>764.41193582037283</v>
      </c>
      <c r="EN106" s="59">
        <f t="shared" si="74"/>
        <v>1057.7452691537062</v>
      </c>
      <c r="EO106" s="59">
        <f ca="1">AVERAGE(OFFSET($EN$3,0,0,'Données projet'!$E$15+1,1))-AVERAGE(OFFSET($H$3,0,0,'Données projet'!$E$15+1,1))</f>
        <v>443.34220761968419</v>
      </c>
      <c r="EP106" s="59">
        <f t="shared" si="100"/>
        <v>546.58234447298014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41.705545408834503</v>
      </c>
      <c r="EW106" s="21">
        <f>EXP(-LN(2)/25)*EW105+(1-EXP(-LN(2)/25))/(LN(2)/25)*Calculateur!ER106*Calculateur!ET106*VLOOKUP('Données projet'!$B$15,Paramètres!$A$1:$I$89,3,0)*0.475*44/12</f>
        <v>2.8985157738212073</v>
      </c>
      <c r="EX106" s="21">
        <f>EXP(-LN(2)/2)*EX105+(1-EXP(-LN(2)/2))/(LN(2)/2)*ER106*EU106*VLOOKUP('Données projet'!$B$15,Paramètres!$A$1:$I$89,3,0)*0.475*44/12</f>
        <v>6.2168626997179514E-11</v>
      </c>
      <c r="EY106" s="22">
        <f t="shared" si="75"/>
        <v>44.604061182717878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224.00000000000006</v>
      </c>
      <c r="O107" s="13">
        <f>N107*VLOOKUP('Données projet'!$B$9,Paramètres!$A$1:$I$89,3,0)*VLOOKUP('Données projet'!$B$9,Paramètres!$A$1:$I$89,5,0)</f>
        <v>195.68640000000008</v>
      </c>
      <c r="P107" s="13">
        <f t="shared" si="87"/>
        <v>48.794969360985156</v>
      </c>
      <c r="Q107" s="20">
        <f t="shared" si="107"/>
        <v>425.8050516370493</v>
      </c>
      <c r="R107" s="59">
        <f t="shared" si="55"/>
        <v>719.13838497038262</v>
      </c>
      <c r="S107" s="59">
        <f ca="1">AVERAGE(OFFSET($R$3,0,0,'Données projet'!$E$9+1,1))-AVERAGE(OFFSET($H$3,0,0,'Données projet'!$E$9+1,1))</f>
        <v>304.32767345253382</v>
      </c>
      <c r="T107" s="59">
        <f t="shared" si="88"/>
        <v>427.16091343339173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26.365952391990412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26.365952391990412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367.99999999999972</v>
      </c>
      <c r="AJ107" s="13">
        <f>AI107*VLOOKUP('Données projet'!$B$10,Paramètres!$A$1:$I$89,3,0)*VLOOKUP('Données projet'!$B$10,Paramètres!$A$1:$I$89,5,0)</f>
        <v>292.78079999999977</v>
      </c>
      <c r="AK107" s="13">
        <f t="shared" si="89"/>
        <v>69.660903052386217</v>
      </c>
      <c r="AL107" s="20">
        <f t="shared" si="58"/>
        <v>631.25263281623893</v>
      </c>
      <c r="AM107" s="59">
        <f t="shared" si="59"/>
        <v>924.58596614957219</v>
      </c>
      <c r="AN107" s="59">
        <f ca="1">AVERAGE(OFFSET($AM$3,0,0,'Données projet'!$E$10+1,1))-AVERAGE(OFFSET($H$3,0,0,'Données projet'!$E$10+1,1))</f>
        <v>405.40026823646758</v>
      </c>
      <c r="AO107" s="59">
        <f t="shared" si="90"/>
        <v>393.0787141050053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38.316916163860242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38.316916163860242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739.99999999999966</v>
      </c>
      <c r="BE107" s="13">
        <f>BD107*VLOOKUP('Données projet'!$B$11,Paramètres!$A$1:$I$89,3,0)*VLOOKUP('Données projet'!$B$11,Paramètres!$A$1:$I$89,5,0)</f>
        <v>413.65999999999985</v>
      </c>
      <c r="BF107" s="13">
        <f t="shared" si="91"/>
        <v>94.540585122244352</v>
      </c>
      <c r="BG107" s="20">
        <f t="shared" si="61"/>
        <v>885.11601908790863</v>
      </c>
      <c r="BH107" s="59">
        <f t="shared" si="62"/>
        <v>1178.4493524212419</v>
      </c>
      <c r="BI107" s="59">
        <f ca="1">AVERAGE(OFFSET($BH$3,0,0,'Données projet'!$E$11+1,1))-AVERAGE(OFFSET($H$3,0,0,'Données projet'!$E$11+1,1))</f>
        <v>555.15881087162279</v>
      </c>
      <c r="BJ107" s="59">
        <f t="shared" si="92"/>
        <v>668.20427590250733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51.667266264827177</v>
      </c>
      <c r="BQ107" s="21">
        <f>EXP(-LN(2)/25)*BQ106+(1-EXP(-LN(2)/25))/(LN(2)/25)*Calculateur!BL107*Calculateur!BN107*VLOOKUP('Données projet'!$B$11,Paramètres!$A$1:$I$89,3,0)*0.475*44/12</f>
        <v>7.4257646729239584</v>
      </c>
      <c r="BR107" s="21">
        <f>EXP(-LN(2)/2)*BR106+(1-EXP(-LN(2)/2))/(LN(2)/2)*BL107*BO107*VLOOKUP('Données projet'!$B$11,Paramètres!$A$1:$I$89,3,0)*0.475*44/12</f>
        <v>6.1880809279600009E-12</v>
      </c>
      <c r="BS107" s="22">
        <f t="shared" si="63"/>
        <v>59.093030937757327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367.99999999999972</v>
      </c>
      <c r="BZ107" s="13">
        <f>BY107*VLOOKUP('Données projet'!$B$12,Paramètres!$A$1:$I$89,3,0)*VLOOKUP('Données projet'!$B$12,Paramètres!$A$1:$I$89,5,0)</f>
        <v>241.11359999999982</v>
      </c>
      <c r="CA107" s="13">
        <f t="shared" si="93"/>
        <v>58.6790623558988</v>
      </c>
      <c r="CB107" s="20">
        <f t="shared" si="64"/>
        <v>522.13888693652348</v>
      </c>
      <c r="CC107" s="59">
        <f t="shared" si="65"/>
        <v>815.47222026985673</v>
      </c>
      <c r="CD107" s="59">
        <f ca="1">AVERAGE(OFFSET($CC$3,0,0,'Données projet'!$E$12+1,1))-AVERAGE(OFFSET($H$3,0,0,'Données projet'!$E$12+1,1))</f>
        <v>340.49092994349405</v>
      </c>
      <c r="CE107" s="59">
        <f t="shared" si="94"/>
        <v>331.54434271908832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25.601313574521491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25.601313574521491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5.4</v>
      </c>
      <c r="CT107" s="12">
        <f>IF('Données projet'!$A$140&gt;35,CT106+CS107-DB106,IF(A107&lt;'Données projet'!$A$140,$CQ$205^A107,IF(A107='Données projet'!$A$140,'Données projet'!$B$140,CT106+CS107-DB106)))</f>
        <v>327.59999999999991</v>
      </c>
      <c r="CU107" s="17">
        <f>CT107*VLOOKUP('Données projet'!$B$13,Paramètres!$A$1:$I$89,3,0)*VLOOKUP('Données projet'!$B$13,Paramètres!$A$1:$I$89,5,0)</f>
        <v>296.4124799999999</v>
      </c>
      <c r="CV107" s="13">
        <f t="shared" si="95"/>
        <v>70.423855708154704</v>
      </c>
      <c r="CW107" s="20">
        <f t="shared" si="67"/>
        <v>638.90661802503598</v>
      </c>
      <c r="CX107" s="59">
        <f t="shared" si="68"/>
        <v>932.23995135836935</v>
      </c>
      <c r="CY107" s="59">
        <f ca="1">AVERAGE(OFFSET($CX$3,0,0,'Données projet'!$E$13+1,1))-AVERAGE(OFFSET($H$3,0,0,'Données projet'!$E$13+1,1))</f>
        <v>439.19854273764042</v>
      </c>
      <c r="CZ107" s="59">
        <f t="shared" si="96"/>
        <v>278.21741231699929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88.110413825555099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88.110413825555099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5.4</v>
      </c>
      <c r="DO107" s="12">
        <f>IF('Données projet'!$A$166&gt;35,DO106+DN107-DW106,IF(A107&lt;'Données projet'!$A$166,$DL$205^A107,IF(A107='Données projet'!$A$166,'Données projet'!$B$166,DO106+DN107-DW106)))</f>
        <v>327.59999999999991</v>
      </c>
      <c r="DP107" s="17">
        <f>DO107*VLOOKUP('Données projet'!$B$14,Paramètres!$A$1:$I$89,3,0)*VLOOKUP('Données projet'!$B$14,Paramètres!$A$1:$I$89,5,0)</f>
        <v>275.97023999999993</v>
      </c>
      <c r="DQ107" s="13">
        <f t="shared" si="97"/>
        <v>66.114687585645072</v>
      </c>
      <c r="DR107" s="20">
        <f t="shared" si="70"/>
        <v>595.79791554499843</v>
      </c>
      <c r="DS107" s="59">
        <f t="shared" si="71"/>
        <v>889.13124887833169</v>
      </c>
      <c r="DT107" s="59">
        <f ca="1">AVERAGE(OFFSET($DS$3,0,0,'Données projet'!$E$14+1,1))-AVERAGE(OFFSET($H$3,0,0,'Données projet'!$E$14+1,1))</f>
        <v>411.72284844766</v>
      </c>
      <c r="DU107" s="59">
        <f t="shared" si="98"/>
        <v>261.95434270986397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82.033833561723711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82.033833561723711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636.99999999999977</v>
      </c>
      <c r="EK107" s="17">
        <f>EJ107*VLOOKUP('Données projet'!$B$15,Paramètres!$A$1:$I$89,3,0)*VLOOKUP('Données projet'!$B$15,Paramètres!$A$1:$I$89,5,0)</f>
        <v>356.08299999999991</v>
      </c>
      <c r="EL107" s="13">
        <f t="shared" si="99"/>
        <v>82.813805255716545</v>
      </c>
      <c r="EM107" s="20">
        <f t="shared" si="73"/>
        <v>764.41193582037283</v>
      </c>
      <c r="EN107" s="59">
        <f t="shared" si="74"/>
        <v>1057.7452691537062</v>
      </c>
      <c r="EO107" s="59">
        <f ca="1">AVERAGE(OFFSET($EN$3,0,0,'Données projet'!$E$15+1,1))-AVERAGE(OFFSET($H$3,0,0,'Données projet'!$E$15+1,1))</f>
        <v>443.34220761968419</v>
      </c>
      <c r="EP107" s="59">
        <f t="shared" si="100"/>
        <v>546.58234447298014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40.887725101238175</v>
      </c>
      <c r="EW107" s="21">
        <f>EXP(-LN(2)/25)*EW106+(1-EXP(-LN(2)/25))/(LN(2)/25)*Calculateur!ER107*Calculateur!ET107*VLOOKUP('Données projet'!$B$15,Paramètres!$A$1:$I$89,3,0)*0.475*44/12</f>
        <v>2.8192557075597464</v>
      </c>
      <c r="EX107" s="21">
        <f>EXP(-LN(2)/2)*EX106+(1-EXP(-LN(2)/2))/(LN(2)/2)*ER107*EU107*VLOOKUP('Données projet'!$B$15,Paramètres!$A$1:$I$89,3,0)*0.475*44/12</f>
        <v>4.3959857726762706E-11</v>
      </c>
      <c r="EY107" s="22">
        <f t="shared" si="75"/>
        <v>43.706980808841884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224.00000000000006</v>
      </c>
      <c r="O108" s="13">
        <f>N108*VLOOKUP('Données projet'!$B$9,Paramètres!$A$1:$I$89,3,0)*VLOOKUP('Données projet'!$B$9,Paramètres!$A$1:$I$89,5,0)</f>
        <v>195.68640000000008</v>
      </c>
      <c r="P108" s="13">
        <f t="shared" si="87"/>
        <v>48.794969360985156</v>
      </c>
      <c r="Q108" s="20">
        <f t="shared" si="107"/>
        <v>425.8050516370493</v>
      </c>
      <c r="R108" s="59">
        <f t="shared" si="55"/>
        <v>719.13838497038262</v>
      </c>
      <c r="S108" s="59">
        <f ca="1">AVERAGE(OFFSET($R$3,0,0,'Données projet'!$E$9+1,1))-AVERAGE(OFFSET($H$3,0,0,'Données projet'!$E$9+1,1))</f>
        <v>304.32767345253382</v>
      </c>
      <c r="T108" s="59">
        <f t="shared" si="88"/>
        <v>427.16091343339173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25.84893214722651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25.84893214722651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367.99999999999972</v>
      </c>
      <c r="AJ108" s="13">
        <f>AI108*VLOOKUP('Données projet'!$B$10,Paramètres!$A$1:$I$89,3,0)*VLOOKUP('Données projet'!$B$10,Paramètres!$A$1:$I$89,5,0)</f>
        <v>292.78079999999977</v>
      </c>
      <c r="AK108" s="13">
        <f t="shared" si="89"/>
        <v>69.660903052386217</v>
      </c>
      <c r="AL108" s="20">
        <f t="shared" si="58"/>
        <v>631.25263281623893</v>
      </c>
      <c r="AM108" s="59">
        <f t="shared" si="59"/>
        <v>924.58596614957219</v>
      </c>
      <c r="AN108" s="59">
        <f ca="1">AVERAGE(OFFSET($AM$3,0,0,'Données projet'!$E$10+1,1))-AVERAGE(OFFSET($H$3,0,0,'Données projet'!$E$10+1,1))</f>
        <v>405.40026823646758</v>
      </c>
      <c r="AO108" s="59">
        <f t="shared" si="90"/>
        <v>393.0787141050053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37.565544808898103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37.565544808898103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739.99999999999966</v>
      </c>
      <c r="BE108" s="13">
        <f>BD108*VLOOKUP('Données projet'!$B$11,Paramètres!$A$1:$I$89,3,0)*VLOOKUP('Données projet'!$B$11,Paramètres!$A$1:$I$89,5,0)</f>
        <v>413.65999999999985</v>
      </c>
      <c r="BF108" s="13">
        <f t="shared" si="91"/>
        <v>94.540585122244352</v>
      </c>
      <c r="BG108" s="20">
        <f t="shared" si="61"/>
        <v>885.11601908790863</v>
      </c>
      <c r="BH108" s="59">
        <f t="shared" si="62"/>
        <v>1178.4493524212419</v>
      </c>
      <c r="BI108" s="59">
        <f ca="1">AVERAGE(OFFSET($BH$3,0,0,'Données projet'!$E$11+1,1))-AVERAGE(OFFSET($H$3,0,0,'Données projet'!$E$11+1,1))</f>
        <v>555.15881087162279</v>
      </c>
      <c r="BJ108" s="59">
        <f t="shared" si="92"/>
        <v>668.20427590250733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50.654102687294596</v>
      </c>
      <c r="BQ108" s="21">
        <f>EXP(-LN(2)/25)*BQ107+(1-EXP(-LN(2)/25))/(LN(2)/25)*Calculateur!BL108*Calculateur!BN108*VLOOKUP('Données projet'!$B$11,Paramètres!$A$1:$I$89,3,0)*0.475*44/12</f>
        <v>7.2227067474388607</v>
      </c>
      <c r="BR108" s="21">
        <f>EXP(-LN(2)/2)*BR107+(1-EXP(-LN(2)/2))/(LN(2)/2)*BL108*BO108*VLOOKUP('Données projet'!$B$11,Paramètres!$A$1:$I$89,3,0)*0.475*44/12</f>
        <v>4.3756339866916602E-12</v>
      </c>
      <c r="BS108" s="22">
        <f t="shared" si="63"/>
        <v>57.876809434737837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367.99999999999972</v>
      </c>
      <c r="BZ108" s="13">
        <f>BY108*VLOOKUP('Données projet'!$B$12,Paramètres!$A$1:$I$89,3,0)*VLOOKUP('Données projet'!$B$12,Paramètres!$A$1:$I$89,5,0)</f>
        <v>241.11359999999982</v>
      </c>
      <c r="CA108" s="13">
        <f t="shared" si="93"/>
        <v>58.6790623558988</v>
      </c>
      <c r="CB108" s="20">
        <f t="shared" si="64"/>
        <v>522.13888693652348</v>
      </c>
      <c r="CC108" s="59">
        <f t="shared" si="65"/>
        <v>815.47222026985673</v>
      </c>
      <c r="CD108" s="59">
        <f ca="1">AVERAGE(OFFSET($CC$3,0,0,'Données projet'!$E$12+1,1))-AVERAGE(OFFSET($H$3,0,0,'Données projet'!$E$12+1,1))</f>
        <v>340.49092994349405</v>
      </c>
      <c r="CE108" s="59">
        <f t="shared" si="94"/>
        <v>331.54434271908832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25.099287430584525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25.099287430584525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333</v>
      </c>
      <c r="CR108" s="12">
        <f>VLOOKUP(A108,'Données projet'!$A$139:$I$159,9,0)</f>
        <v>5.4</v>
      </c>
      <c r="CS108" s="12">
        <f t="array" ref="CS108">INDEX(CR:CR,MIN(IF(ISNUMBER(CR108:CR304),ROW(CR108:CR304),"")))</f>
        <v>5.4</v>
      </c>
      <c r="CT108" s="12">
        <f>IF('Données projet'!$A$140&gt;35,CT107+CS108-DB107,IF(A108&lt;'Données projet'!$A$140,$CQ$205^A108,IF(A108='Données projet'!$A$140,'Données projet'!$B$140,CT107+CS108-DB107)))</f>
        <v>332.99999999999989</v>
      </c>
      <c r="CU108" s="17">
        <f>CT108*VLOOKUP('Données projet'!$B$13,Paramètres!$A$1:$I$89,3,0)*VLOOKUP('Données projet'!$B$13,Paramètres!$A$1:$I$89,5,0)</f>
        <v>301.2983999999999</v>
      </c>
      <c r="CV108" s="13">
        <f t="shared" si="95"/>
        <v>71.448589534990518</v>
      </c>
      <c r="CW108" s="20">
        <f t="shared" si="67"/>
        <v>649.20100677344158</v>
      </c>
      <c r="CX108" s="59">
        <f t="shared" si="68"/>
        <v>942.53434010677483</v>
      </c>
      <c r="CY108" s="59">
        <f ca="1">AVERAGE(OFFSET($CX$3,0,0,'Données projet'!$E$13+1,1))-AVERAGE(OFFSET($H$3,0,0,'Données projet'!$E$13+1,1))</f>
        <v>439.19854273764042</v>
      </c>
      <c r="CZ108" s="59">
        <f t="shared" si="96"/>
        <v>278.21741231699929</v>
      </c>
      <c r="DA108" s="15">
        <f>IF(ISNA(VLOOKUP(A108,'Données projet'!$A$139:$I$159,3,0)),0,VLOOKUP(A108,'Données projet'!$A$139:$I$159,3,0))</f>
        <v>18</v>
      </c>
      <c r="DB108" s="15">
        <f>IF(ISNA(VLOOKUP(A108,'Données projet'!$A$139:$I$159,4,0)),0,VLOOKUP(A108,'Données projet'!$A$139:$I$159,4,0))</f>
        <v>26</v>
      </c>
      <c r="DC108" s="16">
        <f>IF(ISNA(VLOOKUP(A108,'Données projet'!$A$139:$I$159,5,0)),0%,VLOOKUP(A108,'Données projet'!$A$139:$I$159,5,0)*VLOOKUP('Données projet'!$B$13,Paramètres!$A$1:$I$89,7,0))</f>
        <v>0.43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97.565189273789613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97.565189273789613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>
        <f>VLOOKUP(A108,'Données projet'!$A$165:$I$185,2,0)</f>
        <v>333</v>
      </c>
      <c r="DM108" s="12">
        <f>VLOOKUP(A108,'Données projet'!$A$165:$I$185,9,0)</f>
        <v>5.4</v>
      </c>
      <c r="DN108" s="12">
        <f t="array" ref="DN108">INDEX(DM:DM,MIN(IF(ISNUMBER(DM108:DM304),ROW(DM108:DM304),"")))</f>
        <v>5.4</v>
      </c>
      <c r="DO108" s="12">
        <f>IF('Données projet'!$A$166&gt;35,DO107+DN108-DW107,IF(A108&lt;'Données projet'!$A$166,$DL$205^A108,IF(A108='Données projet'!$A$166,'Données projet'!$B$166,DO107+DN108-DW107)))</f>
        <v>332.99999999999989</v>
      </c>
      <c r="DP108" s="17">
        <f>DO108*VLOOKUP('Données projet'!$B$14,Paramètres!$A$1:$I$89,3,0)*VLOOKUP('Données projet'!$B$14,Paramètres!$A$1:$I$89,5,0)</f>
        <v>280.5191999999999</v>
      </c>
      <c r="DQ108" s="13">
        <f t="shared" si="97"/>
        <v>67.076718933381159</v>
      </c>
      <c r="DR108" s="20">
        <f t="shared" si="70"/>
        <v>605.39622547563874</v>
      </c>
      <c r="DS108" s="59">
        <f t="shared" si="71"/>
        <v>898.72955880897212</v>
      </c>
      <c r="DT108" s="59">
        <f ca="1">AVERAGE(OFFSET($DS$3,0,0,'Données projet'!$E$14+1,1))-AVERAGE(OFFSET($H$3,0,0,'Données projet'!$E$14+1,1))</f>
        <v>411.72284844766</v>
      </c>
      <c r="DU108" s="59">
        <f t="shared" si="98"/>
        <v>261.95434270986397</v>
      </c>
      <c r="DV108" s="15">
        <f>IF(ISNA(VLOOKUP(A108,'Données projet'!$A$165:$I$185,3,0)),0,VLOOKUP(A108,'Données projet'!$A$165:$I$185,3,0))</f>
        <v>18</v>
      </c>
      <c r="DW108" s="15">
        <f>IF(ISNA(VLOOKUP(A108,'Données projet'!$A$165:$I$185,4,0)),0,VLOOKUP(A108,'Données projet'!$A$165:$I$185,4,0))</f>
        <v>26</v>
      </c>
      <c r="DX108" s="16">
        <f>IF(ISNA(VLOOKUP(A108,'Données projet'!$A$165:$I$185,5,0)),0%,VLOOKUP(A108,'Données projet'!$A$165:$I$185,5,0)*VLOOKUP('Données projet'!$B$14,Paramètres!$A$1:$I$89,7,0))</f>
        <v>0.43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90.83655553076963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90.83655553076963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636.99999999999977</v>
      </c>
      <c r="EK108" s="17">
        <f>EJ108*VLOOKUP('Données projet'!$B$15,Paramètres!$A$1:$I$89,3,0)*VLOOKUP('Données projet'!$B$15,Paramètres!$A$1:$I$89,5,0)</f>
        <v>356.08299999999991</v>
      </c>
      <c r="EL108" s="13">
        <f t="shared" si="99"/>
        <v>82.813805255716545</v>
      </c>
      <c r="EM108" s="20">
        <f t="shared" si="73"/>
        <v>764.41193582037283</v>
      </c>
      <c r="EN108" s="59">
        <f t="shared" si="74"/>
        <v>1057.7452691537062</v>
      </c>
      <c r="EO108" s="59">
        <f ca="1">AVERAGE(OFFSET($EN$3,0,0,'Données projet'!$E$15+1,1))-AVERAGE(OFFSET($H$3,0,0,'Données projet'!$E$15+1,1))</f>
        <v>443.34220761968419</v>
      </c>
      <c r="EP108" s="59">
        <f t="shared" si="100"/>
        <v>546.58234447298014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40.08594175105268</v>
      </c>
      <c r="EW108" s="21">
        <f>EXP(-LN(2)/25)*EW107+(1-EXP(-LN(2)/25))/(LN(2)/25)*Calculateur!ER108*Calculateur!ET108*VLOOKUP('Données projet'!$B$15,Paramètres!$A$1:$I$89,3,0)*0.475*44/12</f>
        <v>2.7421630119783109</v>
      </c>
      <c r="EX108" s="21">
        <f>EXP(-LN(2)/2)*EX107+(1-EXP(-LN(2)/2))/(LN(2)/2)*ER108*EU108*VLOOKUP('Données projet'!$B$15,Paramètres!$A$1:$I$89,3,0)*0.475*44/12</f>
        <v>3.1084313498589757E-11</v>
      </c>
      <c r="EY108" s="22">
        <f t="shared" si="75"/>
        <v>42.828104763062079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224.00000000000006</v>
      </c>
      <c r="O109" s="13">
        <f>N109*VLOOKUP('Données projet'!$B$9,Paramètres!$A$1:$I$89,3,0)*VLOOKUP('Données projet'!$B$9,Paramètres!$A$1:$I$89,5,0)</f>
        <v>195.68640000000008</v>
      </c>
      <c r="P109" s="13">
        <f t="shared" si="87"/>
        <v>48.794969360985156</v>
      </c>
      <c r="Q109" s="20">
        <f t="shared" si="107"/>
        <v>425.8050516370493</v>
      </c>
      <c r="R109" s="59">
        <f t="shared" si="55"/>
        <v>719.13838497038262</v>
      </c>
      <c r="S109" s="59">
        <f ca="1">AVERAGE(OFFSET($R$3,0,0,'Données projet'!$E$9+1,1))-AVERAGE(OFFSET($H$3,0,0,'Données projet'!$E$9+1,1))</f>
        <v>304.32767345253382</v>
      </c>
      <c r="T109" s="59">
        <f t="shared" si="88"/>
        <v>427.16091343339173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25.342050354111215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25.342050354111215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367.99999999999972</v>
      </c>
      <c r="AJ109" s="13">
        <f>AI109*VLOOKUP('Données projet'!$B$10,Paramètres!$A$1:$I$89,3,0)*VLOOKUP('Données projet'!$B$10,Paramètres!$A$1:$I$89,5,0)</f>
        <v>292.78079999999977</v>
      </c>
      <c r="AK109" s="13">
        <f t="shared" si="89"/>
        <v>69.660903052386217</v>
      </c>
      <c r="AL109" s="20">
        <f t="shared" si="58"/>
        <v>631.25263281623893</v>
      </c>
      <c r="AM109" s="59">
        <f t="shared" si="59"/>
        <v>924.58596614957219</v>
      </c>
      <c r="AN109" s="59">
        <f ca="1">AVERAGE(OFFSET($AM$3,0,0,'Données projet'!$E$10+1,1))-AVERAGE(OFFSET($H$3,0,0,'Données projet'!$E$10+1,1))</f>
        <v>405.40026823646758</v>
      </c>
      <c r="AO109" s="59">
        <f t="shared" si="90"/>
        <v>393.0787141050053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36.8289073879155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36.8289073879155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739.99999999999966</v>
      </c>
      <c r="BE109" s="13">
        <f>BD109*VLOOKUP('Données projet'!$B$11,Paramètres!$A$1:$I$89,3,0)*VLOOKUP('Données projet'!$B$11,Paramètres!$A$1:$I$89,5,0)</f>
        <v>413.65999999999985</v>
      </c>
      <c r="BF109" s="13">
        <f t="shared" si="91"/>
        <v>94.540585122244352</v>
      </c>
      <c r="BG109" s="20">
        <f t="shared" si="61"/>
        <v>885.11601908790863</v>
      </c>
      <c r="BH109" s="59">
        <f t="shared" si="62"/>
        <v>1178.4493524212419</v>
      </c>
      <c r="BI109" s="59">
        <f ca="1">AVERAGE(OFFSET($BH$3,0,0,'Données projet'!$E$11+1,1))-AVERAGE(OFFSET($H$3,0,0,'Données projet'!$E$11+1,1))</f>
        <v>555.15881087162279</v>
      </c>
      <c r="BJ109" s="59">
        <f t="shared" si="92"/>
        <v>668.20427590250733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49.660806629548667</v>
      </c>
      <c r="BQ109" s="21">
        <f>EXP(-LN(2)/25)*BQ108+(1-EXP(-LN(2)/25))/(LN(2)/25)*Calculateur!BL109*Calculateur!BN109*VLOOKUP('Données projet'!$B$11,Paramètres!$A$1:$I$89,3,0)*0.475*44/12</f>
        <v>7.0252014516045049</v>
      </c>
      <c r="BR109" s="21">
        <f>EXP(-LN(2)/2)*BR108+(1-EXP(-LN(2)/2))/(LN(2)/2)*BL109*BO109*VLOOKUP('Données projet'!$B$11,Paramètres!$A$1:$I$89,3,0)*0.475*44/12</f>
        <v>3.0940404639800005E-12</v>
      </c>
      <c r="BS109" s="22">
        <f t="shared" si="63"/>
        <v>56.68600808115626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367.99999999999972</v>
      </c>
      <c r="BZ109" s="13">
        <f>BY109*VLOOKUP('Données projet'!$B$12,Paramètres!$A$1:$I$89,3,0)*VLOOKUP('Données projet'!$B$12,Paramètres!$A$1:$I$89,5,0)</f>
        <v>241.11359999999982</v>
      </c>
      <c r="CA109" s="13">
        <f t="shared" si="93"/>
        <v>58.6790623558988</v>
      </c>
      <c r="CB109" s="20">
        <f t="shared" si="64"/>
        <v>522.13888693652348</v>
      </c>
      <c r="CC109" s="59">
        <f t="shared" si="65"/>
        <v>815.47222026985673</v>
      </c>
      <c r="CD109" s="59">
        <f ca="1">AVERAGE(OFFSET($CC$3,0,0,'Données projet'!$E$12+1,1))-AVERAGE(OFFSET($H$3,0,0,'Données projet'!$E$12+1,1))</f>
        <v>340.49092994349405</v>
      </c>
      <c r="CE109" s="59">
        <f t="shared" si="94"/>
        <v>331.54434271908832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24.607105713124451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24.607105713124451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5</v>
      </c>
      <c r="CT109" s="12">
        <f>IF('Données projet'!$A$140&gt;35,CT108+CS109-DB108,IF(A109&lt;'Données projet'!$A$140,$CQ$205^A109,IF(A109='Données projet'!$A$140,'Données projet'!$B$140,CT108+CS109-DB108)))</f>
        <v>311.99999999999989</v>
      </c>
      <c r="CU109" s="17">
        <f>CT109*VLOOKUP('Données projet'!$B$13,Paramètres!$A$1:$I$89,3,0)*VLOOKUP('Données projet'!$B$13,Paramètres!$A$1:$I$89,5,0)</f>
        <v>282.29759999999987</v>
      </c>
      <c r="CV109" s="13">
        <f t="shared" si="95"/>
        <v>67.452326629470178</v>
      </c>
      <c r="CW109" s="20">
        <f t="shared" si="67"/>
        <v>609.14778887966042</v>
      </c>
      <c r="CX109" s="59">
        <f t="shared" si="68"/>
        <v>902.4811222129938</v>
      </c>
      <c r="CY109" s="59">
        <f ca="1">AVERAGE(OFFSET($CX$3,0,0,'Données projet'!$E$13+1,1))-AVERAGE(OFFSET($H$3,0,0,'Données projet'!$E$13+1,1))</f>
        <v>439.19854273764042</v>
      </c>
      <c r="CZ109" s="59">
        <f t="shared" si="96"/>
        <v>278.21741231699929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95.651995421020047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95.651995421020047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5</v>
      </c>
      <c r="DO109" s="12">
        <f>IF('Données projet'!$A$166&gt;35,DO108+DN109-DW108,IF(A109&lt;'Données projet'!$A$166,$DL$205^A109,IF(A109='Données projet'!$A$166,'Données projet'!$B$166,DO108+DN109-DW108)))</f>
        <v>311.99999999999989</v>
      </c>
      <c r="DP109" s="17">
        <f>DO109*VLOOKUP('Données projet'!$B$14,Paramètres!$A$1:$I$89,3,0)*VLOOKUP('Données projet'!$B$14,Paramètres!$A$1:$I$89,5,0)</f>
        <v>262.82879999999994</v>
      </c>
      <c r="DQ109" s="13">
        <f t="shared" si="97"/>
        <v>63.324983518559428</v>
      </c>
      <c r="DR109" s="20">
        <f t="shared" si="70"/>
        <v>568.05117296149081</v>
      </c>
      <c r="DS109" s="59">
        <f t="shared" si="71"/>
        <v>861.38450629482418</v>
      </c>
      <c r="DT109" s="59">
        <f ca="1">AVERAGE(OFFSET($DS$3,0,0,'Données projet'!$E$14+1,1))-AVERAGE(OFFSET($H$3,0,0,'Données projet'!$E$14+1,1))</f>
        <v>411.72284844766</v>
      </c>
      <c r="DU109" s="59">
        <f t="shared" si="98"/>
        <v>261.95434270986397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89.055306081639344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89.055306081639344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636.99999999999977</v>
      </c>
      <c r="EK109" s="17">
        <f>EJ109*VLOOKUP('Données projet'!$B$15,Paramètres!$A$1:$I$89,3,0)*VLOOKUP('Données projet'!$B$15,Paramètres!$A$1:$I$89,5,0)</f>
        <v>356.08299999999991</v>
      </c>
      <c r="EL109" s="13">
        <f t="shared" si="99"/>
        <v>82.813805255716545</v>
      </c>
      <c r="EM109" s="20">
        <f t="shared" si="73"/>
        <v>764.41193582037283</v>
      </c>
      <c r="EN109" s="59">
        <f t="shared" si="74"/>
        <v>1057.7452691537062</v>
      </c>
      <c r="EO109" s="59">
        <f ca="1">AVERAGE(OFFSET($EN$3,0,0,'Données projet'!$E$15+1,1))-AVERAGE(OFFSET($H$3,0,0,'Données projet'!$E$15+1,1))</f>
        <v>443.34220761968419</v>
      </c>
      <c r="EP109" s="59">
        <f t="shared" si="100"/>
        <v>546.58234447298014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39.299880883324768</v>
      </c>
      <c r="EW109" s="21">
        <f>EXP(-LN(2)/25)*EW108+(1-EXP(-LN(2)/25))/(LN(2)/25)*Calculateur!ER109*Calculateur!ET109*VLOOKUP('Données projet'!$B$15,Paramètres!$A$1:$I$89,3,0)*0.475*44/12</f>
        <v>2.6671784202116786</v>
      </c>
      <c r="EX109" s="21">
        <f>EXP(-LN(2)/2)*EX108+(1-EXP(-LN(2)/2))/(LN(2)/2)*ER109*EU109*VLOOKUP('Données projet'!$B$15,Paramètres!$A$1:$I$89,3,0)*0.475*44/12</f>
        <v>2.1979928863381353E-11</v>
      </c>
      <c r="EY109" s="22">
        <f t="shared" si="75"/>
        <v>41.967059303558422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224.00000000000006</v>
      </c>
      <c r="O110" s="13">
        <f>N110*VLOOKUP('Données projet'!$B$9,Paramètres!$A$1:$I$89,3,0)*VLOOKUP('Données projet'!$B$9,Paramètres!$A$1:$I$89,5,0)</f>
        <v>195.68640000000008</v>
      </c>
      <c r="P110" s="13">
        <f t="shared" si="87"/>
        <v>48.794969360985156</v>
      </c>
      <c r="Q110" s="20">
        <f t="shared" si="107"/>
        <v>425.8050516370493</v>
      </c>
      <c r="R110" s="59">
        <f t="shared" si="55"/>
        <v>719.13838497038262</v>
      </c>
      <c r="S110" s="59">
        <f ca="1">AVERAGE(OFFSET($R$3,0,0,'Données projet'!$E$9+1,1))-AVERAGE(OFFSET($H$3,0,0,'Données projet'!$E$9+1,1))</f>
        <v>304.32767345253382</v>
      </c>
      <c r="T110" s="59">
        <f t="shared" si="88"/>
        <v>427.16091343339173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24.845108203791547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24.845108203791547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367.99999999999972</v>
      </c>
      <c r="AJ110" s="13">
        <f>AI110*VLOOKUP('Données projet'!$B$10,Paramètres!$A$1:$I$89,3,0)*VLOOKUP('Données projet'!$B$10,Paramètres!$A$1:$I$89,5,0)</f>
        <v>292.78079999999977</v>
      </c>
      <c r="AK110" s="13">
        <f t="shared" si="89"/>
        <v>69.660903052386217</v>
      </c>
      <c r="AL110" s="20">
        <f t="shared" si="58"/>
        <v>631.25263281623893</v>
      </c>
      <c r="AM110" s="59">
        <f t="shared" si="59"/>
        <v>924.58596614957219</v>
      </c>
      <c r="AN110" s="59">
        <f ca="1">AVERAGE(OFFSET($AM$3,0,0,'Données projet'!$E$10+1,1))-AVERAGE(OFFSET($H$3,0,0,'Données projet'!$E$10+1,1))</f>
        <v>405.40026823646758</v>
      </c>
      <c r="AO110" s="59">
        <f t="shared" si="90"/>
        <v>393.0787141050053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36.106714977453905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36.106714977453905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739.99999999999966</v>
      </c>
      <c r="BE110" s="13">
        <f>BD110*VLOOKUP('Données projet'!$B$11,Paramètres!$A$1:$I$89,3,0)*VLOOKUP('Données projet'!$B$11,Paramètres!$A$1:$I$89,5,0)</f>
        <v>413.65999999999985</v>
      </c>
      <c r="BF110" s="13">
        <f t="shared" si="91"/>
        <v>94.540585122244352</v>
      </c>
      <c r="BG110" s="20">
        <f t="shared" si="61"/>
        <v>885.11601908790863</v>
      </c>
      <c r="BH110" s="59">
        <f t="shared" si="62"/>
        <v>1178.4493524212419</v>
      </c>
      <c r="BI110" s="59">
        <f ca="1">AVERAGE(OFFSET($BH$3,0,0,'Données projet'!$E$11+1,1))-AVERAGE(OFFSET($H$3,0,0,'Données projet'!$E$11+1,1))</f>
        <v>555.15881087162279</v>
      </c>
      <c r="BJ110" s="59">
        <f t="shared" si="92"/>
        <v>668.20427590250733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48.686988501644365</v>
      </c>
      <c r="BQ110" s="21">
        <f>EXP(-LN(2)/25)*BQ109+(1-EXP(-LN(2)/25))/(LN(2)/25)*Calculateur!BL110*Calculateur!BN110*VLOOKUP('Données projet'!$B$11,Paramètres!$A$1:$I$89,3,0)*0.475*44/12</f>
        <v>6.8330969484710913</v>
      </c>
      <c r="BR110" s="21">
        <f>EXP(-LN(2)/2)*BR109+(1-EXP(-LN(2)/2))/(LN(2)/2)*BL110*BO110*VLOOKUP('Données projet'!$B$11,Paramètres!$A$1:$I$89,3,0)*0.475*44/12</f>
        <v>2.1878169933458301E-12</v>
      </c>
      <c r="BS110" s="22">
        <f t="shared" si="63"/>
        <v>55.520085450117648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367.99999999999972</v>
      </c>
      <c r="BZ110" s="13">
        <f>BY110*VLOOKUP('Données projet'!$B$12,Paramètres!$A$1:$I$89,3,0)*VLOOKUP('Données projet'!$B$12,Paramètres!$A$1:$I$89,5,0)</f>
        <v>241.11359999999982</v>
      </c>
      <c r="CA110" s="13">
        <f t="shared" si="93"/>
        <v>58.6790623558988</v>
      </c>
      <c r="CB110" s="20">
        <f t="shared" si="64"/>
        <v>522.13888693652348</v>
      </c>
      <c r="CC110" s="59">
        <f t="shared" si="65"/>
        <v>815.47222026985673</v>
      </c>
      <c r="CD110" s="59">
        <f ca="1">AVERAGE(OFFSET($CC$3,0,0,'Données projet'!$E$12+1,1))-AVERAGE(OFFSET($H$3,0,0,'Données projet'!$E$12+1,1))</f>
        <v>340.49092994349405</v>
      </c>
      <c r="CE110" s="59">
        <f t="shared" si="94"/>
        <v>331.54434271908832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24.124575378942563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24.124575378942563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5</v>
      </c>
      <c r="CT110" s="12">
        <f>IF('Données projet'!$A$140&gt;35,CT109+CS110-DB109,IF(A110&lt;'Données projet'!$A$140,$CQ$205^A110,IF(A110='Données projet'!$A$140,'Données projet'!$B$140,CT109+CS110-DB109)))</f>
        <v>316.99999999999989</v>
      </c>
      <c r="CU110" s="17">
        <f>CT110*VLOOKUP('Données projet'!$B$13,Paramètres!$A$1:$I$89,3,0)*VLOOKUP('Données projet'!$B$13,Paramètres!$A$1:$I$89,5,0)</f>
        <v>286.82159999999988</v>
      </c>
      <c r="CV110" s="13">
        <f t="shared" si="95"/>
        <v>68.406583284351413</v>
      </c>
      <c r="CW110" s="20">
        <f t="shared" si="67"/>
        <v>618.68908588691181</v>
      </c>
      <c r="CX110" s="59">
        <f t="shared" si="68"/>
        <v>912.02241922024518</v>
      </c>
      <c r="CY110" s="59">
        <f ca="1">AVERAGE(OFFSET($CX$3,0,0,'Données projet'!$E$13+1,1))-AVERAGE(OFFSET($H$3,0,0,'Données projet'!$E$13+1,1))</f>
        <v>439.19854273764042</v>
      </c>
      <c r="CZ110" s="59">
        <f t="shared" si="96"/>
        <v>278.21741231699929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93.776318132770257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93.776318132770257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5</v>
      </c>
      <c r="DO110" s="12">
        <f>IF('Données projet'!$A$166&gt;35,DO109+DN110-DW109,IF(A110&lt;'Données projet'!$A$166,$DL$205^A110,IF(A110='Données projet'!$A$166,'Données projet'!$B$166,DO109+DN110-DW109)))</f>
        <v>316.99999999999989</v>
      </c>
      <c r="DP110" s="17">
        <f>DO110*VLOOKUP('Données projet'!$B$14,Paramètres!$A$1:$I$89,3,0)*VLOOKUP('Données projet'!$B$14,Paramètres!$A$1:$I$89,5,0)</f>
        <v>267.04079999999993</v>
      </c>
      <c r="DQ110" s="13">
        <f t="shared" si="97"/>
        <v>64.220850124833518</v>
      </c>
      <c r="DR110" s="20">
        <f t="shared" si="70"/>
        <v>576.94737396741823</v>
      </c>
      <c r="DS110" s="59">
        <f t="shared" si="71"/>
        <v>870.2807073007516</v>
      </c>
      <c r="DT110" s="59">
        <f ca="1">AVERAGE(OFFSET($DS$3,0,0,'Données projet'!$E$14+1,1))-AVERAGE(OFFSET($H$3,0,0,'Données projet'!$E$14+1,1))</f>
        <v>411.72284844766</v>
      </c>
      <c r="DU110" s="59">
        <f t="shared" si="98"/>
        <v>261.95434270986397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87.308985847751615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87.308985847751615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636.99999999999977</v>
      </c>
      <c r="EK110" s="17">
        <f>EJ110*VLOOKUP('Données projet'!$B$15,Paramètres!$A$1:$I$89,3,0)*VLOOKUP('Données projet'!$B$15,Paramètres!$A$1:$I$89,5,0)</f>
        <v>356.08299999999991</v>
      </c>
      <c r="EL110" s="13">
        <f t="shared" si="99"/>
        <v>82.813805255716545</v>
      </c>
      <c r="EM110" s="20">
        <f t="shared" si="73"/>
        <v>764.41193582037283</v>
      </c>
      <c r="EN110" s="59">
        <f t="shared" si="74"/>
        <v>1057.7452691537062</v>
      </c>
      <c r="EO110" s="59">
        <f ca="1">AVERAGE(OFFSET($EN$3,0,0,'Données projet'!$E$15+1,1))-AVERAGE(OFFSET($H$3,0,0,'Données projet'!$E$15+1,1))</f>
        <v>443.34220761968419</v>
      </c>
      <c r="EP110" s="59">
        <f t="shared" si="100"/>
        <v>546.58234447298014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38.529234189763208</v>
      </c>
      <c r="EW110" s="21">
        <f>EXP(-LN(2)/25)*EW109+(1-EXP(-LN(2)/25))/(LN(2)/25)*Calculateur!ER110*Calculateur!ET110*VLOOKUP('Données projet'!$B$15,Paramètres!$A$1:$I$89,3,0)*0.475*44/12</f>
        <v>2.5942442860501731</v>
      </c>
      <c r="EX110" s="21">
        <f>EXP(-LN(2)/2)*EX109+(1-EXP(-LN(2)/2))/(LN(2)/2)*ER110*EU110*VLOOKUP('Données projet'!$B$15,Paramètres!$A$1:$I$89,3,0)*0.475*44/12</f>
        <v>1.5542156749294878E-11</v>
      </c>
      <c r="EY110" s="22">
        <f t="shared" si="75"/>
        <v>41.123478475828918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224.00000000000006</v>
      </c>
      <c r="O111" s="13">
        <f>N111*VLOOKUP('Données projet'!$B$9,Paramètres!$A$1:$I$89,3,0)*VLOOKUP('Données projet'!$B$9,Paramètres!$A$1:$I$89,5,0)</f>
        <v>195.68640000000008</v>
      </c>
      <c r="P111" s="13">
        <f t="shared" si="87"/>
        <v>48.794969360985156</v>
      </c>
      <c r="Q111" s="20">
        <f t="shared" si="107"/>
        <v>425.8050516370493</v>
      </c>
      <c r="R111" s="59">
        <f t="shared" si="55"/>
        <v>719.13838497038262</v>
      </c>
      <c r="S111" s="59">
        <f ca="1">AVERAGE(OFFSET($R$3,0,0,'Données projet'!$E$9+1,1))-AVERAGE(OFFSET($H$3,0,0,'Données projet'!$E$9+1,1))</f>
        <v>304.32767345253382</v>
      </c>
      <c r="T111" s="59">
        <f t="shared" si="88"/>
        <v>427.16091343339173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24.357910785934862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24.357910785934862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367.99999999999972</v>
      </c>
      <c r="AJ111" s="13">
        <f>AI111*VLOOKUP('Données projet'!$B$10,Paramètres!$A$1:$I$89,3,0)*VLOOKUP('Données projet'!$B$10,Paramètres!$A$1:$I$89,5,0)</f>
        <v>292.78079999999977</v>
      </c>
      <c r="AK111" s="13">
        <f t="shared" si="89"/>
        <v>69.660903052386217</v>
      </c>
      <c r="AL111" s="20">
        <f t="shared" si="58"/>
        <v>631.25263281623893</v>
      </c>
      <c r="AM111" s="59">
        <f t="shared" si="59"/>
        <v>924.58596614957219</v>
      </c>
      <c r="AN111" s="59">
        <f ca="1">AVERAGE(OFFSET($AM$3,0,0,'Données projet'!$E$10+1,1))-AVERAGE(OFFSET($H$3,0,0,'Données projet'!$E$10+1,1))</f>
        <v>405.40026823646758</v>
      </c>
      <c r="AO111" s="59">
        <f t="shared" si="90"/>
        <v>393.0787141050053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35.398684319667588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35.398684319667588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739.99999999999966</v>
      </c>
      <c r="BE111" s="13">
        <f>BD111*VLOOKUP('Données projet'!$B$11,Paramètres!$A$1:$I$89,3,0)*VLOOKUP('Données projet'!$B$11,Paramètres!$A$1:$I$89,5,0)</f>
        <v>413.65999999999985</v>
      </c>
      <c r="BF111" s="13">
        <f t="shared" si="91"/>
        <v>94.540585122244352</v>
      </c>
      <c r="BG111" s="20">
        <f t="shared" si="61"/>
        <v>885.11601908790863</v>
      </c>
      <c r="BH111" s="59">
        <f t="shared" si="62"/>
        <v>1178.4493524212419</v>
      </c>
      <c r="BI111" s="59">
        <f ca="1">AVERAGE(OFFSET($BH$3,0,0,'Données projet'!$E$11+1,1))-AVERAGE(OFFSET($H$3,0,0,'Données projet'!$E$11+1,1))</f>
        <v>555.15881087162279</v>
      </c>
      <c r="BJ111" s="59">
        <f t="shared" si="92"/>
        <v>668.20427590250733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47.732266353257856</v>
      </c>
      <c r="BQ111" s="21">
        <f>EXP(-LN(2)/25)*BQ110+(1-EXP(-LN(2)/25))/(LN(2)/25)*Calculateur!BL111*Calculateur!BN111*VLOOKUP('Données projet'!$B$11,Paramètres!$A$1:$I$89,3,0)*0.475*44/12</f>
        <v>6.6462455530781979</v>
      </c>
      <c r="BR111" s="21">
        <f>EXP(-LN(2)/2)*BR110+(1-EXP(-LN(2)/2))/(LN(2)/2)*BL111*BO111*VLOOKUP('Données projet'!$B$11,Paramètres!$A$1:$I$89,3,0)*0.475*44/12</f>
        <v>1.5470202319900002E-12</v>
      </c>
      <c r="BS111" s="22">
        <f t="shared" si="63"/>
        <v>54.3785119063376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367.99999999999972</v>
      </c>
      <c r="BZ111" s="13">
        <f>BY111*VLOOKUP('Données projet'!$B$12,Paramètres!$A$1:$I$89,3,0)*VLOOKUP('Données projet'!$B$12,Paramètres!$A$1:$I$89,5,0)</f>
        <v>241.11359999999982</v>
      </c>
      <c r="CA111" s="13">
        <f t="shared" si="93"/>
        <v>58.6790623558988</v>
      </c>
      <c r="CB111" s="20">
        <f t="shared" si="64"/>
        <v>522.13888693652348</v>
      </c>
      <c r="CC111" s="59">
        <f t="shared" si="65"/>
        <v>815.47222026985673</v>
      </c>
      <c r="CD111" s="59">
        <f ca="1">AVERAGE(OFFSET($CC$3,0,0,'Données projet'!$E$12+1,1))-AVERAGE(OFFSET($H$3,0,0,'Données projet'!$E$12+1,1))</f>
        <v>340.49092994349405</v>
      </c>
      <c r="CE111" s="59">
        <f t="shared" si="94"/>
        <v>331.54434271908832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23.651507170299542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23.651507170299542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5</v>
      </c>
      <c r="CT111" s="12">
        <f>IF('Données projet'!$A$140&gt;35,CT110+CS111-DB110,IF(A111&lt;'Données projet'!$A$140,$CQ$205^A111,IF(A111='Données projet'!$A$140,'Données projet'!$B$140,CT110+CS111-DB110)))</f>
        <v>321.99999999999989</v>
      </c>
      <c r="CU111" s="17">
        <f>CT111*VLOOKUP('Données projet'!$B$13,Paramètres!$A$1:$I$89,3,0)*VLOOKUP('Données projet'!$B$13,Paramètres!$A$1:$I$89,5,0)</f>
        <v>291.34559999999993</v>
      </c>
      <c r="CV111" s="13">
        <f t="shared" si="95"/>
        <v>69.359089490698707</v>
      </c>
      <c r="CW111" s="20">
        <f t="shared" si="67"/>
        <v>628.22733419630015</v>
      </c>
      <c r="CX111" s="59">
        <f t="shared" si="68"/>
        <v>921.56066752963352</v>
      </c>
      <c r="CY111" s="59">
        <f ca="1">AVERAGE(OFFSET($CX$3,0,0,'Données projet'!$E$13+1,1))-AVERAGE(OFFSET($H$3,0,0,'Données projet'!$E$13+1,1))</f>
        <v>439.19854273764042</v>
      </c>
      <c r="CZ111" s="59">
        <f t="shared" si="96"/>
        <v>278.21741231699929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91.937421732092872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91.937421732092872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5</v>
      </c>
      <c r="DO111" s="12">
        <f>IF('Données projet'!$A$166&gt;35,DO110+DN111-DW110,IF(A111&lt;'Données projet'!$A$166,$DL$205^A111,IF(A111='Données projet'!$A$166,'Données projet'!$B$166,DO110+DN111-DW110)))</f>
        <v>321.99999999999989</v>
      </c>
      <c r="DP111" s="17">
        <f>DO111*VLOOKUP('Données projet'!$B$14,Paramètres!$A$1:$I$89,3,0)*VLOOKUP('Données projet'!$B$14,Paramètres!$A$1:$I$89,5,0)</f>
        <v>271.25279999999992</v>
      </c>
      <c r="DQ111" s="13">
        <f t="shared" si="97"/>
        <v>65.115073390838859</v>
      </c>
      <c r="DR111" s="20">
        <f t="shared" si="70"/>
        <v>585.84071282237755</v>
      </c>
      <c r="DS111" s="59">
        <f t="shared" si="71"/>
        <v>879.17404615571081</v>
      </c>
      <c r="DT111" s="59">
        <f ca="1">AVERAGE(OFFSET($DS$3,0,0,'Données projet'!$E$14+1,1))-AVERAGE(OFFSET($H$3,0,0,'Données projet'!$E$14+1,1))</f>
        <v>411.72284844766</v>
      </c>
      <c r="DU111" s="59">
        <f t="shared" si="98"/>
        <v>261.95434270986397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85.59690988850025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85.59690988850025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636.99999999999977</v>
      </c>
      <c r="EK111" s="17">
        <f>EJ111*VLOOKUP('Données projet'!$B$15,Paramètres!$A$1:$I$89,3,0)*VLOOKUP('Données projet'!$B$15,Paramètres!$A$1:$I$89,5,0)</f>
        <v>356.08299999999991</v>
      </c>
      <c r="EL111" s="13">
        <f t="shared" si="99"/>
        <v>82.813805255716545</v>
      </c>
      <c r="EM111" s="20">
        <f t="shared" si="73"/>
        <v>764.41193582037283</v>
      </c>
      <c r="EN111" s="59">
        <f t="shared" si="74"/>
        <v>1057.7452691537062</v>
      </c>
      <c r="EO111" s="59">
        <f ca="1">AVERAGE(OFFSET($EN$3,0,0,'Données projet'!$E$15+1,1))-AVERAGE(OFFSET($H$3,0,0,'Données projet'!$E$15+1,1))</f>
        <v>443.34220761968419</v>
      </c>
      <c r="EP111" s="59">
        <f t="shared" si="100"/>
        <v>546.58234447298014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37.773699407814327</v>
      </c>
      <c r="EW111" s="21">
        <f>EXP(-LN(2)/25)*EW110+(1-EXP(-LN(2)/25))/(LN(2)/25)*Calculateur!ER111*Calculateur!ET111*VLOOKUP('Données projet'!$B$15,Paramètres!$A$1:$I$89,3,0)*0.475*44/12</f>
        <v>2.5233045396227531</v>
      </c>
      <c r="EX111" s="21">
        <f>EXP(-LN(2)/2)*EX110+(1-EXP(-LN(2)/2))/(LN(2)/2)*ER111*EU111*VLOOKUP('Données projet'!$B$15,Paramètres!$A$1:$I$89,3,0)*0.475*44/12</f>
        <v>1.0989964431690677E-11</v>
      </c>
      <c r="EY111" s="22">
        <f t="shared" si="75"/>
        <v>40.297003947448069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224.00000000000006</v>
      </c>
      <c r="O112" s="13">
        <f>N112*VLOOKUP('Données projet'!$B$9,Paramètres!$A$1:$I$89,3,0)*VLOOKUP('Données projet'!$B$9,Paramètres!$A$1:$I$89,5,0)</f>
        <v>195.68640000000008</v>
      </c>
      <c r="P112" s="13">
        <f t="shared" si="87"/>
        <v>48.794969360985156</v>
      </c>
      <c r="Q112" s="20">
        <f t="shared" si="107"/>
        <v>425.8050516370493</v>
      </c>
      <c r="R112" s="59">
        <f t="shared" si="55"/>
        <v>719.13838497038262</v>
      </c>
      <c r="S112" s="59">
        <f ca="1">AVERAGE(OFFSET($R$3,0,0,'Données projet'!$E$9+1,1))-AVERAGE(OFFSET($H$3,0,0,'Données projet'!$E$9+1,1))</f>
        <v>304.32767345253382</v>
      </c>
      <c r="T112" s="59">
        <f t="shared" si="88"/>
        <v>427.16091343339173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23.880267012281266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23.880267012281266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367.99999999999972</v>
      </c>
      <c r="AJ112" s="13">
        <f>AI112*VLOOKUP('Données projet'!$B$10,Paramètres!$A$1:$I$89,3,0)*VLOOKUP('Données projet'!$B$10,Paramètres!$A$1:$I$89,5,0)</f>
        <v>292.78079999999977</v>
      </c>
      <c r="AK112" s="13">
        <f t="shared" si="89"/>
        <v>69.660903052386217</v>
      </c>
      <c r="AL112" s="20">
        <f t="shared" si="58"/>
        <v>631.25263281623893</v>
      </c>
      <c r="AM112" s="59">
        <f t="shared" si="59"/>
        <v>924.58596614957219</v>
      </c>
      <c r="AN112" s="59">
        <f ca="1">AVERAGE(OFFSET($AM$3,0,0,'Données projet'!$E$10+1,1))-AVERAGE(OFFSET($H$3,0,0,'Données projet'!$E$10+1,1))</f>
        <v>405.40026823646758</v>
      </c>
      <c r="AO112" s="59">
        <f t="shared" si="90"/>
        <v>393.0787141050053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34.704537711224404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34.704537711224404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739.99999999999966</v>
      </c>
      <c r="BE112" s="13">
        <f>BD112*VLOOKUP('Données projet'!$B$11,Paramètres!$A$1:$I$89,3,0)*VLOOKUP('Données projet'!$B$11,Paramètres!$A$1:$I$89,5,0)</f>
        <v>413.65999999999985</v>
      </c>
      <c r="BF112" s="13">
        <f t="shared" si="91"/>
        <v>94.540585122244352</v>
      </c>
      <c r="BG112" s="20">
        <f t="shared" si="61"/>
        <v>885.11601908790863</v>
      </c>
      <c r="BH112" s="59">
        <f t="shared" si="62"/>
        <v>1178.4493524212419</v>
      </c>
      <c r="BI112" s="59">
        <f ca="1">AVERAGE(OFFSET($BH$3,0,0,'Données projet'!$E$11+1,1))-AVERAGE(OFFSET($H$3,0,0,'Données projet'!$E$11+1,1))</f>
        <v>555.15881087162279</v>
      </c>
      <c r="BJ112" s="59">
        <f t="shared" si="92"/>
        <v>668.20427590250733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46.796265723878193</v>
      </c>
      <c r="BQ112" s="21">
        <f>EXP(-LN(2)/25)*BQ111+(1-EXP(-LN(2)/25))/(LN(2)/25)*Calculateur!BL112*Calculateur!BN112*VLOOKUP('Données projet'!$B$11,Paramètres!$A$1:$I$89,3,0)*0.475*44/12</f>
        <v>6.4645036189184113</v>
      </c>
      <c r="BR112" s="21">
        <f>EXP(-LN(2)/2)*BR111+(1-EXP(-LN(2)/2))/(LN(2)/2)*BL112*BO112*VLOOKUP('Données projet'!$B$11,Paramètres!$A$1:$I$89,3,0)*0.475*44/12</f>
        <v>1.0939084966729151E-12</v>
      </c>
      <c r="BS112" s="22">
        <f t="shared" si="63"/>
        <v>53.260769342797701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367.99999999999972</v>
      </c>
      <c r="BZ112" s="13">
        <f>BY112*VLOOKUP('Données projet'!$B$12,Paramètres!$A$1:$I$89,3,0)*VLOOKUP('Données projet'!$B$12,Paramètres!$A$1:$I$89,5,0)</f>
        <v>241.11359999999982</v>
      </c>
      <c r="CA112" s="13">
        <f t="shared" si="93"/>
        <v>58.6790623558988</v>
      </c>
      <c r="CB112" s="20">
        <f t="shared" si="64"/>
        <v>522.13888693652348</v>
      </c>
      <c r="CC112" s="59">
        <f t="shared" si="65"/>
        <v>815.47222026985673</v>
      </c>
      <c r="CD112" s="59">
        <f ca="1">AVERAGE(OFFSET($CC$3,0,0,'Données projet'!$E$12+1,1))-AVERAGE(OFFSET($H$3,0,0,'Données projet'!$E$12+1,1))</f>
        <v>340.49092994349405</v>
      </c>
      <c r="CE112" s="59">
        <f t="shared" si="94"/>
        <v>331.54434271908832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23.187715540684895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23.187715540684895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5</v>
      </c>
      <c r="CT112" s="12">
        <f>IF('Données projet'!$A$140&gt;35,CT111+CS112-DB111,IF(A112&lt;'Données projet'!$A$140,$CQ$205^A112,IF(A112='Données projet'!$A$140,'Données projet'!$B$140,CT111+CS112-DB111)))</f>
        <v>326.99999999999989</v>
      </c>
      <c r="CU112" s="17">
        <f>CT112*VLOOKUP('Données projet'!$B$13,Paramètres!$A$1:$I$89,3,0)*VLOOKUP('Données projet'!$B$13,Paramètres!$A$1:$I$89,5,0)</f>
        <v>295.86959999999988</v>
      </c>
      <c r="CV112" s="13">
        <f t="shared" si="95"/>
        <v>70.309875568291218</v>
      </c>
      <c r="CW112" s="20">
        <f t="shared" si="67"/>
        <v>637.76258661477357</v>
      </c>
      <c r="CX112" s="59">
        <f t="shared" si="68"/>
        <v>931.09591994810694</v>
      </c>
      <c r="CY112" s="59">
        <f ca="1">AVERAGE(OFFSET($CX$3,0,0,'Données projet'!$E$13+1,1))-AVERAGE(OFFSET($H$3,0,0,'Données projet'!$E$13+1,1))</f>
        <v>439.19854273764042</v>
      </c>
      <c r="CZ112" s="59">
        <f t="shared" si="96"/>
        <v>278.21741231699929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90.134584968216714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90.134584968216714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5</v>
      </c>
      <c r="DO112" s="12">
        <f>IF('Données projet'!$A$166&gt;35,DO111+DN112-DW111,IF(A112&lt;'Données projet'!$A$166,$DL$205^A112,IF(A112='Données projet'!$A$166,'Données projet'!$B$166,DO111+DN112-DW111)))</f>
        <v>326.99999999999989</v>
      </c>
      <c r="DP112" s="17">
        <f>DO112*VLOOKUP('Données projet'!$B$14,Paramètres!$A$1:$I$89,3,0)*VLOOKUP('Données projet'!$B$14,Paramètres!$A$1:$I$89,5,0)</f>
        <v>275.46479999999997</v>
      </c>
      <c r="DQ112" s="13">
        <f t="shared" si="97"/>
        <v>66.007681781116673</v>
      </c>
      <c r="DR112" s="20">
        <f t="shared" si="70"/>
        <v>594.73123910211143</v>
      </c>
      <c r="DS112" s="59">
        <f t="shared" si="71"/>
        <v>888.06457243544469</v>
      </c>
      <c r="DT112" s="59">
        <f ca="1">AVERAGE(OFFSET($DS$3,0,0,'Données projet'!$E$14+1,1))-AVERAGE(OFFSET($H$3,0,0,'Données projet'!$E$14+1,1))</f>
        <v>411.72284844766</v>
      </c>
      <c r="DU112" s="59">
        <f t="shared" si="98"/>
        <v>261.95434270986397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83.91840669454659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83.91840669454659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636.99999999999977</v>
      </c>
      <c r="EK112" s="17">
        <f>EJ112*VLOOKUP('Données projet'!$B$15,Paramètres!$A$1:$I$89,3,0)*VLOOKUP('Données projet'!$B$15,Paramètres!$A$1:$I$89,5,0)</f>
        <v>356.08299999999991</v>
      </c>
      <c r="EL112" s="13">
        <f t="shared" si="99"/>
        <v>82.813805255716545</v>
      </c>
      <c r="EM112" s="20">
        <f t="shared" si="73"/>
        <v>764.41193582037283</v>
      </c>
      <c r="EN112" s="59">
        <f t="shared" si="74"/>
        <v>1057.7452691537062</v>
      </c>
      <c r="EO112" s="59">
        <f ca="1">AVERAGE(OFFSET($EN$3,0,0,'Données projet'!$E$15+1,1))-AVERAGE(OFFSET($H$3,0,0,'Données projet'!$E$15+1,1))</f>
        <v>443.34220761968419</v>
      </c>
      <c r="EP112" s="59">
        <f t="shared" si="100"/>
        <v>546.58234447298014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37.032980202108746</v>
      </c>
      <c r="EW112" s="21">
        <f>EXP(-LN(2)/25)*EW111+(1-EXP(-LN(2)/25))/(LN(2)/25)*Calculateur!ER112*Calculateur!ET112*VLOOKUP('Données projet'!$B$15,Paramètres!$A$1:$I$89,3,0)*0.475*44/12</f>
        <v>2.4543046442919505</v>
      </c>
      <c r="EX112" s="21">
        <f>EXP(-LN(2)/2)*EX111+(1-EXP(-LN(2)/2))/(LN(2)/2)*ER112*EU112*VLOOKUP('Données projet'!$B$15,Paramètres!$A$1:$I$89,3,0)*0.475*44/12</f>
        <v>7.7710783746474392E-12</v>
      </c>
      <c r="EY112" s="22">
        <f t="shared" si="75"/>
        <v>39.487284846408471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224.00000000000006</v>
      </c>
      <c r="O113" s="13">
        <f>N113*VLOOKUP('Données projet'!$B$9,Paramètres!$A$1:$I$89,3,0)*VLOOKUP('Données projet'!$B$9,Paramètres!$A$1:$I$89,5,0)</f>
        <v>195.68640000000008</v>
      </c>
      <c r="P113" s="13">
        <f t="shared" si="87"/>
        <v>48.794969360985156</v>
      </c>
      <c r="Q113" s="20">
        <f t="shared" si="107"/>
        <v>425.8050516370493</v>
      </c>
      <c r="R113" s="59">
        <f t="shared" si="55"/>
        <v>719.13838497038262</v>
      </c>
      <c r="S113" s="59">
        <f ca="1">AVERAGE(OFFSET($R$3,0,0,'Données projet'!$E$9+1,1))-AVERAGE(OFFSET($H$3,0,0,'Données projet'!$E$9+1,1))</f>
        <v>304.32767345253382</v>
      </c>
      <c r="T113" s="59">
        <f t="shared" si="88"/>
        <v>427.16091343339173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23.411989541695082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23.411989541695082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367.99999999999972</v>
      </c>
      <c r="AJ113" s="13">
        <f>AI113*VLOOKUP('Données projet'!$B$10,Paramètres!$A$1:$I$89,3,0)*VLOOKUP('Données projet'!$B$10,Paramètres!$A$1:$I$89,5,0)</f>
        <v>292.78079999999977</v>
      </c>
      <c r="AK113" s="13">
        <f t="shared" si="89"/>
        <v>69.660903052386217</v>
      </c>
      <c r="AL113" s="20">
        <f t="shared" si="58"/>
        <v>631.25263281623893</v>
      </c>
      <c r="AM113" s="59">
        <f t="shared" si="59"/>
        <v>924.58596614957219</v>
      </c>
      <c r="AN113" s="59">
        <f ca="1">AVERAGE(OFFSET($AM$3,0,0,'Données projet'!$E$10+1,1))-AVERAGE(OFFSET($H$3,0,0,'Données projet'!$E$10+1,1))</f>
        <v>405.40026823646758</v>
      </c>
      <c r="AO113" s="59">
        <f t="shared" si="90"/>
        <v>393.0787141050053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34.024002894385163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34.024002894385163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739.99999999999966</v>
      </c>
      <c r="BE113" s="13">
        <f>BD113*VLOOKUP('Données projet'!$B$11,Paramètres!$A$1:$I$89,3,0)*VLOOKUP('Données projet'!$B$11,Paramètres!$A$1:$I$89,5,0)</f>
        <v>413.65999999999985</v>
      </c>
      <c r="BF113" s="13">
        <f t="shared" si="91"/>
        <v>94.540585122244352</v>
      </c>
      <c r="BG113" s="20">
        <f t="shared" si="61"/>
        <v>885.11601908790863</v>
      </c>
      <c r="BH113" s="59">
        <f t="shared" si="62"/>
        <v>1178.4493524212419</v>
      </c>
      <c r="BI113" s="59">
        <f ca="1">AVERAGE(OFFSET($BH$3,0,0,'Données projet'!$E$11+1,1))-AVERAGE(OFFSET($H$3,0,0,'Données projet'!$E$11+1,1))</f>
        <v>555.15881087162279</v>
      </c>
      <c r="BJ113" s="59">
        <f t="shared" si="92"/>
        <v>668.20427590250733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45.878619495936654</v>
      </c>
      <c r="BQ113" s="21">
        <f>EXP(-LN(2)/25)*BQ112+(1-EXP(-LN(2)/25))/(LN(2)/25)*Calculateur!BL113*Calculateur!BN113*VLOOKUP('Données projet'!$B$11,Paramètres!$A$1:$I$89,3,0)*0.475*44/12</f>
        <v>6.2877314275056166</v>
      </c>
      <c r="BR113" s="21">
        <f>EXP(-LN(2)/2)*BR112+(1-EXP(-LN(2)/2))/(LN(2)/2)*BL113*BO113*VLOOKUP('Données projet'!$B$11,Paramètres!$A$1:$I$89,3,0)*0.475*44/12</f>
        <v>7.7351011599500012E-13</v>
      </c>
      <c r="BS113" s="22">
        <f t="shared" si="63"/>
        <v>52.166350923443048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367.99999999999972</v>
      </c>
      <c r="BZ113" s="13">
        <f>BY113*VLOOKUP('Données projet'!$B$12,Paramètres!$A$1:$I$89,3,0)*VLOOKUP('Données projet'!$B$12,Paramètres!$A$1:$I$89,5,0)</f>
        <v>241.11359999999982</v>
      </c>
      <c r="CA113" s="13">
        <f t="shared" si="93"/>
        <v>58.6790623558988</v>
      </c>
      <c r="CB113" s="20">
        <f t="shared" si="64"/>
        <v>522.13888693652348</v>
      </c>
      <c r="CC113" s="59">
        <f t="shared" si="65"/>
        <v>815.47222026985673</v>
      </c>
      <c r="CD113" s="59">
        <f ca="1">AVERAGE(OFFSET($CC$3,0,0,'Données projet'!$E$12+1,1))-AVERAGE(OFFSET($H$3,0,0,'Données projet'!$E$12+1,1))</f>
        <v>340.49092994349405</v>
      </c>
      <c r="CE113" s="59">
        <f t="shared" si="94"/>
        <v>331.54434271908832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22.733018582042028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22.733018582042028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332</v>
      </c>
      <c r="CR113" s="12">
        <f>VLOOKUP(A113,'Données projet'!$A$139:$I$159,9,0)</f>
        <v>5</v>
      </c>
      <c r="CS113" s="12">
        <f t="array" ref="CS113">INDEX(CR:CR,MIN(IF(ISNUMBER(CR113:CR309),ROW(CR113:CR309),"")))</f>
        <v>5</v>
      </c>
      <c r="CT113" s="12">
        <f>IF('Données projet'!$A$140&gt;35,CT112+CS113-DB112,IF(A113&lt;'Données projet'!$A$140,$CQ$205^A113,IF(A113='Données projet'!$A$140,'Données projet'!$B$140,CT112+CS113-DB112)))</f>
        <v>331.99999999999989</v>
      </c>
      <c r="CU113" s="17">
        <f>CT113*VLOOKUP('Données projet'!$B$13,Paramètres!$A$1:$I$89,3,0)*VLOOKUP('Données projet'!$B$13,Paramètres!$A$1:$I$89,5,0)</f>
        <v>300.39359999999988</v>
      </c>
      <c r="CV113" s="13">
        <f t="shared" si="95"/>
        <v>71.258970856492667</v>
      </c>
      <c r="CW113" s="20">
        <f t="shared" si="67"/>
        <v>647.29489424172459</v>
      </c>
      <c r="CX113" s="59">
        <f t="shared" si="68"/>
        <v>940.62822757505796</v>
      </c>
      <c r="CY113" s="59">
        <f ca="1">AVERAGE(OFFSET($CX$3,0,0,'Données projet'!$E$13+1,1))-AVERAGE(OFFSET($H$3,0,0,'Données projet'!$E$13+1,1))</f>
        <v>439.19854273764042</v>
      </c>
      <c r="CZ113" s="59">
        <f t="shared" si="96"/>
        <v>278.21741231699929</v>
      </c>
      <c r="DA113" s="15">
        <f>IF(ISNA(VLOOKUP(A113,'Données projet'!$A$139:$I$159,3,0)),0,VLOOKUP(A113,'Données projet'!$A$139:$I$159,3,0))</f>
        <v>19</v>
      </c>
      <c r="DB113" s="15">
        <f>IF(ISNA(VLOOKUP(A113,'Données projet'!$A$139:$I$159,4,0)),0,VLOOKUP(A113,'Données projet'!$A$139:$I$159,4,0))</f>
        <v>25</v>
      </c>
      <c r="DC113" s="16">
        <f>IF(ISNA(VLOOKUP(A113,'Données projet'!$A$139:$I$159,5,0)),0%,VLOOKUP(A113,'Données projet'!$A$139:$I$159,5,0)*VLOOKUP('Données projet'!$B$13,Paramètres!$A$1:$I$89,7,0))</f>
        <v>0.43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99.119568927223511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99.119568927223511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332</v>
      </c>
      <c r="DM113" s="12">
        <f>VLOOKUP(A113,'Données projet'!$A$165:$I$185,9,0)</f>
        <v>5</v>
      </c>
      <c r="DN113" s="12">
        <f t="array" ref="DN113">INDEX(DM:DM,MIN(IF(ISNUMBER(DM113:DM309),ROW(DM113:DM309),"")))</f>
        <v>5</v>
      </c>
      <c r="DO113" s="12">
        <f>IF('Données projet'!$A$166&gt;35,DO112+DN113-DW112,IF(A113&lt;'Données projet'!$A$166,$DL$205^A113,IF(A113='Données projet'!$A$166,'Données projet'!$B$166,DO112+DN113-DW112)))</f>
        <v>331.99999999999989</v>
      </c>
      <c r="DP113" s="17">
        <f>DO113*VLOOKUP('Données projet'!$B$14,Paramètres!$A$1:$I$89,3,0)*VLOOKUP('Données projet'!$B$14,Paramètres!$A$1:$I$89,5,0)</f>
        <v>279.6767999999999</v>
      </c>
      <c r="DQ113" s="13">
        <f t="shared" si="97"/>
        <v>66.898702839783041</v>
      </c>
      <c r="DR113" s="20">
        <f t="shared" si="70"/>
        <v>603.61900077928851</v>
      </c>
      <c r="DS113" s="59">
        <f t="shared" si="71"/>
        <v>896.95233411262188</v>
      </c>
      <c r="DT113" s="59">
        <f ca="1">AVERAGE(OFFSET($DS$3,0,0,'Données projet'!$E$14+1,1))-AVERAGE(OFFSET($H$3,0,0,'Données projet'!$E$14+1,1))</f>
        <v>411.72284844766</v>
      </c>
      <c r="DU113" s="59">
        <f t="shared" si="98"/>
        <v>261.95434270986397</v>
      </c>
      <c r="DV113" s="15">
        <f>IF(ISNA(VLOOKUP(A113,'Données projet'!$A$165:$I$185,3,0)),0,VLOOKUP(A113,'Données projet'!$A$165:$I$185,3,0))</f>
        <v>19</v>
      </c>
      <c r="DW113" s="15">
        <f>IF(ISNA(VLOOKUP(A113,'Données projet'!$A$165:$I$185,4,0)),0,VLOOKUP(A113,'Données projet'!$A$165:$I$185,4,0))</f>
        <v>25</v>
      </c>
      <c r="DX113" s="16">
        <f>IF(ISNA(VLOOKUP(A113,'Données projet'!$A$165:$I$185,5,0)),0%,VLOOKUP(A113,'Données projet'!$A$165:$I$185,5,0)*VLOOKUP('Données projet'!$B$14,Paramètres!$A$1:$I$89,7,0))</f>
        <v>0.43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92.283736587414992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92.283736587414992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636.99999999999977</v>
      </c>
      <c r="EK113" s="17">
        <f>EJ113*VLOOKUP('Données projet'!$B$15,Paramètres!$A$1:$I$89,3,0)*VLOOKUP('Données projet'!$B$15,Paramètres!$A$1:$I$89,5,0)</f>
        <v>356.08299999999991</v>
      </c>
      <c r="EL113" s="13">
        <f t="shared" si="99"/>
        <v>82.813805255716545</v>
      </c>
      <c r="EM113" s="20">
        <f t="shared" si="73"/>
        <v>764.41193582037283</v>
      </c>
      <c r="EN113" s="59">
        <f t="shared" si="74"/>
        <v>1057.7452691537062</v>
      </c>
      <c r="EO113" s="59">
        <f ca="1">AVERAGE(OFFSET($EN$3,0,0,'Données projet'!$E$15+1,1))-AVERAGE(OFFSET($H$3,0,0,'Données projet'!$E$15+1,1))</f>
        <v>443.34220761968419</v>
      </c>
      <c r="EP113" s="59">
        <f t="shared" si="100"/>
        <v>546.58234447298014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36.306786048232951</v>
      </c>
      <c r="EW113" s="21">
        <f>EXP(-LN(2)/25)*EW112+(1-EXP(-LN(2)/25))/(LN(2)/25)*Calculateur!ER113*Calculateur!ET113*VLOOKUP('Données projet'!$B$15,Paramètres!$A$1:$I$89,3,0)*0.475*44/12</f>
        <v>2.3871915547275151</v>
      </c>
      <c r="EX113" s="21">
        <f>EXP(-LN(2)/2)*EX112+(1-EXP(-LN(2)/2))/(LN(2)/2)*ER113*EU113*VLOOKUP('Données projet'!$B$15,Paramètres!$A$1:$I$89,3,0)*0.475*44/12</f>
        <v>5.4949822158453383E-12</v>
      </c>
      <c r="EY113" s="22">
        <f t="shared" si="75"/>
        <v>38.693977602965958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224.00000000000006</v>
      </c>
      <c r="O114" s="13">
        <f>N114*VLOOKUP('Données projet'!$B$9,Paramètres!$A$1:$I$89,3,0)*VLOOKUP('Données projet'!$B$9,Paramètres!$A$1:$I$89,5,0)</f>
        <v>195.68640000000008</v>
      </c>
      <c r="P114" s="13">
        <f t="shared" si="87"/>
        <v>48.794969360985156</v>
      </c>
      <c r="Q114" s="20">
        <f t="shared" si="107"/>
        <v>425.8050516370493</v>
      </c>
      <c r="R114" s="59">
        <f t="shared" si="55"/>
        <v>719.13838497038262</v>
      </c>
      <c r="S114" s="59">
        <f ca="1">AVERAGE(OFFSET($R$3,0,0,'Données projet'!$E$9+1,1))-AVERAGE(OFFSET($H$3,0,0,'Données projet'!$E$9+1,1))</f>
        <v>304.32767345253382</v>
      </c>
      <c r="T114" s="59">
        <f t="shared" si="88"/>
        <v>427.16091343339173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22.952894706686038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22.952894706686038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367.99999999999972</v>
      </c>
      <c r="AJ114" s="13">
        <f>AI114*VLOOKUP('Données projet'!$B$10,Paramètres!$A$1:$I$89,3,0)*VLOOKUP('Données projet'!$B$10,Paramètres!$A$1:$I$89,5,0)</f>
        <v>292.78079999999977</v>
      </c>
      <c r="AK114" s="13">
        <f t="shared" si="89"/>
        <v>69.660903052386217</v>
      </c>
      <c r="AL114" s="20">
        <f t="shared" si="58"/>
        <v>631.25263281623893</v>
      </c>
      <c r="AM114" s="59">
        <f t="shared" si="59"/>
        <v>924.58596614957219</v>
      </c>
      <c r="AN114" s="59">
        <f ca="1">AVERAGE(OFFSET($AM$3,0,0,'Données projet'!$E$10+1,1))-AVERAGE(OFFSET($H$3,0,0,'Données projet'!$E$10+1,1))</f>
        <v>405.40026823646758</v>
      </c>
      <c r="AO114" s="59">
        <f t="shared" si="90"/>
        <v>393.0787141050053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33.356812950218888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33.356812950218888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739.99999999999966</v>
      </c>
      <c r="BE114" s="13">
        <f>BD114*VLOOKUP('Données projet'!$B$11,Paramètres!$A$1:$I$89,3,0)*VLOOKUP('Données projet'!$B$11,Paramètres!$A$1:$I$89,5,0)</f>
        <v>413.65999999999985</v>
      </c>
      <c r="BF114" s="13">
        <f t="shared" si="91"/>
        <v>94.540585122244352</v>
      </c>
      <c r="BG114" s="20">
        <f t="shared" si="61"/>
        <v>885.11601908790863</v>
      </c>
      <c r="BH114" s="59">
        <f t="shared" si="62"/>
        <v>1178.4493524212419</v>
      </c>
      <c r="BI114" s="59">
        <f ca="1">AVERAGE(OFFSET($BH$3,0,0,'Données projet'!$E$11+1,1))-AVERAGE(OFFSET($H$3,0,0,'Données projet'!$E$11+1,1))</f>
        <v>555.15881087162279</v>
      </c>
      <c r="BJ114" s="59">
        <f t="shared" si="92"/>
        <v>668.20427590250733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44.978967750816118</v>
      </c>
      <c r="BQ114" s="21">
        <f>EXP(-LN(2)/25)*BQ113+(1-EXP(-LN(2)/25))/(LN(2)/25)*Calculateur!BL114*Calculateur!BN114*VLOOKUP('Données projet'!$B$11,Paramètres!$A$1:$I$89,3,0)*0.475*44/12</f>
        <v>6.1157930809630505</v>
      </c>
      <c r="BR114" s="21">
        <f>EXP(-LN(2)/2)*BR113+(1-EXP(-LN(2)/2))/(LN(2)/2)*BL114*BO114*VLOOKUP('Données projet'!$B$11,Paramètres!$A$1:$I$89,3,0)*0.475*44/12</f>
        <v>5.4695424833645753E-13</v>
      </c>
      <c r="BS114" s="22">
        <f t="shared" si="63"/>
        <v>51.094760831779716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367.99999999999972</v>
      </c>
      <c r="BZ114" s="13">
        <f>BY114*VLOOKUP('Données projet'!$B$12,Paramètres!$A$1:$I$89,3,0)*VLOOKUP('Données projet'!$B$12,Paramètres!$A$1:$I$89,5,0)</f>
        <v>241.11359999999982</v>
      </c>
      <c r="CA114" s="13">
        <f t="shared" si="93"/>
        <v>58.6790623558988</v>
      </c>
      <c r="CB114" s="20">
        <f t="shared" si="64"/>
        <v>522.13888693652348</v>
      </c>
      <c r="CC114" s="59">
        <f t="shared" si="65"/>
        <v>815.47222026985673</v>
      </c>
      <c r="CD114" s="59">
        <f ca="1">AVERAGE(OFFSET($CC$3,0,0,'Données projet'!$E$12+1,1))-AVERAGE(OFFSET($H$3,0,0,'Données projet'!$E$12+1,1))</f>
        <v>340.49092994349405</v>
      </c>
      <c r="CE114" s="59">
        <f t="shared" si="94"/>
        <v>331.54434271908832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22.287237953420387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22.287237953420387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4.8</v>
      </c>
      <c r="CT114" s="12">
        <f>IF('Données projet'!$A$140&gt;35,CT113+CS114-DB113,IF(A114&lt;'Données projet'!$A$140,$CQ$205^A114,IF(A114='Données projet'!$A$140,'Données projet'!$B$140,CT113+CS114-DB113)))</f>
        <v>311.7999999999999</v>
      </c>
      <c r="CU114" s="17">
        <f>CT114*VLOOKUP('Données projet'!$B$13,Paramètres!$A$1:$I$89,3,0)*VLOOKUP('Données projet'!$B$13,Paramètres!$A$1:$I$89,5,0)</f>
        <v>282.1166399999999</v>
      </c>
      <c r="CV114" s="13">
        <f t="shared" si="95"/>
        <v>67.414119514142243</v>
      </c>
      <c r="CW114" s="20">
        <f t="shared" si="67"/>
        <v>608.76607282046416</v>
      </c>
      <c r="CX114" s="59">
        <f t="shared" si="68"/>
        <v>902.09940615379742</v>
      </c>
      <c r="CY114" s="59">
        <f ca="1">AVERAGE(OFFSET($CX$3,0,0,'Données projet'!$E$13+1,1))-AVERAGE(OFFSET($H$3,0,0,'Données projet'!$E$13+1,1))</f>
        <v>439.19854273764042</v>
      </c>
      <c r="CZ114" s="59">
        <f t="shared" si="96"/>
        <v>278.21741231699929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97.175894637528074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97.175894637528074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4.8</v>
      </c>
      <c r="DO114" s="12">
        <f>IF('Données projet'!$A$166&gt;35,DO113+DN114-DW113,IF(A114&lt;'Données projet'!$A$166,$DL$205^A114,IF(A114='Données projet'!$A$166,'Données projet'!$B$166,DO113+DN114-DW113)))</f>
        <v>311.7999999999999</v>
      </c>
      <c r="DP114" s="17">
        <f>DO114*VLOOKUP('Données projet'!$B$14,Paramètres!$A$1:$I$89,3,0)*VLOOKUP('Données projet'!$B$14,Paramètres!$A$1:$I$89,5,0)</f>
        <v>262.66031999999996</v>
      </c>
      <c r="DQ114" s="13">
        <f t="shared" si="97"/>
        <v>63.289114259938891</v>
      </c>
      <c r="DR114" s="20">
        <f t="shared" si="70"/>
        <v>567.6952646693934</v>
      </c>
      <c r="DS114" s="59">
        <f t="shared" si="71"/>
        <v>861.02859800272677</v>
      </c>
      <c r="DT114" s="59">
        <f ca="1">AVERAGE(OFFSET($DS$3,0,0,'Données projet'!$E$14+1,1))-AVERAGE(OFFSET($H$3,0,0,'Données projet'!$E$14+1,1))</f>
        <v>411.72284844766</v>
      </c>
      <c r="DU114" s="59">
        <f t="shared" si="98"/>
        <v>261.95434270986397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90.474108800457174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90.474108800457174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636.99999999999977</v>
      </c>
      <c r="EK114" s="17">
        <f>EJ114*VLOOKUP('Données projet'!$B$15,Paramètres!$A$1:$I$89,3,0)*VLOOKUP('Données projet'!$B$15,Paramètres!$A$1:$I$89,5,0)</f>
        <v>356.08299999999991</v>
      </c>
      <c r="EL114" s="13">
        <f t="shared" si="99"/>
        <v>82.813805255716545</v>
      </c>
      <c r="EM114" s="20">
        <f t="shared" si="73"/>
        <v>764.41193582037283</v>
      </c>
      <c r="EN114" s="59">
        <f t="shared" si="74"/>
        <v>1057.7452691537062</v>
      </c>
      <c r="EO114" s="59">
        <f ca="1">AVERAGE(OFFSET($EN$3,0,0,'Données projet'!$E$15+1,1))-AVERAGE(OFFSET($H$3,0,0,'Données projet'!$E$15+1,1))</f>
        <v>443.34220761968419</v>
      </c>
      <c r="EP114" s="59">
        <f t="shared" si="100"/>
        <v>546.58234447298014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35.594832118779962</v>
      </c>
      <c r="EW114" s="21">
        <f>EXP(-LN(2)/25)*EW113+(1-EXP(-LN(2)/25))/(LN(2)/25)*Calculateur!ER114*Calculateur!ET114*VLOOKUP('Données projet'!$B$15,Paramètres!$A$1:$I$89,3,0)*0.475*44/12</f>
        <v>2.3219136761265435</v>
      </c>
      <c r="EX114" s="21">
        <f>EXP(-LN(2)/2)*EX113+(1-EXP(-LN(2)/2))/(LN(2)/2)*ER114*EU114*VLOOKUP('Données projet'!$B$15,Paramètres!$A$1:$I$89,3,0)*0.475*44/12</f>
        <v>3.8855391873237196E-12</v>
      </c>
      <c r="EY114" s="22">
        <f t="shared" si="75"/>
        <v>37.916745794910391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224.00000000000006</v>
      </c>
      <c r="O115" s="13">
        <f>N115*VLOOKUP('Données projet'!$B$9,Paramètres!$A$1:$I$89,3,0)*VLOOKUP('Données projet'!$B$9,Paramètres!$A$1:$I$89,5,0)</f>
        <v>195.68640000000008</v>
      </c>
      <c r="P115" s="13">
        <f t="shared" si="87"/>
        <v>48.794969360985156</v>
      </c>
      <c r="Q115" s="20">
        <f t="shared" si="107"/>
        <v>425.8050516370493</v>
      </c>
      <c r="R115" s="59">
        <f t="shared" si="55"/>
        <v>719.13838497038262</v>
      </c>
      <c r="S115" s="59">
        <f ca="1">AVERAGE(OFFSET($R$3,0,0,'Données projet'!$E$9+1,1))-AVERAGE(OFFSET($H$3,0,0,'Données projet'!$E$9+1,1))</f>
        <v>304.32767345253382</v>
      </c>
      <c r="T115" s="59">
        <f t="shared" si="88"/>
        <v>427.16091343339173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22.502802441371323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22.502802441371323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367.99999999999972</v>
      </c>
      <c r="AJ115" s="13">
        <f>AI115*VLOOKUP('Données projet'!$B$10,Paramètres!$A$1:$I$89,3,0)*VLOOKUP('Données projet'!$B$10,Paramètres!$A$1:$I$89,5,0)</f>
        <v>292.78079999999977</v>
      </c>
      <c r="AK115" s="13">
        <f t="shared" si="89"/>
        <v>69.660903052386217</v>
      </c>
      <c r="AL115" s="20">
        <f t="shared" si="58"/>
        <v>631.25263281623893</v>
      </c>
      <c r="AM115" s="59">
        <f t="shared" si="59"/>
        <v>924.58596614957219</v>
      </c>
      <c r="AN115" s="59">
        <f ca="1">AVERAGE(OFFSET($AM$3,0,0,'Données projet'!$E$10+1,1))-AVERAGE(OFFSET($H$3,0,0,'Données projet'!$E$10+1,1))</f>
        <v>405.40026823646758</v>
      </c>
      <c r="AO115" s="59">
        <f t="shared" si="90"/>
        <v>393.0787141050053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32.702706193912029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32.702706193912029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739.99999999999966</v>
      </c>
      <c r="BE115" s="13">
        <f>BD115*VLOOKUP('Données projet'!$B$11,Paramètres!$A$1:$I$89,3,0)*VLOOKUP('Données projet'!$B$11,Paramètres!$A$1:$I$89,5,0)</f>
        <v>413.65999999999985</v>
      </c>
      <c r="BF115" s="13">
        <f t="shared" si="91"/>
        <v>94.540585122244352</v>
      </c>
      <c r="BG115" s="20">
        <f t="shared" si="61"/>
        <v>885.11601908790863</v>
      </c>
      <c r="BH115" s="59">
        <f t="shared" si="62"/>
        <v>1178.4493524212419</v>
      </c>
      <c r="BI115" s="59">
        <f ca="1">AVERAGE(OFFSET($BH$3,0,0,'Données projet'!$E$11+1,1))-AVERAGE(OFFSET($H$3,0,0,'Données projet'!$E$11+1,1))</f>
        <v>555.15881087162279</v>
      </c>
      <c r="BJ115" s="59">
        <f t="shared" si="92"/>
        <v>668.20427590250733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44.096957627684013</v>
      </c>
      <c r="BQ115" s="21">
        <f>EXP(-LN(2)/25)*BQ114+(1-EXP(-LN(2)/25))/(LN(2)/25)*Calculateur!BL115*Calculateur!BN115*VLOOKUP('Données projet'!$B$11,Paramètres!$A$1:$I$89,3,0)*0.475*44/12</f>
        <v>5.9485563975485354</v>
      </c>
      <c r="BR115" s="21">
        <f>EXP(-LN(2)/2)*BR114+(1-EXP(-LN(2)/2))/(LN(2)/2)*BL115*BO115*VLOOKUP('Données projet'!$B$11,Paramètres!$A$1:$I$89,3,0)*0.475*44/12</f>
        <v>3.8675505799750006E-13</v>
      </c>
      <c r="BS115" s="22">
        <f t="shared" si="63"/>
        <v>50.045514025232933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367.99999999999972</v>
      </c>
      <c r="BZ115" s="13">
        <f>BY115*VLOOKUP('Données projet'!$B$12,Paramètres!$A$1:$I$89,3,0)*VLOOKUP('Données projet'!$B$12,Paramètres!$A$1:$I$89,5,0)</f>
        <v>241.11359999999982</v>
      </c>
      <c r="CA115" s="13">
        <f t="shared" si="93"/>
        <v>58.6790623558988</v>
      </c>
      <c r="CB115" s="20">
        <f t="shared" si="64"/>
        <v>522.13888693652348</v>
      </c>
      <c r="CC115" s="59">
        <f t="shared" si="65"/>
        <v>815.47222026985673</v>
      </c>
      <c r="CD115" s="59">
        <f ca="1">AVERAGE(OFFSET($CC$3,0,0,'Données projet'!$E$12+1,1))-AVERAGE(OFFSET($H$3,0,0,'Données projet'!$E$12+1,1))</f>
        <v>340.49092994349405</v>
      </c>
      <c r="CE115" s="59">
        <f t="shared" si="94"/>
        <v>331.54434271908832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21.850198811026683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21.850198811026683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4.8</v>
      </c>
      <c r="CT115" s="12">
        <f>IF('Données projet'!$A$140&gt;35,CT114+CS115-DB114,IF(A115&lt;'Données projet'!$A$140,$CQ$205^A115,IF(A115='Données projet'!$A$140,'Données projet'!$B$140,CT114+CS115-DB114)))</f>
        <v>316.59999999999991</v>
      </c>
      <c r="CU115" s="17">
        <f>CT115*VLOOKUP('Données projet'!$B$13,Paramètres!$A$1:$I$89,3,0)*VLOOKUP('Données projet'!$B$13,Paramètres!$A$1:$I$89,5,0)</f>
        <v>286.45967999999988</v>
      </c>
      <c r="CV115" s="13">
        <f t="shared" si="95"/>
        <v>68.330307577101138</v>
      </c>
      <c r="CW115" s="20">
        <f t="shared" si="67"/>
        <v>617.92589503011754</v>
      </c>
      <c r="CX115" s="59">
        <f t="shared" si="68"/>
        <v>911.2592283634508</v>
      </c>
      <c r="CY115" s="59">
        <f ca="1">AVERAGE(OFFSET($CX$3,0,0,'Données projet'!$E$13+1,1))-AVERAGE(OFFSET($H$3,0,0,'Données projet'!$E$13+1,1))</f>
        <v>439.19854273764042</v>
      </c>
      <c r="CZ115" s="59">
        <f t="shared" si="96"/>
        <v>278.21741231699929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95.270334615129315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95.270334615129315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4.8</v>
      </c>
      <c r="DO115" s="12">
        <f>IF('Données projet'!$A$166&gt;35,DO114+DN115-DW114,IF(A115&lt;'Données projet'!$A$166,$DL$205^A115,IF(A115='Données projet'!$A$166,'Données projet'!$B$166,DO114+DN115-DW114)))</f>
        <v>316.59999999999991</v>
      </c>
      <c r="DP115" s="17">
        <f>DO115*VLOOKUP('Données projet'!$B$14,Paramètres!$A$1:$I$89,3,0)*VLOOKUP('Données projet'!$B$14,Paramètres!$A$1:$I$89,5,0)</f>
        <v>266.70383999999996</v>
      </c>
      <c r="DQ115" s="13">
        <f t="shared" si="97"/>
        <v>64.14924165488371</v>
      </c>
      <c r="DR115" s="20">
        <f t="shared" si="70"/>
        <v>576.23578388225576</v>
      </c>
      <c r="DS115" s="59">
        <f t="shared" si="71"/>
        <v>869.56911721558913</v>
      </c>
      <c r="DT115" s="59">
        <f ca="1">AVERAGE(OFFSET($DS$3,0,0,'Données projet'!$E$14+1,1))-AVERAGE(OFFSET($H$3,0,0,'Données projet'!$E$14+1,1))</f>
        <v>411.72284844766</v>
      </c>
      <c r="DU115" s="59">
        <f t="shared" si="98"/>
        <v>261.95434270986397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88.699966710637639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88.699966710637639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636.99999999999977</v>
      </c>
      <c r="EK115" s="17">
        <f>EJ115*VLOOKUP('Données projet'!$B$15,Paramètres!$A$1:$I$89,3,0)*VLOOKUP('Données projet'!$B$15,Paramètres!$A$1:$I$89,5,0)</f>
        <v>356.08299999999991</v>
      </c>
      <c r="EL115" s="13">
        <f t="shared" si="99"/>
        <v>82.813805255716545</v>
      </c>
      <c r="EM115" s="20">
        <f t="shared" si="73"/>
        <v>764.41193582037283</v>
      </c>
      <c r="EN115" s="59">
        <f t="shared" si="74"/>
        <v>1057.7452691537062</v>
      </c>
      <c r="EO115" s="59">
        <f ca="1">AVERAGE(OFFSET($EN$3,0,0,'Données projet'!$E$15+1,1))-AVERAGE(OFFSET($H$3,0,0,'Données projet'!$E$15+1,1))</f>
        <v>443.34220761968419</v>
      </c>
      <c r="EP115" s="59">
        <f t="shared" si="100"/>
        <v>546.58234447298014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34.896839171634525</v>
      </c>
      <c r="EW115" s="21">
        <f>EXP(-LN(2)/25)*EW114+(1-EXP(-LN(2)/25))/(LN(2)/25)*Calculateur!ER115*Calculateur!ET115*VLOOKUP('Données projet'!$B$15,Paramètres!$A$1:$I$89,3,0)*0.475*44/12</f>
        <v>2.2584208245487298</v>
      </c>
      <c r="EX115" s="21">
        <f>EXP(-LN(2)/2)*EX114+(1-EXP(-LN(2)/2))/(LN(2)/2)*ER115*EU115*VLOOKUP('Données projet'!$B$15,Paramètres!$A$1:$I$89,3,0)*0.475*44/12</f>
        <v>2.7474911079226691E-12</v>
      </c>
      <c r="EY115" s="22">
        <f t="shared" si="75"/>
        <v>37.155259996186004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224.00000000000006</v>
      </c>
      <c r="O116" s="13">
        <f>N116*VLOOKUP('Données projet'!$B$9,Paramètres!$A$1:$I$89,3,0)*VLOOKUP('Données projet'!$B$9,Paramètres!$A$1:$I$89,5,0)</f>
        <v>195.68640000000008</v>
      </c>
      <c r="P116" s="13">
        <f t="shared" si="87"/>
        <v>48.794969360985156</v>
      </c>
      <c r="Q116" s="20">
        <f t="shared" si="107"/>
        <v>425.8050516370493</v>
      </c>
      <c r="R116" s="59">
        <f t="shared" si="55"/>
        <v>719.13838497038262</v>
      </c>
      <c r="S116" s="59">
        <f ca="1">AVERAGE(OFFSET($R$3,0,0,'Données projet'!$E$9+1,1))-AVERAGE(OFFSET($H$3,0,0,'Données projet'!$E$9+1,1))</f>
        <v>304.32767345253382</v>
      </c>
      <c r="T116" s="59">
        <f t="shared" si="88"/>
        <v>427.16091343339173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22.061536210850253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22.061536210850253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367.99999999999972</v>
      </c>
      <c r="AJ116" s="13">
        <f>AI116*VLOOKUP('Données projet'!$B$10,Paramètres!$A$1:$I$89,3,0)*VLOOKUP('Données projet'!$B$10,Paramètres!$A$1:$I$89,5,0)</f>
        <v>292.78079999999977</v>
      </c>
      <c r="AK116" s="13">
        <f t="shared" si="89"/>
        <v>69.660903052386217</v>
      </c>
      <c r="AL116" s="20">
        <f t="shared" si="58"/>
        <v>631.25263281623893</v>
      </c>
      <c r="AM116" s="59">
        <f t="shared" si="59"/>
        <v>924.58596614957219</v>
      </c>
      <c r="AN116" s="59">
        <f ca="1">AVERAGE(OFFSET($AM$3,0,0,'Données projet'!$E$10+1,1))-AVERAGE(OFFSET($H$3,0,0,'Données projet'!$E$10+1,1))</f>
        <v>405.40026823646758</v>
      </c>
      <c r="AO116" s="59">
        <f t="shared" si="90"/>
        <v>393.0787141050053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32.061426072130622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32.061426072130622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739.99999999999966</v>
      </c>
      <c r="BE116" s="13">
        <f>BD116*VLOOKUP('Données projet'!$B$11,Paramètres!$A$1:$I$89,3,0)*VLOOKUP('Données projet'!$B$11,Paramètres!$A$1:$I$89,5,0)</f>
        <v>413.65999999999985</v>
      </c>
      <c r="BF116" s="13">
        <f t="shared" si="91"/>
        <v>94.540585122244352</v>
      </c>
      <c r="BG116" s="20">
        <f t="shared" si="61"/>
        <v>885.11601908790863</v>
      </c>
      <c r="BH116" s="59">
        <f t="shared" si="62"/>
        <v>1178.4493524212419</v>
      </c>
      <c r="BI116" s="59">
        <f ca="1">AVERAGE(OFFSET($BH$3,0,0,'Données projet'!$E$11+1,1))-AVERAGE(OFFSET($H$3,0,0,'Données projet'!$E$11+1,1))</f>
        <v>555.15881087162279</v>
      </c>
      <c r="BJ116" s="59">
        <f t="shared" si="92"/>
        <v>668.20427590250733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43.232243185093473</v>
      </c>
      <c r="BQ116" s="21">
        <f>EXP(-LN(2)/25)*BQ115+(1-EXP(-LN(2)/25))/(LN(2)/25)*Calculateur!BL116*Calculateur!BN116*VLOOKUP('Données projet'!$B$11,Paramètres!$A$1:$I$89,3,0)*0.475*44/12</f>
        <v>5.785892810036585</v>
      </c>
      <c r="BR116" s="21">
        <f>EXP(-LN(2)/2)*BR115+(1-EXP(-LN(2)/2))/(LN(2)/2)*BL116*BO116*VLOOKUP('Données projet'!$B$11,Paramètres!$A$1:$I$89,3,0)*0.475*44/12</f>
        <v>2.7347712416822877E-13</v>
      </c>
      <c r="BS116" s="22">
        <f t="shared" si="63"/>
        <v>49.018135995130329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367.99999999999972</v>
      </c>
      <c r="BZ116" s="13">
        <f>BY116*VLOOKUP('Données projet'!$B$12,Paramètres!$A$1:$I$89,3,0)*VLOOKUP('Données projet'!$B$12,Paramètres!$A$1:$I$89,5,0)</f>
        <v>241.11359999999982</v>
      </c>
      <c r="CA116" s="13">
        <f t="shared" si="93"/>
        <v>58.6790623558988</v>
      </c>
      <c r="CB116" s="20">
        <f t="shared" si="64"/>
        <v>522.13888693652348</v>
      </c>
      <c r="CC116" s="59">
        <f t="shared" si="65"/>
        <v>815.47222026985673</v>
      </c>
      <c r="CD116" s="59">
        <f ca="1">AVERAGE(OFFSET($CC$3,0,0,'Données projet'!$E$12+1,1))-AVERAGE(OFFSET($H$3,0,0,'Données projet'!$E$12+1,1))</f>
        <v>340.49092994349405</v>
      </c>
      <c r="CE116" s="59">
        <f t="shared" si="94"/>
        <v>331.54434271908832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21.421729739647763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21.421729739647763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4.8</v>
      </c>
      <c r="CT116" s="12">
        <f>IF('Données projet'!$A$140&gt;35,CT115+CS116-DB115,IF(A116&lt;'Données projet'!$A$140,$CQ$205^A116,IF(A116='Données projet'!$A$140,'Données projet'!$B$140,CT115+CS116-DB115)))</f>
        <v>321.39999999999992</v>
      </c>
      <c r="CU116" s="17">
        <f>CT116*VLOOKUP('Données projet'!$B$13,Paramètres!$A$1:$I$89,3,0)*VLOOKUP('Données projet'!$B$13,Paramètres!$A$1:$I$89,5,0)</f>
        <v>290.80271999999991</v>
      </c>
      <c r="CV116" s="13">
        <f t="shared" si="95"/>
        <v>69.244880157128961</v>
      </c>
      <c r="CW116" s="20">
        <f t="shared" si="67"/>
        <v>627.08290360699937</v>
      </c>
      <c r="CX116" s="59">
        <f t="shared" si="68"/>
        <v>920.41623694033274</v>
      </c>
      <c r="CY116" s="59">
        <f ca="1">AVERAGE(OFFSET($CX$3,0,0,'Données projet'!$E$13+1,1))-AVERAGE(OFFSET($H$3,0,0,'Données projet'!$E$13+1,1))</f>
        <v>439.19854273764042</v>
      </c>
      <c r="CZ116" s="59">
        <f t="shared" si="96"/>
        <v>278.21741231699929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93.402141462492935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93.402141462492935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4.8</v>
      </c>
      <c r="DO116" s="12">
        <f>IF('Données projet'!$A$166&gt;35,DO115+DN116-DW115,IF(A116&lt;'Données projet'!$A$166,$DL$205^A116,IF(A116='Données projet'!$A$166,'Données projet'!$B$166,DO115+DN116-DW115)))</f>
        <v>321.39999999999992</v>
      </c>
      <c r="DP116" s="17">
        <f>DO116*VLOOKUP('Données projet'!$B$14,Paramètres!$A$1:$I$89,3,0)*VLOOKUP('Données projet'!$B$14,Paramètres!$A$1:$I$89,5,0)</f>
        <v>270.74735999999996</v>
      </c>
      <c r="DQ116" s="13">
        <f t="shared" si="97"/>
        <v>65.007852416747113</v>
      </c>
      <c r="DR116" s="20">
        <f t="shared" si="70"/>
        <v>584.77366162583451</v>
      </c>
      <c r="DS116" s="59">
        <f t="shared" si="71"/>
        <v>878.10699495916788</v>
      </c>
      <c r="DT116" s="59">
        <f ca="1">AVERAGE(OFFSET($DS$3,0,0,'Données projet'!$E$14+1,1))-AVERAGE(OFFSET($H$3,0,0,'Données projet'!$E$14+1,1))</f>
        <v>411.72284844766</v>
      </c>
      <c r="DU116" s="59">
        <f t="shared" si="98"/>
        <v>261.95434270986397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86.96061446507963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86.96061446507963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636.99999999999977</v>
      </c>
      <c r="EK116" s="17">
        <f>EJ116*VLOOKUP('Données projet'!$B$15,Paramètres!$A$1:$I$89,3,0)*VLOOKUP('Données projet'!$B$15,Paramètres!$A$1:$I$89,5,0)</f>
        <v>356.08299999999991</v>
      </c>
      <c r="EL116" s="13">
        <f t="shared" si="99"/>
        <v>82.813805255716545</v>
      </c>
      <c r="EM116" s="20">
        <f t="shared" si="73"/>
        <v>764.41193582037283</v>
      </c>
      <c r="EN116" s="59">
        <f t="shared" si="74"/>
        <v>1057.7452691537062</v>
      </c>
      <c r="EO116" s="59">
        <f ca="1">AVERAGE(OFFSET($EN$3,0,0,'Données projet'!$E$15+1,1))-AVERAGE(OFFSET($H$3,0,0,'Données projet'!$E$15+1,1))</f>
        <v>443.34220761968419</v>
      </c>
      <c r="EP116" s="59">
        <f t="shared" si="100"/>
        <v>546.58234447298014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34.212533440448951</v>
      </c>
      <c r="EW116" s="21">
        <f>EXP(-LN(2)/25)*EW115+(1-EXP(-LN(2)/25))/(LN(2)/25)*Calculateur!ER116*Calculateur!ET116*VLOOKUP('Données projet'!$B$15,Paramètres!$A$1:$I$89,3,0)*0.475*44/12</f>
        <v>2.1966641883362552</v>
      </c>
      <c r="EX116" s="21">
        <f>EXP(-LN(2)/2)*EX115+(1-EXP(-LN(2)/2))/(LN(2)/2)*ER116*EU116*VLOOKUP('Données projet'!$B$15,Paramètres!$A$1:$I$89,3,0)*0.475*44/12</f>
        <v>1.9427695936618598E-12</v>
      </c>
      <c r="EY116" s="22">
        <f t="shared" si="75"/>
        <v>36.409197628787147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224.00000000000006</v>
      </c>
      <c r="O117" s="13">
        <f>N117*VLOOKUP('Données projet'!$B$9,Paramètres!$A$1:$I$89,3,0)*VLOOKUP('Données projet'!$B$9,Paramètres!$A$1:$I$89,5,0)</f>
        <v>195.68640000000008</v>
      </c>
      <c r="P117" s="13">
        <f t="shared" si="87"/>
        <v>48.794969360985156</v>
      </c>
      <c r="Q117" s="20">
        <f t="shared" si="107"/>
        <v>425.8050516370493</v>
      </c>
      <c r="R117" s="59">
        <f t="shared" si="55"/>
        <v>719.13838497038262</v>
      </c>
      <c r="S117" s="59">
        <f ca="1">AVERAGE(OFFSET($R$3,0,0,'Données projet'!$E$9+1,1))-AVERAGE(OFFSET($H$3,0,0,'Données projet'!$E$9+1,1))</f>
        <v>304.32767345253382</v>
      </c>
      <c r="T117" s="59">
        <f t="shared" si="88"/>
        <v>427.16091343339173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21.628922941963879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21.628922941963879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367.99999999999972</v>
      </c>
      <c r="AJ117" s="13">
        <f>AI117*VLOOKUP('Données projet'!$B$10,Paramètres!$A$1:$I$89,3,0)*VLOOKUP('Données projet'!$B$10,Paramètres!$A$1:$I$89,5,0)</f>
        <v>292.78079999999977</v>
      </c>
      <c r="AK117" s="13">
        <f t="shared" si="89"/>
        <v>69.660903052386217</v>
      </c>
      <c r="AL117" s="20">
        <f t="shared" si="58"/>
        <v>631.25263281623893</v>
      </c>
      <c r="AM117" s="59">
        <f t="shared" si="59"/>
        <v>924.58596614957219</v>
      </c>
      <c r="AN117" s="59">
        <f ca="1">AVERAGE(OFFSET($AM$3,0,0,'Données projet'!$E$10+1,1))-AVERAGE(OFFSET($H$3,0,0,'Données projet'!$E$10+1,1))</f>
        <v>405.40026823646758</v>
      </c>
      <c r="AO117" s="59">
        <f t="shared" si="90"/>
        <v>393.0787141050053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31.432721062395096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31.432721062395096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739.99999999999966</v>
      </c>
      <c r="BE117" s="13">
        <f>BD117*VLOOKUP('Données projet'!$B$11,Paramètres!$A$1:$I$89,3,0)*VLOOKUP('Données projet'!$B$11,Paramètres!$A$1:$I$89,5,0)</f>
        <v>413.65999999999985</v>
      </c>
      <c r="BF117" s="13">
        <f t="shared" si="91"/>
        <v>94.540585122244352</v>
      </c>
      <c r="BG117" s="20">
        <f t="shared" si="61"/>
        <v>885.11601908790863</v>
      </c>
      <c r="BH117" s="59">
        <f t="shared" si="62"/>
        <v>1178.4493524212419</v>
      </c>
      <c r="BI117" s="59">
        <f ca="1">AVERAGE(OFFSET($BH$3,0,0,'Données projet'!$E$11+1,1))-AVERAGE(OFFSET($H$3,0,0,'Données projet'!$E$11+1,1))</f>
        <v>555.15881087162279</v>
      </c>
      <c r="BJ117" s="59">
        <f t="shared" si="92"/>
        <v>668.20427590250733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42.384485265298402</v>
      </c>
      <c r="BQ117" s="21">
        <f>EXP(-LN(2)/25)*BQ116+(1-EXP(-LN(2)/25))/(LN(2)/25)*Calculateur!BL117*Calculateur!BN117*VLOOKUP('Données projet'!$B$11,Paramètres!$A$1:$I$89,3,0)*0.475*44/12</f>
        <v>5.6276772668792558</v>
      </c>
      <c r="BR117" s="21">
        <f>EXP(-LN(2)/2)*BR116+(1-EXP(-LN(2)/2))/(LN(2)/2)*BL117*BO117*VLOOKUP('Données projet'!$B$11,Paramètres!$A$1:$I$89,3,0)*0.475*44/12</f>
        <v>1.9337752899875003E-13</v>
      </c>
      <c r="BS117" s="22">
        <f t="shared" si="63"/>
        <v>48.012162532177847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367.99999999999972</v>
      </c>
      <c r="BZ117" s="13">
        <f>BY117*VLOOKUP('Données projet'!$B$12,Paramètres!$A$1:$I$89,3,0)*VLOOKUP('Données projet'!$B$12,Paramètres!$A$1:$I$89,5,0)</f>
        <v>241.11359999999982</v>
      </c>
      <c r="CA117" s="13">
        <f t="shared" si="93"/>
        <v>58.6790623558988</v>
      </c>
      <c r="CB117" s="20">
        <f t="shared" si="64"/>
        <v>522.13888693652348</v>
      </c>
      <c r="CC117" s="59">
        <f t="shared" si="65"/>
        <v>815.47222026985673</v>
      </c>
      <c r="CD117" s="59">
        <f ca="1">AVERAGE(OFFSET($CC$3,0,0,'Données projet'!$E$12+1,1))-AVERAGE(OFFSET($H$3,0,0,'Données projet'!$E$12+1,1))</f>
        <v>340.49092994349405</v>
      </c>
      <c r="CE117" s="59">
        <f t="shared" si="94"/>
        <v>331.54434271908832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21.001662685418253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21.001662685418253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4.8</v>
      </c>
      <c r="CT117" s="12">
        <f>IF('Données projet'!$A$140&gt;35,CT116+CS117-DB116,IF(A117&lt;'Données projet'!$A$140,$CQ$205^A117,IF(A117='Données projet'!$A$140,'Données projet'!$B$140,CT116+CS117-DB116)))</f>
        <v>326.19999999999993</v>
      </c>
      <c r="CU117" s="17">
        <f>CT117*VLOOKUP('Données projet'!$B$13,Paramètres!$A$1:$I$89,3,0)*VLOOKUP('Données projet'!$B$13,Paramètres!$A$1:$I$89,5,0)</f>
        <v>295.14575999999994</v>
      </c>
      <c r="CV117" s="13">
        <f t="shared" si="95"/>
        <v>70.157864167878188</v>
      </c>
      <c r="CW117" s="20">
        <f t="shared" si="67"/>
        <v>636.237145425721</v>
      </c>
      <c r="CX117" s="59">
        <f t="shared" si="68"/>
        <v>929.57047875905437</v>
      </c>
      <c r="CY117" s="59">
        <f ca="1">AVERAGE(OFFSET($CX$3,0,0,'Données projet'!$E$13+1,1))-AVERAGE(OFFSET($H$3,0,0,'Données projet'!$E$13+1,1))</f>
        <v>439.19854273764042</v>
      </c>
      <c r="CZ117" s="59">
        <f t="shared" si="96"/>
        <v>278.21741231699929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91.570582438094448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91.570582438094448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4.8</v>
      </c>
      <c r="DO117" s="12">
        <f>IF('Données projet'!$A$166&gt;35,DO116+DN117-DW116,IF(A117&lt;'Données projet'!$A$166,$DL$205^A117,IF(A117='Données projet'!$A$166,'Données projet'!$B$166,DO116+DN117-DW116)))</f>
        <v>326.19999999999993</v>
      </c>
      <c r="DP117" s="17">
        <f>DO117*VLOOKUP('Données projet'!$B$14,Paramètres!$A$1:$I$89,3,0)*VLOOKUP('Données projet'!$B$14,Paramètres!$A$1:$I$89,5,0)</f>
        <v>274.79087999999996</v>
      </c>
      <c r="DQ117" s="13">
        <f t="shared" si="97"/>
        <v>65.86497181236102</v>
      </c>
      <c r="DR117" s="20">
        <f t="shared" si="70"/>
        <v>593.30894190652873</v>
      </c>
      <c r="DS117" s="59">
        <f t="shared" si="71"/>
        <v>886.6422752398621</v>
      </c>
      <c r="DT117" s="59">
        <f ca="1">AVERAGE(OFFSET($DS$3,0,0,'Données projet'!$E$14+1,1))-AVERAGE(OFFSET($H$3,0,0,'Données projet'!$E$14+1,1))</f>
        <v>411.72284844766</v>
      </c>
      <c r="DU117" s="59">
        <f t="shared" si="98"/>
        <v>261.95434270986397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85.255369856156904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85.255369856156904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636.99999999999977</v>
      </c>
      <c r="EK117" s="17">
        <f>EJ117*VLOOKUP('Données projet'!$B$15,Paramètres!$A$1:$I$89,3,0)*VLOOKUP('Données projet'!$B$15,Paramètres!$A$1:$I$89,5,0)</f>
        <v>356.08299999999991</v>
      </c>
      <c r="EL117" s="13">
        <f t="shared" si="99"/>
        <v>82.813805255716545</v>
      </c>
      <c r="EM117" s="20">
        <f t="shared" si="73"/>
        <v>764.41193582037283</v>
      </c>
      <c r="EN117" s="59">
        <f t="shared" si="74"/>
        <v>1057.7452691537062</v>
      </c>
      <c r="EO117" s="59">
        <f ca="1">AVERAGE(OFFSET($EN$3,0,0,'Données projet'!$E$15+1,1))-AVERAGE(OFFSET($H$3,0,0,'Données projet'!$E$15+1,1))</f>
        <v>443.34220761968419</v>
      </c>
      <c r="EP117" s="59">
        <f t="shared" si="100"/>
        <v>546.58234447298014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33.541646527266643</v>
      </c>
      <c r="EW117" s="21">
        <f>EXP(-LN(2)/25)*EW116+(1-EXP(-LN(2)/25))/(LN(2)/25)*Calculateur!ER117*Calculateur!ET117*VLOOKUP('Données projet'!$B$15,Paramètres!$A$1:$I$89,3,0)*0.475*44/12</f>
        <v>2.1365962905886513</v>
      </c>
      <c r="EX117" s="21">
        <f>EXP(-LN(2)/2)*EX116+(1-EXP(-LN(2)/2))/(LN(2)/2)*ER117*EU117*VLOOKUP('Données projet'!$B$15,Paramètres!$A$1:$I$89,3,0)*0.475*44/12</f>
        <v>1.3737455539613346E-12</v>
      </c>
      <c r="EY117" s="22">
        <f t="shared" si="75"/>
        <v>35.678242817856663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224.00000000000006</v>
      </c>
      <c r="O118" s="13">
        <f>N118*VLOOKUP('Données projet'!$B$9,Paramètres!$A$1:$I$89,3,0)*VLOOKUP('Données projet'!$B$9,Paramètres!$A$1:$I$89,5,0)</f>
        <v>195.68640000000008</v>
      </c>
      <c r="P118" s="13">
        <f t="shared" si="87"/>
        <v>48.794969360985156</v>
      </c>
      <c r="Q118" s="20">
        <f t="shared" si="107"/>
        <v>425.8050516370493</v>
      </c>
      <c r="R118" s="59">
        <f t="shared" si="55"/>
        <v>719.13838497038262</v>
      </c>
      <c r="S118" s="59">
        <f ca="1">AVERAGE(OFFSET($R$3,0,0,'Données projet'!$E$9+1,1))-AVERAGE(OFFSET($H$3,0,0,'Données projet'!$E$9+1,1))</f>
        <v>304.32767345253382</v>
      </c>
      <c r="T118" s="59">
        <f t="shared" si="88"/>
        <v>427.16091343339173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21.204792955412326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21.204792955412326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367.99999999999972</v>
      </c>
      <c r="AJ118" s="13">
        <f>AI118*VLOOKUP('Données projet'!$B$10,Paramètres!$A$1:$I$89,3,0)*VLOOKUP('Données projet'!$B$10,Paramètres!$A$1:$I$89,5,0)</f>
        <v>292.78079999999977</v>
      </c>
      <c r="AK118" s="13">
        <f t="shared" si="89"/>
        <v>69.660903052386217</v>
      </c>
      <c r="AL118" s="20">
        <f t="shared" si="58"/>
        <v>631.25263281623893</v>
      </c>
      <c r="AM118" s="59">
        <f t="shared" si="59"/>
        <v>924.58596614957219</v>
      </c>
      <c r="AN118" s="59">
        <f ca="1">AVERAGE(OFFSET($AM$3,0,0,'Données projet'!$E$10+1,1))-AVERAGE(OFFSET($H$3,0,0,'Données projet'!$E$10+1,1))</f>
        <v>405.40026823646758</v>
      </c>
      <c r="AO118" s="59">
        <f t="shared" si="90"/>
        <v>393.0787141050053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30.816344574428292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30.816344574428292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739.99999999999966</v>
      </c>
      <c r="BE118" s="13">
        <f>BD118*VLOOKUP('Données projet'!$B$11,Paramètres!$A$1:$I$89,3,0)*VLOOKUP('Données projet'!$B$11,Paramètres!$A$1:$I$89,5,0)</f>
        <v>413.65999999999985</v>
      </c>
      <c r="BF118" s="13">
        <f t="shared" si="91"/>
        <v>94.540585122244352</v>
      </c>
      <c r="BG118" s="20">
        <f t="shared" si="61"/>
        <v>885.11601908790863</v>
      </c>
      <c r="BH118" s="59">
        <f t="shared" si="62"/>
        <v>1178.4493524212419</v>
      </c>
      <c r="BI118" s="59">
        <f ca="1">AVERAGE(OFFSET($BH$3,0,0,'Données projet'!$E$11+1,1))-AVERAGE(OFFSET($H$3,0,0,'Données projet'!$E$11+1,1))</f>
        <v>555.15881087162279</v>
      </c>
      <c r="BJ118" s="59">
        <f t="shared" si="92"/>
        <v>668.20427590250733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41.55335136122924</v>
      </c>
      <c r="BQ118" s="21">
        <f>EXP(-LN(2)/25)*BQ117+(1-EXP(-LN(2)/25))/(LN(2)/25)*Calculateur!BL118*Calculateur!BN118*VLOOKUP('Données projet'!$B$11,Paramètres!$A$1:$I$89,3,0)*0.475*44/12</f>
        <v>5.4737881360697571</v>
      </c>
      <c r="BR118" s="21">
        <f>EXP(-LN(2)/2)*BR117+(1-EXP(-LN(2)/2))/(LN(2)/2)*BL118*BO118*VLOOKUP('Données projet'!$B$11,Paramètres!$A$1:$I$89,3,0)*0.475*44/12</f>
        <v>1.3673856208411438E-13</v>
      </c>
      <c r="BS118" s="22">
        <f t="shared" si="63"/>
        <v>47.027139497299132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367.99999999999972</v>
      </c>
      <c r="BZ118" s="13">
        <f>BY118*VLOOKUP('Données projet'!$B$12,Paramètres!$A$1:$I$89,3,0)*VLOOKUP('Données projet'!$B$12,Paramètres!$A$1:$I$89,5,0)</f>
        <v>241.11359999999982</v>
      </c>
      <c r="CA118" s="13">
        <f t="shared" si="93"/>
        <v>58.6790623558988</v>
      </c>
      <c r="CB118" s="20">
        <f t="shared" si="64"/>
        <v>522.13888693652348</v>
      </c>
      <c r="CC118" s="59">
        <f t="shared" si="65"/>
        <v>815.47222026985673</v>
      </c>
      <c r="CD118" s="59">
        <f ca="1">AVERAGE(OFFSET($CC$3,0,0,'Données projet'!$E$12+1,1))-AVERAGE(OFFSET($H$3,0,0,'Données projet'!$E$12+1,1))</f>
        <v>340.49092994349405</v>
      </c>
      <c r="CE118" s="59">
        <f t="shared" si="94"/>
        <v>331.54434271908832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20.589832889906582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20.589832889906582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>
        <f>VLOOKUP(A118,'Données projet'!$A$139:$I$159,2,0)</f>
        <v>331</v>
      </c>
      <c r="CR118" s="12">
        <f>VLOOKUP(A118,'Données projet'!$A$139:$I$159,9,0)</f>
        <v>4.8</v>
      </c>
      <c r="CS118" s="12">
        <f t="array" ref="CS118">INDEX(CR:CR,MIN(IF(ISNUMBER(CR118:CR314),ROW(CR118:CR314),"")))</f>
        <v>4.8</v>
      </c>
      <c r="CT118" s="12">
        <f>IF('Données projet'!$A$140&gt;35,CT117+CS118-DB117,IF(A118&lt;'Données projet'!$A$140,$CQ$205^A118,IF(A118='Données projet'!$A$140,'Données projet'!$B$140,CT117+CS118-DB117)))</f>
        <v>330.99999999999994</v>
      </c>
      <c r="CU118" s="17">
        <f>CT118*VLOOKUP('Données projet'!$B$13,Paramètres!$A$1:$I$89,3,0)*VLOOKUP('Données projet'!$B$13,Paramètres!$A$1:$I$89,5,0)</f>
        <v>299.48879999999997</v>
      </c>
      <c r="CV118" s="13">
        <f t="shared" si="95"/>
        <v>71.069285685467293</v>
      </c>
      <c r="CW118" s="20">
        <f t="shared" si="67"/>
        <v>645.38866590218879</v>
      </c>
      <c r="CX118" s="59">
        <f t="shared" si="68"/>
        <v>938.72199923552216</v>
      </c>
      <c r="CY118" s="59">
        <f ca="1">AVERAGE(OFFSET($CX$3,0,0,'Données projet'!$E$13+1,1))-AVERAGE(OFFSET($H$3,0,0,'Données projet'!$E$13+1,1))</f>
        <v>439.19854273764042</v>
      </c>
      <c r="CZ118" s="59">
        <f t="shared" si="96"/>
        <v>278.21741231699929</v>
      </c>
      <c r="DA118" s="15">
        <f>IF(ISNA(VLOOKUP(A118,'Données projet'!$A$139:$I$159,3,0)),0,VLOOKUP(A118,'Données projet'!$A$139:$I$159,3,0))</f>
        <v>20</v>
      </c>
      <c r="DB118" s="15">
        <f>IF(ISNA(VLOOKUP(A118,'Données projet'!$A$139:$I$159,4,0)),0,VLOOKUP(A118,'Données projet'!$A$139:$I$159,4,0))</f>
        <v>24</v>
      </c>
      <c r="DC118" s="16">
        <f>IF(ISNA(VLOOKUP(A118,'Données projet'!$A$139:$I$159,5,0)),0%,VLOOKUP(A118,'Données projet'!$A$139:$I$159,5,0)*VLOOKUP('Données projet'!$B$13,Paramètres!$A$1:$I$89,7,0))</f>
        <v>0.43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100.09730863484631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100.09730863484631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>
        <f>VLOOKUP(A118,'Données projet'!$A$165:$I$185,2,0)</f>
        <v>331</v>
      </c>
      <c r="DM118" s="12">
        <f>VLOOKUP(A118,'Données projet'!$A$165:$I$185,9,0)</f>
        <v>4.8</v>
      </c>
      <c r="DN118" s="12">
        <f t="array" ref="DN118">INDEX(DM:DM,MIN(IF(ISNUMBER(DM118:DM314),ROW(DM118:DM314),"")))</f>
        <v>4.8</v>
      </c>
      <c r="DO118" s="12">
        <f>IF('Données projet'!$A$166&gt;35,DO117+DN118-DW117,IF(A118&lt;'Données projet'!$A$166,$DL$205^A118,IF(A118='Données projet'!$A$166,'Données projet'!$B$166,DO117+DN118-DW117)))</f>
        <v>330.99999999999994</v>
      </c>
      <c r="DP118" s="17">
        <f>DO118*VLOOKUP('Données projet'!$B$14,Paramètres!$A$1:$I$89,3,0)*VLOOKUP('Données projet'!$B$14,Paramètres!$A$1:$I$89,5,0)</f>
        <v>278.83439999999996</v>
      </c>
      <c r="DQ118" s="13">
        <f t="shared" si="97"/>
        <v>66.720624322271249</v>
      </c>
      <c r="DR118" s="20">
        <f t="shared" si="70"/>
        <v>601.84166736128896</v>
      </c>
      <c r="DS118" s="59">
        <f t="shared" si="71"/>
        <v>895.17500069462221</v>
      </c>
      <c r="DT118" s="59">
        <f ca="1">AVERAGE(OFFSET($DS$3,0,0,'Données projet'!$E$14+1,1))-AVERAGE(OFFSET($H$3,0,0,'Données projet'!$E$14+1,1))</f>
        <v>411.72284844766</v>
      </c>
      <c r="DU118" s="59">
        <f t="shared" si="98"/>
        <v>261.95434270986397</v>
      </c>
      <c r="DV118" s="15">
        <f>IF(ISNA(VLOOKUP(A118,'Données projet'!$A$165:$I$185,3,0)),0,VLOOKUP(A118,'Données projet'!$A$165:$I$185,3,0))</f>
        <v>20</v>
      </c>
      <c r="DW118" s="15">
        <f>IF(ISNA(VLOOKUP(A118,'Données projet'!$A$165:$I$185,4,0)),0,VLOOKUP(A118,'Données projet'!$A$165:$I$185,4,0))</f>
        <v>24</v>
      </c>
      <c r="DX118" s="16">
        <f>IF(ISNA(VLOOKUP(A118,'Données projet'!$A$165:$I$185,5,0)),0%,VLOOKUP(A118,'Données projet'!$A$165:$I$185,5,0)*VLOOKUP('Données projet'!$B$14,Paramètres!$A$1:$I$89,7,0))</f>
        <v>0.43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93.194045970374148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93.194045970374148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636.99999999999977</v>
      </c>
      <c r="EK118" s="17">
        <f>EJ118*VLOOKUP('Données projet'!$B$15,Paramètres!$A$1:$I$89,3,0)*VLOOKUP('Données projet'!$B$15,Paramètres!$A$1:$I$89,5,0)</f>
        <v>356.08299999999991</v>
      </c>
      <c r="EL118" s="13">
        <f t="shared" si="99"/>
        <v>82.813805255716545</v>
      </c>
      <c r="EM118" s="20">
        <f t="shared" si="73"/>
        <v>764.41193582037283</v>
      </c>
      <c r="EN118" s="59">
        <f t="shared" si="74"/>
        <v>1057.7452691537062</v>
      </c>
      <c r="EO118" s="59">
        <f ca="1">AVERAGE(OFFSET($EN$3,0,0,'Données projet'!$E$15+1,1))-AVERAGE(OFFSET($H$3,0,0,'Données projet'!$E$15+1,1))</f>
        <v>443.34220761968419</v>
      </c>
      <c r="EP118" s="59">
        <f t="shared" si="100"/>
        <v>546.58234447298014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32.883915297251228</v>
      </c>
      <c r="EW118" s="21">
        <f>EXP(-LN(2)/25)*EW117+(1-EXP(-LN(2)/25))/(LN(2)/25)*Calculateur!ER118*Calculateur!ET118*VLOOKUP('Données projet'!$B$15,Paramètres!$A$1:$I$89,3,0)*0.475*44/12</f>
        <v>2.0781709526637888</v>
      </c>
      <c r="EX118" s="21">
        <f>EXP(-LN(2)/2)*EX117+(1-EXP(-LN(2)/2))/(LN(2)/2)*ER118*EU118*VLOOKUP('Données projet'!$B$15,Paramètres!$A$1:$I$89,3,0)*0.475*44/12</f>
        <v>9.713847968309299E-13</v>
      </c>
      <c r="EY118" s="22">
        <f t="shared" si="75"/>
        <v>34.962086249915991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224.00000000000006</v>
      </c>
      <c r="O119" s="13">
        <f>N119*VLOOKUP('Données projet'!$B$9,Paramètres!$A$1:$I$89,3,0)*VLOOKUP('Données projet'!$B$9,Paramètres!$A$1:$I$89,5,0)</f>
        <v>195.68640000000008</v>
      </c>
      <c r="P119" s="13">
        <f t="shared" si="87"/>
        <v>48.794969360985156</v>
      </c>
      <c r="Q119" s="20">
        <f t="shared" si="107"/>
        <v>425.8050516370493</v>
      </c>
      <c r="R119" s="59">
        <f t="shared" si="55"/>
        <v>719.13838497038262</v>
      </c>
      <c r="S119" s="59">
        <f ca="1">AVERAGE(OFFSET($R$3,0,0,'Données projet'!$E$9+1,1))-AVERAGE(OFFSET($H$3,0,0,'Données projet'!$E$9+1,1))</f>
        <v>304.32767345253382</v>
      </c>
      <c r="T119" s="59">
        <f t="shared" si="88"/>
        <v>427.16091343339173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20.788979899203301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20.788979899203301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367.99999999999972</v>
      </c>
      <c r="AJ119" s="13">
        <f>AI119*VLOOKUP('Données projet'!$B$10,Paramètres!$A$1:$I$89,3,0)*VLOOKUP('Données projet'!$B$10,Paramètres!$A$1:$I$89,5,0)</f>
        <v>292.78079999999977</v>
      </c>
      <c r="AK119" s="13">
        <f t="shared" si="89"/>
        <v>69.660903052386217</v>
      </c>
      <c r="AL119" s="20">
        <f t="shared" si="58"/>
        <v>631.25263281623893</v>
      </c>
      <c r="AM119" s="59">
        <f t="shared" si="59"/>
        <v>924.58596614957219</v>
      </c>
      <c r="AN119" s="59">
        <f ca="1">AVERAGE(OFFSET($AM$3,0,0,'Données projet'!$E$10+1,1))-AVERAGE(OFFSET($H$3,0,0,'Données projet'!$E$10+1,1))</f>
        <v>405.40026823646758</v>
      </c>
      <c r="AO119" s="59">
        <f t="shared" si="90"/>
        <v>393.0787141050053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30.212054853437984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30.212054853437984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739.99999999999966</v>
      </c>
      <c r="BE119" s="13">
        <f>BD119*VLOOKUP('Données projet'!$B$11,Paramètres!$A$1:$I$89,3,0)*VLOOKUP('Données projet'!$B$11,Paramètres!$A$1:$I$89,5,0)</f>
        <v>413.65999999999985</v>
      </c>
      <c r="BF119" s="13">
        <f t="shared" si="91"/>
        <v>94.540585122244352</v>
      </c>
      <c r="BG119" s="20">
        <f t="shared" si="61"/>
        <v>885.11601908790863</v>
      </c>
      <c r="BH119" s="59">
        <f t="shared" si="62"/>
        <v>1178.4493524212419</v>
      </c>
      <c r="BI119" s="59">
        <f ca="1">AVERAGE(OFFSET($BH$3,0,0,'Données projet'!$E$11+1,1))-AVERAGE(OFFSET($H$3,0,0,'Données projet'!$E$11+1,1))</f>
        <v>555.15881087162279</v>
      </c>
      <c r="BJ119" s="59">
        <f t="shared" si="92"/>
        <v>668.20427590250733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40.738515486077247</v>
      </c>
      <c r="BQ119" s="21">
        <f>EXP(-LN(2)/25)*BQ118+(1-EXP(-LN(2)/25))/(LN(2)/25)*Calculateur!BL119*Calculateur!BN119*VLOOKUP('Données projet'!$B$11,Paramètres!$A$1:$I$89,3,0)*0.475*44/12</f>
        <v>5.3241071116349223</v>
      </c>
      <c r="BR119" s="21">
        <f>EXP(-LN(2)/2)*BR118+(1-EXP(-LN(2)/2))/(LN(2)/2)*BL119*BO119*VLOOKUP('Données projet'!$B$11,Paramètres!$A$1:$I$89,3,0)*0.475*44/12</f>
        <v>9.6688764499375015E-14</v>
      </c>
      <c r="BS119" s="22">
        <f t="shared" si="63"/>
        <v>46.06262259771227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367.99999999999972</v>
      </c>
      <c r="BZ119" s="13">
        <f>BY119*VLOOKUP('Données projet'!$B$12,Paramètres!$A$1:$I$89,3,0)*VLOOKUP('Données projet'!$B$12,Paramètres!$A$1:$I$89,5,0)</f>
        <v>241.11359999999982</v>
      </c>
      <c r="CA119" s="13">
        <f t="shared" si="93"/>
        <v>58.6790623558988</v>
      </c>
      <c r="CB119" s="20">
        <f t="shared" si="64"/>
        <v>522.13888693652348</v>
      </c>
      <c r="CC119" s="59">
        <f t="shared" si="65"/>
        <v>815.47222026985673</v>
      </c>
      <c r="CD119" s="59">
        <f ca="1">AVERAGE(OFFSET($CC$3,0,0,'Données projet'!$E$12+1,1))-AVERAGE(OFFSET($H$3,0,0,'Données projet'!$E$12+1,1))</f>
        <v>340.49092994349405</v>
      </c>
      <c r="CE119" s="59">
        <f t="shared" si="94"/>
        <v>331.54434271908832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20.186078825493521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20.186078825493521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306.99999999999994</v>
      </c>
      <c r="CU119" s="17">
        <f>CT119*VLOOKUP('Données projet'!$B$13,Paramètres!$A$1:$I$89,3,0)*VLOOKUP('Données projet'!$B$13,Paramètres!$A$1:$I$89,5,0)</f>
        <v>277.77359999999993</v>
      </c>
      <c r="CV119" s="13">
        <f t="shared" si="95"/>
        <v>66.496288176842356</v>
      </c>
      <c r="CW119" s="20">
        <f t="shared" si="67"/>
        <v>599.60338857466706</v>
      </c>
      <c r="CX119" s="59">
        <f t="shared" si="68"/>
        <v>892.93672190800044</v>
      </c>
      <c r="CY119" s="59">
        <f ca="1">AVERAGE(OFFSET($CX$3,0,0,'Données projet'!$E$13+1,1))-AVERAGE(OFFSET($H$3,0,0,'Données projet'!$E$13+1,1))</f>
        <v>439.19854273764042</v>
      </c>
      <c r="CZ119" s="59">
        <f t="shared" si="96"/>
        <v>278.21741231699929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98.134461465846726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98.134461465846726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306.99999999999994</v>
      </c>
      <c r="DP119" s="17">
        <f>DO119*VLOOKUP('Données projet'!$B$14,Paramètres!$A$1:$I$89,3,0)*VLOOKUP('Données projet'!$B$14,Paramètres!$A$1:$I$89,5,0)</f>
        <v>258.61679999999996</v>
      </c>
      <c r="DQ119" s="13">
        <f t="shared" si="97"/>
        <v>62.427444141032439</v>
      </c>
      <c r="DR119" s="20">
        <f t="shared" si="70"/>
        <v>559.15205854563135</v>
      </c>
      <c r="DS119" s="59">
        <f t="shared" si="71"/>
        <v>852.48539187896472</v>
      </c>
      <c r="DT119" s="59">
        <f ca="1">AVERAGE(OFFSET($DS$3,0,0,'Données projet'!$E$14+1,1))-AVERAGE(OFFSET($H$3,0,0,'Données projet'!$E$14+1,1))</f>
        <v>411.72284844766</v>
      </c>
      <c r="DU119" s="59">
        <f t="shared" si="98"/>
        <v>261.95434270986397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91.366567571650393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91.366567571650393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636.99999999999977</v>
      </c>
      <c r="EK119" s="17">
        <f>EJ119*VLOOKUP('Données projet'!$B$15,Paramètres!$A$1:$I$89,3,0)*VLOOKUP('Données projet'!$B$15,Paramètres!$A$1:$I$89,5,0)</f>
        <v>356.08299999999991</v>
      </c>
      <c r="EL119" s="13">
        <f t="shared" si="99"/>
        <v>82.813805255716545</v>
      </c>
      <c r="EM119" s="20">
        <f t="shared" si="73"/>
        <v>764.41193582037283</v>
      </c>
      <c r="EN119" s="59">
        <f t="shared" si="74"/>
        <v>1057.7452691537062</v>
      </c>
      <c r="EO119" s="59">
        <f ca="1">AVERAGE(OFFSET($EN$3,0,0,'Données projet'!$E$15+1,1))-AVERAGE(OFFSET($H$3,0,0,'Données projet'!$E$15+1,1))</f>
        <v>443.34220761968419</v>
      </c>
      <c r="EP119" s="59">
        <f t="shared" si="100"/>
        <v>546.58234447298014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32.239081775479981</v>
      </c>
      <c r="EW119" s="21">
        <f>EXP(-LN(2)/25)*EW118+(1-EXP(-LN(2)/25))/(LN(2)/25)*Calculateur!ER119*Calculateur!ET119*VLOOKUP('Données projet'!$B$15,Paramètres!$A$1:$I$89,3,0)*0.475*44/12</f>
        <v>2.0213432586769366</v>
      </c>
      <c r="EX119" s="21">
        <f>EXP(-LN(2)/2)*EX118+(1-EXP(-LN(2)/2))/(LN(2)/2)*ER119*EU119*VLOOKUP('Données projet'!$B$15,Paramètres!$A$1:$I$89,3,0)*0.475*44/12</f>
        <v>6.8687277698066728E-13</v>
      </c>
      <c r="EY119" s="22">
        <f t="shared" si="75"/>
        <v>34.260425034157606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224.00000000000006</v>
      </c>
      <c r="O120" s="13">
        <f>N120*VLOOKUP('Données projet'!$B$9,Paramètres!$A$1:$I$89,3,0)*VLOOKUP('Données projet'!$B$9,Paramètres!$A$1:$I$89,5,0)</f>
        <v>195.68640000000008</v>
      </c>
      <c r="P120" s="13">
        <f t="shared" si="87"/>
        <v>48.794969360985156</v>
      </c>
      <c r="Q120" s="20">
        <f t="shared" si="107"/>
        <v>425.8050516370493</v>
      </c>
      <c r="R120" s="59">
        <f t="shared" si="55"/>
        <v>719.13838497038262</v>
      </c>
      <c r="S120" s="59">
        <f ca="1">AVERAGE(OFFSET($R$3,0,0,'Données projet'!$E$9+1,1))-AVERAGE(OFFSET($H$3,0,0,'Données projet'!$E$9+1,1))</f>
        <v>304.32767345253382</v>
      </c>
      <c r="T120" s="59">
        <f t="shared" si="88"/>
        <v>427.16091343339173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20.381320683405615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20.381320683405615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367.99999999999972</v>
      </c>
      <c r="AJ120" s="13">
        <f>AI120*VLOOKUP('Données projet'!$B$10,Paramètres!$A$1:$I$89,3,0)*VLOOKUP('Données projet'!$B$10,Paramètres!$A$1:$I$89,5,0)</f>
        <v>292.78079999999977</v>
      </c>
      <c r="AK120" s="13">
        <f t="shared" si="89"/>
        <v>69.660903052386217</v>
      </c>
      <c r="AL120" s="20">
        <f t="shared" si="58"/>
        <v>631.25263281623893</v>
      </c>
      <c r="AM120" s="59">
        <f t="shared" si="59"/>
        <v>924.58596614957219</v>
      </c>
      <c r="AN120" s="59">
        <f ca="1">AVERAGE(OFFSET($AM$3,0,0,'Données projet'!$E$10+1,1))-AVERAGE(OFFSET($H$3,0,0,'Données projet'!$E$10+1,1))</f>
        <v>405.40026823646758</v>
      </c>
      <c r="AO120" s="59">
        <f t="shared" si="90"/>
        <v>393.0787141050053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29.619614885295956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29.619614885295956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739.99999999999966</v>
      </c>
      <c r="BE120" s="13">
        <f>BD120*VLOOKUP('Données projet'!$B$11,Paramètres!$A$1:$I$89,3,0)*VLOOKUP('Données projet'!$B$11,Paramètres!$A$1:$I$89,5,0)</f>
        <v>413.65999999999985</v>
      </c>
      <c r="BF120" s="13">
        <f t="shared" si="91"/>
        <v>94.540585122244352</v>
      </c>
      <c r="BG120" s="20">
        <f t="shared" si="61"/>
        <v>885.11601908790863</v>
      </c>
      <c r="BH120" s="59">
        <f t="shared" si="62"/>
        <v>1178.4493524212419</v>
      </c>
      <c r="BI120" s="59">
        <f ca="1">AVERAGE(OFFSET($BH$3,0,0,'Données projet'!$E$11+1,1))-AVERAGE(OFFSET($H$3,0,0,'Données projet'!$E$11+1,1))</f>
        <v>555.15881087162279</v>
      </c>
      <c r="BJ120" s="59">
        <f t="shared" si="92"/>
        <v>668.20427590250733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39.939658045436175</v>
      </c>
      <c r="BQ120" s="21">
        <f>EXP(-LN(2)/25)*BQ119+(1-EXP(-LN(2)/25))/(LN(2)/25)*Calculateur!BL120*Calculateur!BN120*VLOOKUP('Données projet'!$B$11,Paramètres!$A$1:$I$89,3,0)*0.475*44/12</f>
        <v>5.1785191226846408</v>
      </c>
      <c r="BR120" s="21">
        <f>EXP(-LN(2)/2)*BR119+(1-EXP(-LN(2)/2))/(LN(2)/2)*BL120*BO120*VLOOKUP('Données projet'!$B$11,Paramètres!$A$1:$I$89,3,0)*0.475*44/12</f>
        <v>6.8369281042057191E-14</v>
      </c>
      <c r="BS120" s="22">
        <f t="shared" si="63"/>
        <v>45.118177168120887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367.99999999999972</v>
      </c>
      <c r="BZ120" s="13">
        <f>BY120*VLOOKUP('Données projet'!$B$12,Paramètres!$A$1:$I$89,3,0)*VLOOKUP('Données projet'!$B$12,Paramètres!$A$1:$I$89,5,0)</f>
        <v>241.11359999999982</v>
      </c>
      <c r="CA120" s="13">
        <f t="shared" si="93"/>
        <v>58.6790623558988</v>
      </c>
      <c r="CB120" s="20">
        <f t="shared" si="64"/>
        <v>522.13888693652348</v>
      </c>
      <c r="CC120" s="59">
        <f t="shared" si="65"/>
        <v>815.47222026985673</v>
      </c>
      <c r="CD120" s="59">
        <f ca="1">AVERAGE(OFFSET($CC$3,0,0,'Données projet'!$E$12+1,1))-AVERAGE(OFFSET($H$3,0,0,'Données projet'!$E$12+1,1))</f>
        <v>340.49092994349405</v>
      </c>
      <c r="CE120" s="59">
        <f t="shared" si="94"/>
        <v>331.54434271908832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19.790242132017937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19.790242132017937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306.99999999999994</v>
      </c>
      <c r="CU120" s="17">
        <f>CT120*VLOOKUP('Données projet'!$B$13,Paramètres!$A$1:$I$89,3,0)*VLOOKUP('Données projet'!$B$13,Paramètres!$A$1:$I$89,5,0)</f>
        <v>277.77359999999993</v>
      </c>
      <c r="CV120" s="13">
        <f t="shared" si="95"/>
        <v>66.496288176842356</v>
      </c>
      <c r="CW120" s="20">
        <f t="shared" si="67"/>
        <v>599.60338857466706</v>
      </c>
      <c r="CX120" s="59">
        <f t="shared" si="68"/>
        <v>892.93672190800044</v>
      </c>
      <c r="CY120" s="59">
        <f ca="1">AVERAGE(OFFSET($CX$3,0,0,'Données projet'!$E$13+1,1))-AVERAGE(OFFSET($H$3,0,0,'Données projet'!$E$13+1,1))</f>
        <v>439.19854273764042</v>
      </c>
      <c r="CZ120" s="59">
        <f t="shared" si="96"/>
        <v>278.21741231699929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96.210104532612661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96.210104532612661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306.99999999999994</v>
      </c>
      <c r="DP120" s="17">
        <f>DO120*VLOOKUP('Données projet'!$B$14,Paramètres!$A$1:$I$89,3,0)*VLOOKUP('Données projet'!$B$14,Paramètres!$A$1:$I$89,5,0)</f>
        <v>258.61679999999996</v>
      </c>
      <c r="DQ120" s="13">
        <f t="shared" si="97"/>
        <v>62.427444141032439</v>
      </c>
      <c r="DR120" s="20">
        <f t="shared" si="70"/>
        <v>559.15205854563135</v>
      </c>
      <c r="DS120" s="59">
        <f t="shared" si="71"/>
        <v>852.48539187896472</v>
      </c>
      <c r="DT120" s="59">
        <f ca="1">AVERAGE(OFFSET($DS$3,0,0,'Données projet'!$E$14+1,1))-AVERAGE(OFFSET($H$3,0,0,'Données projet'!$E$14+1,1))</f>
        <v>411.72284844766</v>
      </c>
      <c r="DU120" s="59">
        <f t="shared" si="98"/>
        <v>261.95434270986397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89.574924909673854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89.574924909673854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636.99999999999977</v>
      </c>
      <c r="EK120" s="17">
        <f>EJ120*VLOOKUP('Données projet'!$B$15,Paramètres!$A$1:$I$89,3,0)*VLOOKUP('Données projet'!$B$15,Paramètres!$A$1:$I$89,5,0)</f>
        <v>356.08299999999991</v>
      </c>
      <c r="EL120" s="13">
        <f t="shared" si="99"/>
        <v>82.813805255716545</v>
      </c>
      <c r="EM120" s="20">
        <f t="shared" si="73"/>
        <v>764.41193582037283</v>
      </c>
      <c r="EN120" s="59">
        <f t="shared" si="74"/>
        <v>1057.7452691537062</v>
      </c>
      <c r="EO120" s="59">
        <f ca="1">AVERAGE(OFFSET($EN$3,0,0,'Données projet'!$E$15+1,1))-AVERAGE(OFFSET($H$3,0,0,'Données projet'!$E$15+1,1))</f>
        <v>443.34220761968419</v>
      </c>
      <c r="EP120" s="59">
        <f t="shared" si="100"/>
        <v>546.58234447298014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31.606893045761055</v>
      </c>
      <c r="EW120" s="21">
        <f>EXP(-LN(2)/25)*EW119+(1-EXP(-LN(2)/25))/(LN(2)/25)*Calculateur!ER120*Calculateur!ET120*VLOOKUP('Données projet'!$B$15,Paramètres!$A$1:$I$89,3,0)*0.475*44/12</f>
        <v>1.9660695209705936</v>
      </c>
      <c r="EX120" s="21">
        <f>EXP(-LN(2)/2)*EX119+(1-EXP(-LN(2)/2))/(LN(2)/2)*ER120*EU120*VLOOKUP('Données projet'!$B$15,Paramètres!$A$1:$I$89,3,0)*0.475*44/12</f>
        <v>4.8569239841546495E-13</v>
      </c>
      <c r="EY120" s="22">
        <f t="shared" si="75"/>
        <v>33.57296256673213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224.00000000000006</v>
      </c>
      <c r="O121" s="13">
        <f>N121*VLOOKUP('Données projet'!$B$9,Paramètres!$A$1:$I$89,3,0)*VLOOKUP('Données projet'!$B$9,Paramètres!$A$1:$I$89,5,0)</f>
        <v>195.68640000000008</v>
      </c>
      <c r="P121" s="13">
        <f t="shared" si="87"/>
        <v>48.794969360985156</v>
      </c>
      <c r="Q121" s="20">
        <f t="shared" si="107"/>
        <v>425.8050516370493</v>
      </c>
      <c r="R121" s="59">
        <f t="shared" si="55"/>
        <v>719.13838497038262</v>
      </c>
      <c r="S121" s="59">
        <f ca="1">AVERAGE(OFFSET($R$3,0,0,'Données projet'!$E$9+1,1))-AVERAGE(OFFSET($H$3,0,0,'Données projet'!$E$9+1,1))</f>
        <v>304.32767345253382</v>
      </c>
      <c r="T121" s="59">
        <f t="shared" si="88"/>
        <v>427.16091343339173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19.98165541618215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19.98165541618215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367.99999999999972</v>
      </c>
      <c r="AJ121" s="13">
        <f>AI121*VLOOKUP('Données projet'!$B$10,Paramètres!$A$1:$I$89,3,0)*VLOOKUP('Données projet'!$B$10,Paramètres!$A$1:$I$89,5,0)</f>
        <v>292.78079999999977</v>
      </c>
      <c r="AK121" s="13">
        <f t="shared" si="89"/>
        <v>69.660903052386217</v>
      </c>
      <c r="AL121" s="20">
        <f t="shared" si="58"/>
        <v>631.25263281623893</v>
      </c>
      <c r="AM121" s="59">
        <f t="shared" si="59"/>
        <v>924.58596614957219</v>
      </c>
      <c r="AN121" s="59">
        <f ca="1">AVERAGE(OFFSET($AM$3,0,0,'Données projet'!$E$10+1,1))-AVERAGE(OFFSET($H$3,0,0,'Données projet'!$E$10+1,1))</f>
        <v>405.40026823646758</v>
      </c>
      <c r="AO121" s="59">
        <f t="shared" si="90"/>
        <v>393.0787141050053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29.038792303576496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29.038792303576496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739.99999999999966</v>
      </c>
      <c r="BE121" s="13">
        <f>BD121*VLOOKUP('Données projet'!$B$11,Paramètres!$A$1:$I$89,3,0)*VLOOKUP('Données projet'!$B$11,Paramètres!$A$1:$I$89,5,0)</f>
        <v>413.65999999999985</v>
      </c>
      <c r="BF121" s="13">
        <f t="shared" si="91"/>
        <v>94.540585122244352</v>
      </c>
      <c r="BG121" s="20">
        <f t="shared" si="61"/>
        <v>885.11601908790863</v>
      </c>
      <c r="BH121" s="59">
        <f t="shared" si="62"/>
        <v>1178.4493524212419</v>
      </c>
      <c r="BI121" s="59">
        <f ca="1">AVERAGE(OFFSET($BH$3,0,0,'Données projet'!$E$11+1,1))-AVERAGE(OFFSET($H$3,0,0,'Données projet'!$E$11+1,1))</f>
        <v>555.15881087162279</v>
      </c>
      <c r="BJ121" s="59">
        <f t="shared" si="92"/>
        <v>668.20427590250733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39.156465711951149</v>
      </c>
      <c r="BQ121" s="21">
        <f>EXP(-LN(2)/25)*BQ120+(1-EXP(-LN(2)/25))/(LN(2)/25)*Calculateur!BL121*Calculateur!BN121*VLOOKUP('Données projet'!$B$11,Paramètres!$A$1:$I$89,3,0)*0.475*44/12</f>
        <v>5.0369122449483443</v>
      </c>
      <c r="BR121" s="21">
        <f>EXP(-LN(2)/2)*BR120+(1-EXP(-LN(2)/2))/(LN(2)/2)*BL121*BO121*VLOOKUP('Données projet'!$B$11,Paramètres!$A$1:$I$89,3,0)*0.475*44/12</f>
        <v>4.8344382249687507E-14</v>
      </c>
      <c r="BS121" s="22">
        <f t="shared" si="63"/>
        <v>44.193377956899546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367.99999999999972</v>
      </c>
      <c r="BZ121" s="13">
        <f>BY121*VLOOKUP('Données projet'!$B$12,Paramètres!$A$1:$I$89,3,0)*VLOOKUP('Données projet'!$B$12,Paramètres!$A$1:$I$89,5,0)</f>
        <v>241.11359999999982</v>
      </c>
      <c r="CA121" s="13">
        <f t="shared" si="93"/>
        <v>58.6790623558988</v>
      </c>
      <c r="CB121" s="20">
        <f t="shared" si="64"/>
        <v>522.13888693652348</v>
      </c>
      <c r="CC121" s="59">
        <f t="shared" si="65"/>
        <v>815.47222026985673</v>
      </c>
      <c r="CD121" s="59">
        <f ca="1">AVERAGE(OFFSET($CC$3,0,0,'Données projet'!$E$12+1,1))-AVERAGE(OFFSET($H$3,0,0,'Données projet'!$E$12+1,1))</f>
        <v>340.49092994349405</v>
      </c>
      <c r="CE121" s="59">
        <f t="shared" si="94"/>
        <v>331.54434271908832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19.402167554664867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19.402167554664867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306.99999999999994</v>
      </c>
      <c r="CU121" s="17">
        <f>CT121*VLOOKUP('Données projet'!$B$13,Paramètres!$A$1:$I$89,3,0)*VLOOKUP('Données projet'!$B$13,Paramètres!$A$1:$I$89,5,0)</f>
        <v>277.77359999999993</v>
      </c>
      <c r="CV121" s="13">
        <f t="shared" si="95"/>
        <v>66.496288176842356</v>
      </c>
      <c r="CW121" s="20">
        <f t="shared" si="67"/>
        <v>599.60338857466706</v>
      </c>
      <c r="CX121" s="59">
        <f t="shared" si="68"/>
        <v>892.93672190800044</v>
      </c>
      <c r="CY121" s="59">
        <f ca="1">AVERAGE(OFFSET($CX$3,0,0,'Données projet'!$E$13+1,1))-AVERAGE(OFFSET($H$3,0,0,'Données projet'!$E$13+1,1))</f>
        <v>439.19854273764042</v>
      </c>
      <c r="CZ121" s="59">
        <f t="shared" si="96"/>
        <v>278.21741231699929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94.323483065097491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94.323483065097491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306.99999999999994</v>
      </c>
      <c r="DP121" s="17">
        <f>DO121*VLOOKUP('Données projet'!$B$14,Paramètres!$A$1:$I$89,3,0)*VLOOKUP('Données projet'!$B$14,Paramètres!$A$1:$I$89,5,0)</f>
        <v>258.61679999999996</v>
      </c>
      <c r="DQ121" s="13">
        <f t="shared" si="97"/>
        <v>62.427444141032439</v>
      </c>
      <c r="DR121" s="20">
        <f t="shared" si="70"/>
        <v>559.15205854563135</v>
      </c>
      <c r="DS121" s="59">
        <f t="shared" si="71"/>
        <v>852.48539187896472</v>
      </c>
      <c r="DT121" s="59">
        <f ca="1">AVERAGE(OFFSET($DS$3,0,0,'Données projet'!$E$14+1,1))-AVERAGE(OFFSET($H$3,0,0,'Données projet'!$E$14+1,1))</f>
        <v>411.72284844766</v>
      </c>
      <c r="DU121" s="59">
        <f t="shared" si="98"/>
        <v>261.95434270986397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87.818415267504562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87.818415267504562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636.99999999999977</v>
      </c>
      <c r="EK121" s="17">
        <f>EJ121*VLOOKUP('Données projet'!$B$15,Paramètres!$A$1:$I$89,3,0)*VLOOKUP('Données projet'!$B$15,Paramètres!$A$1:$I$89,5,0)</f>
        <v>356.08299999999991</v>
      </c>
      <c r="EL121" s="13">
        <f t="shared" si="99"/>
        <v>82.813805255716545</v>
      </c>
      <c r="EM121" s="20">
        <f t="shared" si="73"/>
        <v>764.41193582037283</v>
      </c>
      <c r="EN121" s="59">
        <f t="shared" si="74"/>
        <v>1057.7452691537062</v>
      </c>
      <c r="EO121" s="59">
        <f ca="1">AVERAGE(OFFSET($EN$3,0,0,'Données projet'!$E$15+1,1))-AVERAGE(OFFSET($H$3,0,0,'Données projet'!$E$15+1,1))</f>
        <v>443.34220761968419</v>
      </c>
      <c r="EP121" s="59">
        <f t="shared" si="100"/>
        <v>546.58234447298014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30.987101151434864</v>
      </c>
      <c r="EW121" s="21">
        <f>EXP(-LN(2)/25)*EW120+(1-EXP(-LN(2)/25))/(LN(2)/25)*Calculateur!ER121*Calculateur!ET121*VLOOKUP('Données projet'!$B$15,Paramètres!$A$1:$I$89,3,0)*0.475*44/12</f>
        <v>1.9123072465285502</v>
      </c>
      <c r="EX121" s="21">
        <f>EXP(-LN(2)/2)*EX120+(1-EXP(-LN(2)/2))/(LN(2)/2)*ER121*EU121*VLOOKUP('Données projet'!$B$15,Paramètres!$A$1:$I$89,3,0)*0.475*44/12</f>
        <v>3.4343638849033364E-13</v>
      </c>
      <c r="EY121" s="22">
        <f t="shared" si="75"/>
        <v>32.899408397963754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224.00000000000006</v>
      </c>
      <c r="O122" s="13">
        <f>N122*VLOOKUP('Données projet'!$B$9,Paramètres!$A$1:$I$89,3,0)*VLOOKUP('Données projet'!$B$9,Paramètres!$A$1:$I$89,5,0)</f>
        <v>195.68640000000008</v>
      </c>
      <c r="P122" s="13">
        <f t="shared" si="87"/>
        <v>48.794969360985156</v>
      </c>
      <c r="Q122" s="20">
        <f t="shared" si="107"/>
        <v>425.8050516370493</v>
      </c>
      <c r="R122" s="59">
        <f t="shared" si="55"/>
        <v>719.13838497038262</v>
      </c>
      <c r="S122" s="59">
        <f ca="1">AVERAGE(OFFSET($R$3,0,0,'Données projet'!$E$9+1,1))-AVERAGE(OFFSET($H$3,0,0,'Données projet'!$E$9+1,1))</f>
        <v>304.32767345253382</v>
      </c>
      <c r="T122" s="59">
        <f t="shared" si="88"/>
        <v>427.16091343339173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19.589827341077196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19.589827341077196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367.99999999999972</v>
      </c>
      <c r="AJ122" s="13">
        <f>AI122*VLOOKUP('Données projet'!$B$10,Paramètres!$A$1:$I$89,3,0)*VLOOKUP('Données projet'!$B$10,Paramètres!$A$1:$I$89,5,0)</f>
        <v>292.78079999999977</v>
      </c>
      <c r="AK122" s="13">
        <f t="shared" si="89"/>
        <v>69.660903052386217</v>
      </c>
      <c r="AL122" s="20">
        <f t="shared" si="58"/>
        <v>631.25263281623893</v>
      </c>
      <c r="AM122" s="59">
        <f t="shared" si="59"/>
        <v>924.58596614957219</v>
      </c>
      <c r="AN122" s="59">
        <f ca="1">AVERAGE(OFFSET($AM$3,0,0,'Données projet'!$E$10+1,1))-AVERAGE(OFFSET($H$3,0,0,'Données projet'!$E$10+1,1))</f>
        <v>405.40026823646758</v>
      </c>
      <c r="AO122" s="59">
        <f t="shared" si="90"/>
        <v>393.0787141050053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28.469359298417761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28.469359298417761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739.99999999999966</v>
      </c>
      <c r="BE122" s="13">
        <f>BD122*VLOOKUP('Données projet'!$B$11,Paramètres!$A$1:$I$89,3,0)*VLOOKUP('Données projet'!$B$11,Paramètres!$A$1:$I$89,5,0)</f>
        <v>413.65999999999985</v>
      </c>
      <c r="BF122" s="13">
        <f t="shared" si="91"/>
        <v>94.540585122244352</v>
      </c>
      <c r="BG122" s="20">
        <f t="shared" si="61"/>
        <v>885.11601908790863</v>
      </c>
      <c r="BH122" s="59">
        <f t="shared" si="62"/>
        <v>1178.4493524212419</v>
      </c>
      <c r="BI122" s="59">
        <f ca="1">AVERAGE(OFFSET($BH$3,0,0,'Données projet'!$E$11+1,1))-AVERAGE(OFFSET($H$3,0,0,'Données projet'!$E$11+1,1))</f>
        <v>555.15881087162279</v>
      </c>
      <c r="BJ122" s="59">
        <f t="shared" si="92"/>
        <v>668.20427590250733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38.388631302425615</v>
      </c>
      <c r="BQ122" s="21">
        <f>EXP(-LN(2)/25)*BQ121+(1-EXP(-LN(2)/25))/(LN(2)/25)*Calculateur!BL122*Calculateur!BN122*VLOOKUP('Données projet'!$B$11,Paramètres!$A$1:$I$89,3,0)*0.475*44/12</f>
        <v>4.8991776147305286</v>
      </c>
      <c r="BR122" s="21">
        <f>EXP(-LN(2)/2)*BR121+(1-EXP(-LN(2)/2))/(LN(2)/2)*BL122*BO122*VLOOKUP('Données projet'!$B$11,Paramètres!$A$1:$I$89,3,0)*0.475*44/12</f>
        <v>3.4184640521028596E-14</v>
      </c>
      <c r="BS122" s="22">
        <f t="shared" si="63"/>
        <v>43.287808917156177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367.99999999999972</v>
      </c>
      <c r="BZ122" s="13">
        <f>BY122*VLOOKUP('Données projet'!$B$12,Paramètres!$A$1:$I$89,3,0)*VLOOKUP('Données projet'!$B$12,Paramètres!$A$1:$I$89,5,0)</f>
        <v>241.11359999999982</v>
      </c>
      <c r="CA122" s="13">
        <f t="shared" si="93"/>
        <v>58.6790623558988</v>
      </c>
      <c r="CB122" s="20">
        <f t="shared" si="64"/>
        <v>522.13888693652348</v>
      </c>
      <c r="CC122" s="59">
        <f t="shared" si="65"/>
        <v>815.47222026985673</v>
      </c>
      <c r="CD122" s="59">
        <f ca="1">AVERAGE(OFFSET($CC$3,0,0,'Données projet'!$E$12+1,1))-AVERAGE(OFFSET($H$3,0,0,'Données projet'!$E$12+1,1))</f>
        <v>340.49092994349405</v>
      </c>
      <c r="CE122" s="59">
        <f t="shared" si="94"/>
        <v>331.54434271908832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19.021702883071573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19.021702883071573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306.99999999999994</v>
      </c>
      <c r="CU122" s="17">
        <f>CT122*VLOOKUP('Données projet'!$B$13,Paramètres!$A$1:$I$89,3,0)*VLOOKUP('Données projet'!$B$13,Paramètres!$A$1:$I$89,5,0)</f>
        <v>277.77359999999993</v>
      </c>
      <c r="CV122" s="13">
        <f t="shared" si="95"/>
        <v>66.496288176842356</v>
      </c>
      <c r="CW122" s="20">
        <f t="shared" si="67"/>
        <v>599.60338857466706</v>
      </c>
      <c r="CX122" s="59">
        <f t="shared" si="68"/>
        <v>892.93672190800044</v>
      </c>
      <c r="CY122" s="59">
        <f ca="1">AVERAGE(OFFSET($CX$3,0,0,'Données projet'!$E$13+1,1))-AVERAGE(OFFSET($H$3,0,0,'Données projet'!$E$13+1,1))</f>
        <v>439.19854273764042</v>
      </c>
      <c r="CZ122" s="59">
        <f t="shared" si="96"/>
        <v>278.21741231699929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92.473857093834823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92.473857093834823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306.99999999999994</v>
      </c>
      <c r="DP122" s="17">
        <f>DO122*VLOOKUP('Données projet'!$B$14,Paramètres!$A$1:$I$89,3,0)*VLOOKUP('Données projet'!$B$14,Paramètres!$A$1:$I$89,5,0)</f>
        <v>258.61679999999996</v>
      </c>
      <c r="DQ122" s="13">
        <f t="shared" si="97"/>
        <v>62.427444141032439</v>
      </c>
      <c r="DR122" s="20">
        <f t="shared" si="70"/>
        <v>559.15205854563135</v>
      </c>
      <c r="DS122" s="59">
        <f t="shared" si="71"/>
        <v>852.48539187896472</v>
      </c>
      <c r="DT122" s="59">
        <f ca="1">AVERAGE(OFFSET($DS$3,0,0,'Données projet'!$E$14+1,1))-AVERAGE(OFFSET($H$3,0,0,'Données projet'!$E$14+1,1))</f>
        <v>411.72284844766</v>
      </c>
      <c r="DU122" s="59">
        <f t="shared" si="98"/>
        <v>261.95434270986397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86.096349708053111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86.096349708053111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636.99999999999977</v>
      </c>
      <c r="EK122" s="17">
        <f>EJ122*VLOOKUP('Données projet'!$B$15,Paramètres!$A$1:$I$89,3,0)*VLOOKUP('Données projet'!$B$15,Paramètres!$A$1:$I$89,5,0)</f>
        <v>356.08299999999991</v>
      </c>
      <c r="EL122" s="13">
        <f t="shared" si="99"/>
        <v>82.813805255716545</v>
      </c>
      <c r="EM122" s="20">
        <f t="shared" si="73"/>
        <v>764.41193582037283</v>
      </c>
      <c r="EN122" s="59">
        <f t="shared" si="74"/>
        <v>1057.7452691537062</v>
      </c>
      <c r="EO122" s="59">
        <f ca="1">AVERAGE(OFFSET($EN$3,0,0,'Données projet'!$E$15+1,1))-AVERAGE(OFFSET($H$3,0,0,'Données projet'!$E$15+1,1))</f>
        <v>443.34220761968419</v>
      </c>
      <c r="EP122" s="59">
        <f t="shared" si="100"/>
        <v>546.58234447298014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30.379462998120683</v>
      </c>
      <c r="EW122" s="21">
        <f>EXP(-LN(2)/25)*EW121+(1-EXP(-LN(2)/25))/(LN(2)/25)*Calculateur!ER122*Calculateur!ET122*VLOOKUP('Données projet'!$B$15,Paramètres!$A$1:$I$89,3,0)*0.475*44/12</f>
        <v>1.8600151043083595</v>
      </c>
      <c r="EX122" s="21">
        <f>EXP(-LN(2)/2)*EX121+(1-EXP(-LN(2)/2))/(LN(2)/2)*ER122*EU122*VLOOKUP('Données projet'!$B$15,Paramètres!$A$1:$I$89,3,0)*0.475*44/12</f>
        <v>2.4284619920773248E-13</v>
      </c>
      <c r="EY122" s="22">
        <f t="shared" si="75"/>
        <v>32.239478102429281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224.00000000000006</v>
      </c>
      <c r="O123" s="13">
        <f>N123*VLOOKUP('Données projet'!$B$9,Paramètres!$A$1:$I$89,3,0)*VLOOKUP('Données projet'!$B$9,Paramètres!$A$1:$I$89,5,0)</f>
        <v>195.68640000000008</v>
      </c>
      <c r="P123" s="13">
        <f t="shared" si="87"/>
        <v>48.794969360985156</v>
      </c>
      <c r="Q123" s="20">
        <f t="shared" si="107"/>
        <v>425.8050516370493</v>
      </c>
      <c r="R123" s="59">
        <f t="shared" si="55"/>
        <v>719.13838497038262</v>
      </c>
      <c r="S123" s="59">
        <f ca="1">AVERAGE(OFFSET($R$3,0,0,'Données projet'!$E$9+1,1))-AVERAGE(OFFSET($H$3,0,0,'Données projet'!$E$9+1,1))</f>
        <v>304.32767345253382</v>
      </c>
      <c r="T123" s="59">
        <f t="shared" si="88"/>
        <v>427.16091343339173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19.205682775533521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19.205682775533521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367.99999999999972</v>
      </c>
      <c r="AJ123" s="13">
        <f>AI123*VLOOKUP('Données projet'!$B$10,Paramètres!$A$1:$I$89,3,0)*VLOOKUP('Données projet'!$B$10,Paramètres!$A$1:$I$89,5,0)</f>
        <v>292.78079999999977</v>
      </c>
      <c r="AK123" s="13">
        <f t="shared" si="89"/>
        <v>69.660903052386217</v>
      </c>
      <c r="AL123" s="20">
        <f t="shared" si="58"/>
        <v>631.25263281623893</v>
      </c>
      <c r="AM123" s="59">
        <f t="shared" si="59"/>
        <v>924.58596614957219</v>
      </c>
      <c r="AN123" s="59">
        <f ca="1">AVERAGE(OFFSET($AM$3,0,0,'Données projet'!$E$10+1,1))-AVERAGE(OFFSET($H$3,0,0,'Données projet'!$E$10+1,1))</f>
        <v>405.40026823646758</v>
      </c>
      <c r="AO123" s="59">
        <f t="shared" si="90"/>
        <v>393.0787141050053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27.91109252717035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27.91109252717035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739.99999999999966</v>
      </c>
      <c r="BE123" s="13">
        <f>BD123*VLOOKUP('Données projet'!$B$11,Paramètres!$A$1:$I$89,3,0)*VLOOKUP('Données projet'!$B$11,Paramètres!$A$1:$I$89,5,0)</f>
        <v>413.65999999999985</v>
      </c>
      <c r="BF123" s="13">
        <f t="shared" si="91"/>
        <v>94.540585122244352</v>
      </c>
      <c r="BG123" s="20">
        <f t="shared" si="61"/>
        <v>885.11601908790863</v>
      </c>
      <c r="BH123" s="59">
        <f t="shared" si="62"/>
        <v>1178.4493524212419</v>
      </c>
      <c r="BI123" s="59">
        <f ca="1">AVERAGE(OFFSET($BH$3,0,0,'Données projet'!$E$11+1,1))-AVERAGE(OFFSET($H$3,0,0,'Données projet'!$E$11+1,1))</f>
        <v>555.15881087162279</v>
      </c>
      <c r="BJ123" s="59">
        <f t="shared" si="92"/>
        <v>668.20427590250733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37.635853657338131</v>
      </c>
      <c r="BQ123" s="21">
        <f>EXP(-LN(2)/25)*BQ122+(1-EXP(-LN(2)/25))/(LN(2)/25)*Calculateur!BL123*Calculateur!BN123*VLOOKUP('Données projet'!$B$11,Paramètres!$A$1:$I$89,3,0)*0.475*44/12</f>
        <v>4.7652093452191684</v>
      </c>
      <c r="BR123" s="21">
        <f>EXP(-LN(2)/2)*BR122+(1-EXP(-LN(2)/2))/(LN(2)/2)*BL123*BO123*VLOOKUP('Données projet'!$B$11,Paramètres!$A$1:$I$89,3,0)*0.475*44/12</f>
        <v>2.4172191124843754E-14</v>
      </c>
      <c r="BS123" s="22">
        <f t="shared" si="63"/>
        <v>42.401063002557322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367.99999999999972</v>
      </c>
      <c r="BZ123" s="13">
        <f>BY123*VLOOKUP('Données projet'!$B$12,Paramètres!$A$1:$I$89,3,0)*VLOOKUP('Données projet'!$B$12,Paramètres!$A$1:$I$89,5,0)</f>
        <v>241.11359999999982</v>
      </c>
      <c r="CA123" s="13">
        <f t="shared" si="93"/>
        <v>58.6790623558988</v>
      </c>
      <c r="CB123" s="20">
        <f t="shared" si="64"/>
        <v>522.13888693652348</v>
      </c>
      <c r="CC123" s="59">
        <f t="shared" si="65"/>
        <v>815.47222026985673</v>
      </c>
      <c r="CD123" s="59">
        <f ca="1">AVERAGE(OFFSET($CC$3,0,0,'Données projet'!$E$12+1,1))-AVERAGE(OFFSET($H$3,0,0,'Données projet'!$E$12+1,1))</f>
        <v>340.49092994349405</v>
      </c>
      <c r="CE123" s="59">
        <f t="shared" si="94"/>
        <v>331.54434271908832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18.648698891627685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18.648698891627685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306.99999999999994</v>
      </c>
      <c r="CU123" s="17">
        <f>CT123*VLOOKUP('Données projet'!$B$13,Paramètres!$A$1:$I$89,3,0)*VLOOKUP('Données projet'!$B$13,Paramètres!$A$1:$I$89,5,0)</f>
        <v>277.77359999999993</v>
      </c>
      <c r="CV123" s="13">
        <f t="shared" si="95"/>
        <v>66.496288176842356</v>
      </c>
      <c r="CW123" s="20">
        <f t="shared" si="67"/>
        <v>599.60338857466706</v>
      </c>
      <c r="CX123" s="59">
        <f t="shared" si="68"/>
        <v>892.93672190800044</v>
      </c>
      <c r="CY123" s="59">
        <f ca="1">AVERAGE(OFFSET($CX$3,0,0,'Données projet'!$E$13+1,1))-AVERAGE(OFFSET($H$3,0,0,'Données projet'!$E$13+1,1))</f>
        <v>439.19854273764042</v>
      </c>
      <c r="CZ123" s="59">
        <f t="shared" si="96"/>
        <v>278.21741231699929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90.660501159708161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90.660501159708161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306.99999999999994</v>
      </c>
      <c r="DP123" s="17">
        <f>DO123*VLOOKUP('Données projet'!$B$14,Paramètres!$A$1:$I$89,3,0)*VLOOKUP('Données projet'!$B$14,Paramètres!$A$1:$I$89,5,0)</f>
        <v>258.61679999999996</v>
      </c>
      <c r="DQ123" s="13">
        <f t="shared" si="97"/>
        <v>62.427444141032439</v>
      </c>
      <c r="DR123" s="20">
        <f t="shared" si="70"/>
        <v>559.15205854563135</v>
      </c>
      <c r="DS123" s="59">
        <f t="shared" si="71"/>
        <v>852.48539187896472</v>
      </c>
      <c r="DT123" s="59">
        <f ca="1">AVERAGE(OFFSET($DS$3,0,0,'Données projet'!$E$14+1,1))-AVERAGE(OFFSET($H$3,0,0,'Données projet'!$E$14+1,1))</f>
        <v>411.72284844766</v>
      </c>
      <c r="DU123" s="59">
        <f t="shared" si="98"/>
        <v>261.95434270986397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84.408052803866227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84.408052803866227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636.99999999999977</v>
      </c>
      <c r="EK123" s="17">
        <f>EJ123*VLOOKUP('Données projet'!$B$15,Paramètres!$A$1:$I$89,3,0)*VLOOKUP('Données projet'!$B$15,Paramètres!$A$1:$I$89,5,0)</f>
        <v>356.08299999999991</v>
      </c>
      <c r="EL123" s="13">
        <f t="shared" si="99"/>
        <v>82.813805255716545</v>
      </c>
      <c r="EM123" s="20">
        <f t="shared" si="73"/>
        <v>764.41193582037283</v>
      </c>
      <c r="EN123" s="59">
        <f t="shared" si="74"/>
        <v>1057.7452691537062</v>
      </c>
      <c r="EO123" s="59">
        <f ca="1">AVERAGE(OFFSET($EN$3,0,0,'Données projet'!$E$15+1,1))-AVERAGE(OFFSET($H$3,0,0,'Données projet'!$E$15+1,1))</f>
        <v>443.34220761968419</v>
      </c>
      <c r="EP123" s="59">
        <f t="shared" si="100"/>
        <v>546.58234447298014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29.783740258370315</v>
      </c>
      <c r="EW123" s="21">
        <f>EXP(-LN(2)/25)*EW122+(1-EXP(-LN(2)/25))/(LN(2)/25)*Calculateur!ER123*Calculateur!ET123*VLOOKUP('Données projet'!$B$15,Paramètres!$A$1:$I$89,3,0)*0.475*44/12</f>
        <v>1.8091528934671042</v>
      </c>
      <c r="EX123" s="21">
        <f>EXP(-LN(2)/2)*EX122+(1-EXP(-LN(2)/2))/(LN(2)/2)*ER123*EU123*VLOOKUP('Données projet'!$B$15,Paramètres!$A$1:$I$89,3,0)*0.475*44/12</f>
        <v>1.7171819424516682E-13</v>
      </c>
      <c r="EY123" s="22">
        <f t="shared" si="75"/>
        <v>31.59289315183759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224.00000000000006</v>
      </c>
      <c r="O124" s="13">
        <f>N124*VLOOKUP('Données projet'!$B$9,Paramètres!$A$1:$I$89,3,0)*VLOOKUP('Données projet'!$B$9,Paramètres!$A$1:$I$89,5,0)</f>
        <v>195.68640000000008</v>
      </c>
      <c r="P124" s="13">
        <f t="shared" si="87"/>
        <v>48.794969360985156</v>
      </c>
      <c r="Q124" s="20">
        <f t="shared" si="107"/>
        <v>425.8050516370493</v>
      </c>
      <c r="R124" s="59">
        <f t="shared" si="55"/>
        <v>719.13838497038262</v>
      </c>
      <c r="S124" s="59">
        <f ca="1">AVERAGE(OFFSET($R$3,0,0,'Données projet'!$E$9+1,1))-AVERAGE(OFFSET($H$3,0,0,'Données projet'!$E$9+1,1))</f>
        <v>304.32767345253382</v>
      </c>
      <c r="T124" s="59">
        <f t="shared" si="88"/>
        <v>427.16091343339173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18.829071050615109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18.829071050615109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367.99999999999972</v>
      </c>
      <c r="AJ124" s="13">
        <f>AI124*VLOOKUP('Données projet'!$B$10,Paramètres!$A$1:$I$89,3,0)*VLOOKUP('Données projet'!$B$10,Paramètres!$A$1:$I$89,5,0)</f>
        <v>292.78079999999977</v>
      </c>
      <c r="AK124" s="13">
        <f t="shared" si="89"/>
        <v>69.660903052386217</v>
      </c>
      <c r="AL124" s="20">
        <f t="shared" si="58"/>
        <v>631.25263281623893</v>
      </c>
      <c r="AM124" s="59">
        <f t="shared" si="59"/>
        <v>924.58596614957219</v>
      </c>
      <c r="AN124" s="59">
        <f ca="1">AVERAGE(OFFSET($AM$3,0,0,'Données projet'!$E$10+1,1))-AVERAGE(OFFSET($H$3,0,0,'Données projet'!$E$10+1,1))</f>
        <v>405.40026823646758</v>
      </c>
      <c r="AO124" s="59">
        <f t="shared" si="90"/>
        <v>393.0787141050053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27.363773026797993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27.363773026797993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739.99999999999966</v>
      </c>
      <c r="BE124" s="13">
        <f>BD124*VLOOKUP('Données projet'!$B$11,Paramètres!$A$1:$I$89,3,0)*VLOOKUP('Données projet'!$B$11,Paramètres!$A$1:$I$89,5,0)</f>
        <v>413.65999999999985</v>
      </c>
      <c r="BF124" s="13">
        <f t="shared" si="91"/>
        <v>94.540585122244352</v>
      </c>
      <c r="BG124" s="20">
        <f t="shared" si="61"/>
        <v>885.11601908790863</v>
      </c>
      <c r="BH124" s="59">
        <f t="shared" si="62"/>
        <v>1178.4493524212419</v>
      </c>
      <c r="BI124" s="59">
        <f ca="1">AVERAGE(OFFSET($BH$3,0,0,'Données projet'!$E$11+1,1))-AVERAGE(OFFSET($H$3,0,0,'Données projet'!$E$11+1,1))</f>
        <v>555.15881087162279</v>
      </c>
      <c r="BJ124" s="59">
        <f t="shared" si="92"/>
        <v>668.20427590250733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36.897837522721787</v>
      </c>
      <c r="BQ124" s="21">
        <f>EXP(-LN(2)/25)*BQ123+(1-EXP(-LN(2)/25))/(LN(2)/25)*Calculateur!BL124*Calculateur!BN124*VLOOKUP('Données projet'!$B$11,Paramètres!$A$1:$I$89,3,0)*0.475*44/12</f>
        <v>4.6349044450826815</v>
      </c>
      <c r="BR124" s="21">
        <f>EXP(-LN(2)/2)*BR123+(1-EXP(-LN(2)/2))/(LN(2)/2)*BL124*BO124*VLOOKUP('Données projet'!$B$11,Paramètres!$A$1:$I$89,3,0)*0.475*44/12</f>
        <v>1.7092320260514298E-14</v>
      </c>
      <c r="BS124" s="22">
        <f t="shared" si="63"/>
        <v>41.532741967804483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367.99999999999972</v>
      </c>
      <c r="BZ124" s="13">
        <f>BY124*VLOOKUP('Données projet'!$B$12,Paramètres!$A$1:$I$89,3,0)*VLOOKUP('Données projet'!$B$12,Paramètres!$A$1:$I$89,5,0)</f>
        <v>241.11359999999982</v>
      </c>
      <c r="CA124" s="13">
        <f t="shared" si="93"/>
        <v>58.6790623558988</v>
      </c>
      <c r="CB124" s="20">
        <f t="shared" si="64"/>
        <v>522.13888693652348</v>
      </c>
      <c r="CC124" s="59">
        <f t="shared" si="65"/>
        <v>815.47222026985673</v>
      </c>
      <c r="CD124" s="59">
        <f ca="1">AVERAGE(OFFSET($CC$3,0,0,'Données projet'!$E$12+1,1))-AVERAGE(OFFSET($H$3,0,0,'Données projet'!$E$12+1,1))</f>
        <v>340.49092994349405</v>
      </c>
      <c r="CE124" s="59">
        <f t="shared" si="94"/>
        <v>331.54434271908832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18.283009280946043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18.283009280946043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306.99999999999994</v>
      </c>
      <c r="CU124" s="17">
        <f>CT124*VLOOKUP('Données projet'!$B$13,Paramètres!$A$1:$I$89,3,0)*VLOOKUP('Données projet'!$B$13,Paramètres!$A$1:$I$89,5,0)</f>
        <v>277.77359999999993</v>
      </c>
      <c r="CV124" s="13">
        <f t="shared" si="95"/>
        <v>66.496288176842356</v>
      </c>
      <c r="CW124" s="20">
        <f t="shared" si="67"/>
        <v>599.60338857466706</v>
      </c>
      <c r="CX124" s="59">
        <f t="shared" si="68"/>
        <v>892.93672190800044</v>
      </c>
      <c r="CY124" s="59">
        <f ca="1">AVERAGE(OFFSET($CX$3,0,0,'Données projet'!$E$13+1,1))-AVERAGE(OFFSET($H$3,0,0,'Données projet'!$E$13+1,1))</f>
        <v>439.19854273764042</v>
      </c>
      <c r="CZ124" s="59">
        <f t="shared" si="96"/>
        <v>278.21741231699929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88.882704029411826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88.882704029411826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306.99999999999994</v>
      </c>
      <c r="DP124" s="17">
        <f>DO124*VLOOKUP('Données projet'!$B$14,Paramètres!$A$1:$I$89,3,0)*VLOOKUP('Données projet'!$B$14,Paramètres!$A$1:$I$89,5,0)</f>
        <v>258.61679999999996</v>
      </c>
      <c r="DQ124" s="13">
        <f t="shared" si="97"/>
        <v>62.427444141032439</v>
      </c>
      <c r="DR124" s="20">
        <f t="shared" si="70"/>
        <v>559.15205854563135</v>
      </c>
      <c r="DS124" s="59">
        <f t="shared" si="71"/>
        <v>852.48539187896472</v>
      </c>
      <c r="DT124" s="59">
        <f ca="1">AVERAGE(OFFSET($DS$3,0,0,'Données projet'!$E$14+1,1))-AVERAGE(OFFSET($H$3,0,0,'Données projet'!$E$14+1,1))</f>
        <v>411.72284844766</v>
      </c>
      <c r="DU124" s="59">
        <f t="shared" si="98"/>
        <v>261.95434270986397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82.752862372211013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82.752862372211013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636.99999999999977</v>
      </c>
      <c r="EK124" s="17">
        <f>EJ124*VLOOKUP('Données projet'!$B$15,Paramètres!$A$1:$I$89,3,0)*VLOOKUP('Données projet'!$B$15,Paramètres!$A$1:$I$89,5,0)</f>
        <v>356.08299999999991</v>
      </c>
      <c r="EL124" s="13">
        <f t="shared" si="99"/>
        <v>82.813805255716545</v>
      </c>
      <c r="EM124" s="20">
        <f t="shared" si="73"/>
        <v>764.41193582037283</v>
      </c>
      <c r="EN124" s="59">
        <f t="shared" si="74"/>
        <v>1057.7452691537062</v>
      </c>
      <c r="EO124" s="59">
        <f ca="1">AVERAGE(OFFSET($EN$3,0,0,'Données projet'!$E$15+1,1))-AVERAGE(OFFSET($H$3,0,0,'Données projet'!$E$15+1,1))</f>
        <v>443.34220761968419</v>
      </c>
      <c r="EP124" s="59">
        <f t="shared" si="100"/>
        <v>546.58234447298014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29.19969927819146</v>
      </c>
      <c r="EW124" s="21">
        <f>EXP(-LN(2)/25)*EW123+(1-EXP(-LN(2)/25))/(LN(2)/25)*Calculateur!ER124*Calculateur!ET124*VLOOKUP('Données projet'!$B$15,Paramètres!$A$1:$I$89,3,0)*0.475*44/12</f>
        <v>1.7596815124560303</v>
      </c>
      <c r="EX124" s="21">
        <f>EXP(-LN(2)/2)*EX123+(1-EXP(-LN(2)/2))/(LN(2)/2)*ER124*EU124*VLOOKUP('Données projet'!$B$15,Paramètres!$A$1:$I$89,3,0)*0.475*44/12</f>
        <v>1.2142309960386624E-13</v>
      </c>
      <c r="EY124" s="22">
        <f t="shared" si="75"/>
        <v>30.959380790647611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224.00000000000006</v>
      </c>
      <c r="O125" s="13">
        <f>N125*VLOOKUP('Données projet'!$B$9,Paramètres!$A$1:$I$89,3,0)*VLOOKUP('Données projet'!$B$9,Paramètres!$A$1:$I$89,5,0)</f>
        <v>195.68640000000008</v>
      </c>
      <c r="P125" s="13">
        <f t="shared" si="87"/>
        <v>48.794969360985156</v>
      </c>
      <c r="Q125" s="20">
        <f t="shared" si="107"/>
        <v>425.8050516370493</v>
      </c>
      <c r="R125" s="59">
        <f t="shared" si="55"/>
        <v>719.13838497038262</v>
      </c>
      <c r="S125" s="59">
        <f ca="1">AVERAGE(OFFSET($R$3,0,0,'Données projet'!$E$9+1,1))-AVERAGE(OFFSET($H$3,0,0,'Données projet'!$E$9+1,1))</f>
        <v>304.32767345253382</v>
      </c>
      <c r="T125" s="59">
        <f t="shared" si="88"/>
        <v>427.16091343339173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18.459844451911877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18.459844451911877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367.99999999999972</v>
      </c>
      <c r="AJ125" s="13">
        <f>AI125*VLOOKUP('Données projet'!$B$10,Paramètres!$A$1:$I$89,3,0)*VLOOKUP('Données projet'!$B$10,Paramètres!$A$1:$I$89,5,0)</f>
        <v>292.78079999999977</v>
      </c>
      <c r="AK125" s="13">
        <f t="shared" si="89"/>
        <v>69.660903052386217</v>
      </c>
      <c r="AL125" s="20">
        <f t="shared" si="58"/>
        <v>631.25263281623893</v>
      </c>
      <c r="AM125" s="59">
        <f t="shared" si="59"/>
        <v>924.58596614957219</v>
      </c>
      <c r="AN125" s="59">
        <f ca="1">AVERAGE(OFFSET($AM$3,0,0,'Données projet'!$E$10+1,1))-AVERAGE(OFFSET($H$3,0,0,'Données projet'!$E$10+1,1))</f>
        <v>405.40026823646758</v>
      </c>
      <c r="AO125" s="59">
        <f t="shared" si="90"/>
        <v>393.0787141050053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26.827186127996004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26.827186127996004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739.99999999999966</v>
      </c>
      <c r="BE125" s="13">
        <f>BD125*VLOOKUP('Données projet'!$B$11,Paramètres!$A$1:$I$89,3,0)*VLOOKUP('Données projet'!$B$11,Paramètres!$A$1:$I$89,5,0)</f>
        <v>413.65999999999985</v>
      </c>
      <c r="BF125" s="13">
        <f t="shared" si="91"/>
        <v>94.540585122244352</v>
      </c>
      <c r="BG125" s="20">
        <f t="shared" si="61"/>
        <v>885.11601908790863</v>
      </c>
      <c r="BH125" s="59">
        <f t="shared" si="62"/>
        <v>1178.4493524212419</v>
      </c>
      <c r="BI125" s="59">
        <f ca="1">AVERAGE(OFFSET($BH$3,0,0,'Données projet'!$E$11+1,1))-AVERAGE(OFFSET($H$3,0,0,'Données projet'!$E$11+1,1))</f>
        <v>555.15881087162279</v>
      </c>
      <c r="BJ125" s="59">
        <f t="shared" si="92"/>
        <v>668.20427590250733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36.174293434359875</v>
      </c>
      <c r="BQ125" s="21">
        <f>EXP(-LN(2)/25)*BQ124+(1-EXP(-LN(2)/25))/(LN(2)/25)*Calculateur!BL125*Calculateur!BN125*VLOOKUP('Données projet'!$B$11,Paramètres!$A$1:$I$89,3,0)*0.475*44/12</f>
        <v>4.5081627392928638</v>
      </c>
      <c r="BR125" s="21">
        <f>EXP(-LN(2)/2)*BR124+(1-EXP(-LN(2)/2))/(LN(2)/2)*BL125*BO125*VLOOKUP('Données projet'!$B$11,Paramètres!$A$1:$I$89,3,0)*0.475*44/12</f>
        <v>1.2086095562421877E-14</v>
      </c>
      <c r="BS125" s="22">
        <f t="shared" si="63"/>
        <v>40.682456173652753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367.99999999999972</v>
      </c>
      <c r="BZ125" s="13">
        <f>BY125*VLOOKUP('Données projet'!$B$12,Paramètres!$A$1:$I$89,3,0)*VLOOKUP('Données projet'!$B$12,Paramètres!$A$1:$I$89,5,0)</f>
        <v>241.11359999999982</v>
      </c>
      <c r="CA125" s="13">
        <f t="shared" si="93"/>
        <v>58.6790623558988</v>
      </c>
      <c r="CB125" s="20">
        <f t="shared" si="64"/>
        <v>522.13888693652348</v>
      </c>
      <c r="CC125" s="59">
        <f t="shared" si="65"/>
        <v>815.47222026985673</v>
      </c>
      <c r="CD125" s="59">
        <f ca="1">AVERAGE(OFFSET($CC$3,0,0,'Données projet'!$E$12+1,1))-AVERAGE(OFFSET($H$3,0,0,'Données projet'!$E$12+1,1))</f>
        <v>340.49092994349405</v>
      </c>
      <c r="CE125" s="59">
        <f t="shared" si="94"/>
        <v>331.54434271908832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17.92449062048123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17.92449062048123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306.99999999999994</v>
      </c>
      <c r="CU125" s="17">
        <f>CT125*VLOOKUP('Données projet'!$B$13,Paramètres!$A$1:$I$89,3,0)*VLOOKUP('Données projet'!$B$13,Paramètres!$A$1:$I$89,5,0)</f>
        <v>277.77359999999993</v>
      </c>
      <c r="CV125" s="13">
        <f t="shared" si="95"/>
        <v>66.496288176842356</v>
      </c>
      <c r="CW125" s="20">
        <f t="shared" si="67"/>
        <v>599.60338857466706</v>
      </c>
      <c r="CX125" s="59">
        <f t="shared" si="68"/>
        <v>892.93672190800044</v>
      </c>
      <c r="CY125" s="59">
        <f ca="1">AVERAGE(OFFSET($CX$3,0,0,'Données projet'!$E$13+1,1))-AVERAGE(OFFSET($H$3,0,0,'Données projet'!$E$13+1,1))</f>
        <v>439.19854273764042</v>
      </c>
      <c r="CZ125" s="59">
        <f t="shared" si="96"/>
        <v>278.21741231699929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87.139768416491421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87.139768416491421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306.99999999999994</v>
      </c>
      <c r="DP125" s="17">
        <f>DO125*VLOOKUP('Données projet'!$B$14,Paramètres!$A$1:$I$89,3,0)*VLOOKUP('Données projet'!$B$14,Paramètres!$A$1:$I$89,5,0)</f>
        <v>258.61679999999996</v>
      </c>
      <c r="DQ125" s="13">
        <f t="shared" si="97"/>
        <v>62.427444141032439</v>
      </c>
      <c r="DR125" s="20">
        <f t="shared" si="70"/>
        <v>559.15205854563135</v>
      </c>
      <c r="DS125" s="59">
        <f t="shared" si="71"/>
        <v>852.48539187896472</v>
      </c>
      <c r="DT125" s="59">
        <f ca="1">AVERAGE(OFFSET($DS$3,0,0,'Données projet'!$E$14+1,1))-AVERAGE(OFFSET($H$3,0,0,'Données projet'!$E$14+1,1))</f>
        <v>411.72284844766</v>
      </c>
      <c r="DU125" s="59">
        <f t="shared" si="98"/>
        <v>261.95434270986397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81.130129215354089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81.130129215354089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636.99999999999977</v>
      </c>
      <c r="EK125" s="17">
        <f>EJ125*VLOOKUP('Données projet'!$B$15,Paramètres!$A$1:$I$89,3,0)*VLOOKUP('Données projet'!$B$15,Paramètres!$A$1:$I$89,5,0)</f>
        <v>356.08299999999991</v>
      </c>
      <c r="EL125" s="13">
        <f t="shared" si="99"/>
        <v>82.813805255716545</v>
      </c>
      <c r="EM125" s="20">
        <f t="shared" si="73"/>
        <v>764.41193582037283</v>
      </c>
      <c r="EN125" s="59">
        <f t="shared" si="74"/>
        <v>1057.7452691537062</v>
      </c>
      <c r="EO125" s="59">
        <f ca="1">AVERAGE(OFFSET($EN$3,0,0,'Données projet'!$E$15+1,1))-AVERAGE(OFFSET($H$3,0,0,'Données projet'!$E$15+1,1))</f>
        <v>443.34220761968419</v>
      </c>
      <c r="EP125" s="59">
        <f t="shared" si="100"/>
        <v>546.58234447298014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28.627110985404087</v>
      </c>
      <c r="EW125" s="21">
        <f>EXP(-LN(2)/25)*EW124+(1-EXP(-LN(2)/25))/(LN(2)/25)*Calculateur!ER125*Calculateur!ET125*VLOOKUP('Données projet'!$B$15,Paramètres!$A$1:$I$89,3,0)*0.475*44/12</f>
        <v>1.7115629289602912</v>
      </c>
      <c r="EX125" s="21">
        <f>EXP(-LN(2)/2)*EX124+(1-EXP(-LN(2)/2))/(LN(2)/2)*ER125*EU125*VLOOKUP('Données projet'!$B$15,Paramètres!$A$1:$I$89,3,0)*0.475*44/12</f>
        <v>8.585909712258341E-14</v>
      </c>
      <c r="EY125" s="22">
        <f t="shared" si="75"/>
        <v>30.338673914364463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224.00000000000006</v>
      </c>
      <c r="O126" s="13">
        <f>N126*VLOOKUP('Données projet'!$B$9,Paramètres!$A$1:$I$89,3,0)*VLOOKUP('Données projet'!$B$9,Paramètres!$A$1:$I$89,5,0)</f>
        <v>195.68640000000008</v>
      </c>
      <c r="P126" s="13">
        <f t="shared" si="87"/>
        <v>48.794969360985156</v>
      </c>
      <c r="Q126" s="20">
        <f t="shared" si="107"/>
        <v>425.8050516370493</v>
      </c>
      <c r="R126" s="59">
        <f t="shared" si="55"/>
        <v>719.13838497038262</v>
      </c>
      <c r="S126" s="59">
        <f ca="1">AVERAGE(OFFSET($R$3,0,0,'Données projet'!$E$9+1,1))-AVERAGE(OFFSET($H$3,0,0,'Données projet'!$E$9+1,1))</f>
        <v>304.32767345253382</v>
      </c>
      <c r="T126" s="59">
        <f t="shared" si="88"/>
        <v>427.16091343339173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18.097858161603227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18.097858161603227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367.99999999999972</v>
      </c>
      <c r="AJ126" s="13">
        <f>AI126*VLOOKUP('Données projet'!$B$10,Paramètres!$A$1:$I$89,3,0)*VLOOKUP('Données projet'!$B$10,Paramètres!$A$1:$I$89,5,0)</f>
        <v>292.78079999999977</v>
      </c>
      <c r="AK126" s="13">
        <f t="shared" si="89"/>
        <v>69.660903052386217</v>
      </c>
      <c r="AL126" s="20">
        <f t="shared" si="58"/>
        <v>631.25263281623893</v>
      </c>
      <c r="AM126" s="59">
        <f t="shared" si="59"/>
        <v>924.58596614957219</v>
      </c>
      <c r="AN126" s="59">
        <f ca="1">AVERAGE(OFFSET($AM$3,0,0,'Données projet'!$E$10+1,1))-AVERAGE(OFFSET($H$3,0,0,'Données projet'!$E$10+1,1))</f>
        <v>405.40026823646758</v>
      </c>
      <c r="AO126" s="59">
        <f t="shared" si="90"/>
        <v>393.0787141050053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26.301121370993833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26.301121370993833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739.99999999999966</v>
      </c>
      <c r="BE126" s="13">
        <f>BD126*VLOOKUP('Données projet'!$B$11,Paramètres!$A$1:$I$89,3,0)*VLOOKUP('Données projet'!$B$11,Paramètres!$A$1:$I$89,5,0)</f>
        <v>413.65999999999985</v>
      </c>
      <c r="BF126" s="13">
        <f t="shared" si="91"/>
        <v>94.540585122244352</v>
      </c>
      <c r="BG126" s="20">
        <f t="shared" si="61"/>
        <v>885.11601908790863</v>
      </c>
      <c r="BH126" s="59">
        <f t="shared" si="62"/>
        <v>1178.4493524212419</v>
      </c>
      <c r="BI126" s="59">
        <f ca="1">AVERAGE(OFFSET($BH$3,0,0,'Données projet'!$E$11+1,1))-AVERAGE(OFFSET($H$3,0,0,'Données projet'!$E$11+1,1))</f>
        <v>555.15881087162279</v>
      </c>
      <c r="BJ126" s="59">
        <f t="shared" si="92"/>
        <v>668.20427590250733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35.46493760425242</v>
      </c>
      <c r="BQ126" s="21">
        <f>EXP(-LN(2)/25)*BQ125+(1-EXP(-LN(2)/25))/(LN(2)/25)*Calculateur!BL126*Calculateur!BN126*VLOOKUP('Données projet'!$B$11,Paramètres!$A$1:$I$89,3,0)*0.475*44/12</f>
        <v>4.3848867921129253</v>
      </c>
      <c r="BR126" s="21">
        <f>EXP(-LN(2)/2)*BR125+(1-EXP(-LN(2)/2))/(LN(2)/2)*BL126*BO126*VLOOKUP('Données projet'!$B$11,Paramètres!$A$1:$I$89,3,0)*0.475*44/12</f>
        <v>8.5461601302571489E-15</v>
      </c>
      <c r="BS126" s="22">
        <f t="shared" si="63"/>
        <v>39.849824396365349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367.99999999999972</v>
      </c>
      <c r="BZ126" s="13">
        <f>BY126*VLOOKUP('Données projet'!$B$12,Paramètres!$A$1:$I$89,3,0)*VLOOKUP('Données projet'!$B$12,Paramètres!$A$1:$I$89,5,0)</f>
        <v>241.11359999999982</v>
      </c>
      <c r="CA126" s="13">
        <f t="shared" si="93"/>
        <v>58.6790623558988</v>
      </c>
      <c r="CB126" s="20">
        <f t="shared" si="64"/>
        <v>522.13888693652348</v>
      </c>
      <c r="CC126" s="59">
        <f t="shared" si="65"/>
        <v>815.47222026985673</v>
      </c>
      <c r="CD126" s="59">
        <f ca="1">AVERAGE(OFFSET($CC$3,0,0,'Données projet'!$E$12+1,1))-AVERAGE(OFFSET($H$3,0,0,'Données projet'!$E$12+1,1))</f>
        <v>340.49092994349405</v>
      </c>
      <c r="CE126" s="59">
        <f t="shared" si="94"/>
        <v>331.54434271908832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17.57300229227334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17.57300229227334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306.99999999999994</v>
      </c>
      <c r="CU126" s="17">
        <f>CT126*VLOOKUP('Données projet'!$B$13,Paramètres!$A$1:$I$89,3,0)*VLOOKUP('Données projet'!$B$13,Paramètres!$A$1:$I$89,5,0)</f>
        <v>277.77359999999993</v>
      </c>
      <c r="CV126" s="13">
        <f t="shared" si="95"/>
        <v>66.496288176842356</v>
      </c>
      <c r="CW126" s="20">
        <f t="shared" si="67"/>
        <v>599.60338857466706</v>
      </c>
      <c r="CX126" s="59">
        <f t="shared" si="68"/>
        <v>892.93672190800044</v>
      </c>
      <c r="CY126" s="59">
        <f ca="1">AVERAGE(OFFSET($CX$3,0,0,'Données projet'!$E$13+1,1))-AVERAGE(OFFSET($H$3,0,0,'Données projet'!$E$13+1,1))</f>
        <v>439.19854273764042</v>
      </c>
      <c r="CZ126" s="59">
        <f t="shared" si="96"/>
        <v>278.21741231699929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85.431010707854625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85.431010707854625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306.99999999999994</v>
      </c>
      <c r="DP126" s="17">
        <f>DO126*VLOOKUP('Données projet'!$B$14,Paramètres!$A$1:$I$89,3,0)*VLOOKUP('Données projet'!$B$14,Paramètres!$A$1:$I$89,5,0)</f>
        <v>258.61679999999996</v>
      </c>
      <c r="DQ126" s="13">
        <f t="shared" si="97"/>
        <v>62.427444141032439</v>
      </c>
      <c r="DR126" s="20">
        <f t="shared" si="70"/>
        <v>559.15205854563135</v>
      </c>
      <c r="DS126" s="59">
        <f t="shared" si="71"/>
        <v>852.48539187896472</v>
      </c>
      <c r="DT126" s="59">
        <f ca="1">AVERAGE(OFFSET($DS$3,0,0,'Données projet'!$E$14+1,1))-AVERAGE(OFFSET($H$3,0,0,'Données projet'!$E$14+1,1))</f>
        <v>411.72284844766</v>
      </c>
      <c r="DU126" s="59">
        <f t="shared" si="98"/>
        <v>261.95434270986397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79.539216865933625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79.539216865933625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636.99999999999977</v>
      </c>
      <c r="EK126" s="17">
        <f>EJ126*VLOOKUP('Données projet'!$B$15,Paramètres!$A$1:$I$89,3,0)*VLOOKUP('Données projet'!$B$15,Paramètres!$A$1:$I$89,5,0)</f>
        <v>356.08299999999991</v>
      </c>
      <c r="EL126" s="13">
        <f t="shared" si="99"/>
        <v>82.813805255716545</v>
      </c>
      <c r="EM126" s="20">
        <f t="shared" si="73"/>
        <v>764.41193582037283</v>
      </c>
      <c r="EN126" s="59">
        <f t="shared" si="74"/>
        <v>1057.7452691537062</v>
      </c>
      <c r="EO126" s="59">
        <f ca="1">AVERAGE(OFFSET($EN$3,0,0,'Données projet'!$E$15+1,1))-AVERAGE(OFFSET($H$3,0,0,'Données projet'!$E$15+1,1))</f>
        <v>443.34220761968419</v>
      </c>
      <c r="EP126" s="59">
        <f t="shared" si="100"/>
        <v>546.58234447298014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28.065750799793904</v>
      </c>
      <c r="EW126" s="21">
        <f>EXP(-LN(2)/25)*EW125+(1-EXP(-LN(2)/25))/(LN(2)/25)*Calculateur!ER126*Calculateur!ET126*VLOOKUP('Données projet'!$B$15,Paramètres!$A$1:$I$89,3,0)*0.475*44/12</f>
        <v>1.6647601506606895</v>
      </c>
      <c r="EX126" s="21">
        <f>EXP(-LN(2)/2)*EX125+(1-EXP(-LN(2)/2))/(LN(2)/2)*ER126*EU126*VLOOKUP('Données projet'!$B$15,Paramètres!$A$1:$I$89,3,0)*0.475*44/12</f>
        <v>6.0711549801933119E-14</v>
      </c>
      <c r="EY126" s="22">
        <f t="shared" si="75"/>
        <v>29.730510950454654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224.00000000000006</v>
      </c>
      <c r="O127" s="13">
        <f>N127*VLOOKUP('Données projet'!$B$9,Paramètres!$A$1:$I$89,3,0)*VLOOKUP('Données projet'!$B$9,Paramètres!$A$1:$I$89,5,0)</f>
        <v>195.68640000000008</v>
      </c>
      <c r="P127" s="13">
        <f t="shared" si="87"/>
        <v>48.794969360985156</v>
      </c>
      <c r="Q127" s="20">
        <f t="shared" si="107"/>
        <v>425.8050516370493</v>
      </c>
      <c r="R127" s="59">
        <f t="shared" si="55"/>
        <v>719.13838497038262</v>
      </c>
      <c r="S127" s="59">
        <f ca="1">AVERAGE(OFFSET($R$3,0,0,'Données projet'!$E$9+1,1))-AVERAGE(OFFSET($H$3,0,0,'Données projet'!$E$9+1,1))</f>
        <v>304.32767345253382</v>
      </c>
      <c r="T127" s="59">
        <f t="shared" si="88"/>
        <v>427.16091343339173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17.742970201657695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17.742970201657695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367.99999999999972</v>
      </c>
      <c r="AJ127" s="13">
        <f>AI127*VLOOKUP('Données projet'!$B$10,Paramètres!$A$1:$I$89,3,0)*VLOOKUP('Données projet'!$B$10,Paramètres!$A$1:$I$89,5,0)</f>
        <v>292.78079999999977</v>
      </c>
      <c r="AK127" s="13">
        <f t="shared" si="89"/>
        <v>69.660903052386217</v>
      </c>
      <c r="AL127" s="20">
        <f t="shared" si="58"/>
        <v>631.25263281623893</v>
      </c>
      <c r="AM127" s="59">
        <f t="shared" si="59"/>
        <v>924.58596614957219</v>
      </c>
      <c r="AN127" s="59">
        <f ca="1">AVERAGE(OFFSET($AM$3,0,0,'Données projet'!$E$10+1,1))-AVERAGE(OFFSET($H$3,0,0,'Données projet'!$E$10+1,1))</f>
        <v>405.40026823646758</v>
      </c>
      <c r="AO127" s="59">
        <f t="shared" si="90"/>
        <v>393.0787141050053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25.785372423008656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25.785372423008656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739.99999999999966</v>
      </c>
      <c r="BE127" s="13">
        <f>BD127*VLOOKUP('Données projet'!$B$11,Paramètres!$A$1:$I$89,3,0)*VLOOKUP('Données projet'!$B$11,Paramètres!$A$1:$I$89,5,0)</f>
        <v>413.65999999999985</v>
      </c>
      <c r="BF127" s="13">
        <f t="shared" si="91"/>
        <v>94.540585122244352</v>
      </c>
      <c r="BG127" s="20">
        <f t="shared" si="61"/>
        <v>885.11601908790863</v>
      </c>
      <c r="BH127" s="59">
        <f t="shared" si="62"/>
        <v>1178.4493524212419</v>
      </c>
      <c r="BI127" s="59">
        <f ca="1">AVERAGE(OFFSET($BH$3,0,0,'Données projet'!$E$11+1,1))-AVERAGE(OFFSET($H$3,0,0,'Données projet'!$E$11+1,1))</f>
        <v>555.15881087162279</v>
      </c>
      <c r="BJ127" s="59">
        <f t="shared" si="92"/>
        <v>668.20427590250733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34.769491809309038</v>
      </c>
      <c r="BQ127" s="21">
        <f>EXP(-LN(2)/25)*BQ126+(1-EXP(-LN(2)/25))/(LN(2)/25)*Calculateur!BL127*Calculateur!BN127*VLOOKUP('Données projet'!$B$11,Paramètres!$A$1:$I$89,3,0)*0.475*44/12</f>
        <v>4.264981832191423</v>
      </c>
      <c r="BR127" s="21">
        <f>EXP(-LN(2)/2)*BR126+(1-EXP(-LN(2)/2))/(LN(2)/2)*BL127*BO127*VLOOKUP('Données projet'!$B$11,Paramètres!$A$1:$I$89,3,0)*0.475*44/12</f>
        <v>6.0430477812109384E-15</v>
      </c>
      <c r="BS127" s="22">
        <f t="shared" si="63"/>
        <v>39.034473641500469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367.99999999999972</v>
      </c>
      <c r="BZ127" s="13">
        <f>BY127*VLOOKUP('Données projet'!$B$12,Paramètres!$A$1:$I$89,3,0)*VLOOKUP('Données projet'!$B$12,Paramètres!$A$1:$I$89,5,0)</f>
        <v>241.11359999999982</v>
      </c>
      <c r="CA127" s="13">
        <f t="shared" si="93"/>
        <v>58.6790623558988</v>
      </c>
      <c r="CB127" s="20">
        <f t="shared" si="64"/>
        <v>522.13888693652348</v>
      </c>
      <c r="CC127" s="59">
        <f t="shared" si="65"/>
        <v>815.47222026985673</v>
      </c>
      <c r="CD127" s="59">
        <f ca="1">AVERAGE(OFFSET($CC$3,0,0,'Données projet'!$E$12+1,1))-AVERAGE(OFFSET($H$3,0,0,'Données projet'!$E$12+1,1))</f>
        <v>340.49092994349405</v>
      </c>
      <c r="CE127" s="59">
        <f t="shared" si="94"/>
        <v>331.54434271908832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17.228406435794898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17.228406435794898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306.99999999999994</v>
      </c>
      <c r="CU127" s="17">
        <f>CT127*VLOOKUP('Données projet'!$B$13,Paramètres!$A$1:$I$89,3,0)*VLOOKUP('Données projet'!$B$13,Paramètres!$A$1:$I$89,5,0)</f>
        <v>277.77359999999993</v>
      </c>
      <c r="CV127" s="13">
        <f t="shared" si="95"/>
        <v>66.496288176842356</v>
      </c>
      <c r="CW127" s="20">
        <f t="shared" si="67"/>
        <v>599.60338857466706</v>
      </c>
      <c r="CX127" s="59">
        <f t="shared" si="68"/>
        <v>892.93672190800044</v>
      </c>
      <c r="CY127" s="59">
        <f ca="1">AVERAGE(OFFSET($CX$3,0,0,'Données projet'!$E$13+1,1))-AVERAGE(OFFSET($H$3,0,0,'Données projet'!$E$13+1,1))</f>
        <v>439.19854273764042</v>
      </c>
      <c r="CZ127" s="59">
        <f t="shared" si="96"/>
        <v>278.21741231699929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83.755760695644909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83.755760695644909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306.99999999999994</v>
      </c>
      <c r="DP127" s="17">
        <f>DO127*VLOOKUP('Données projet'!$B$14,Paramètres!$A$1:$I$89,3,0)*VLOOKUP('Données projet'!$B$14,Paramètres!$A$1:$I$89,5,0)</f>
        <v>258.61679999999996</v>
      </c>
      <c r="DQ127" s="13">
        <f t="shared" si="97"/>
        <v>62.427444141032439</v>
      </c>
      <c r="DR127" s="20">
        <f t="shared" si="70"/>
        <v>559.15205854563135</v>
      </c>
      <c r="DS127" s="59">
        <f t="shared" si="71"/>
        <v>852.48539187896472</v>
      </c>
      <c r="DT127" s="59">
        <f ca="1">AVERAGE(OFFSET($DS$3,0,0,'Données projet'!$E$14+1,1))-AVERAGE(OFFSET($H$3,0,0,'Données projet'!$E$14+1,1))</f>
        <v>411.72284844766</v>
      </c>
      <c r="DU127" s="59">
        <f t="shared" si="98"/>
        <v>261.95434270986397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77.979501337324578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77.979501337324578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636.99999999999977</v>
      </c>
      <c r="EK127" s="17">
        <f>EJ127*VLOOKUP('Données projet'!$B$15,Paramètres!$A$1:$I$89,3,0)*VLOOKUP('Données projet'!$B$15,Paramètres!$A$1:$I$89,5,0)</f>
        <v>356.08299999999991</v>
      </c>
      <c r="EL127" s="13">
        <f t="shared" si="99"/>
        <v>82.813805255716545</v>
      </c>
      <c r="EM127" s="20">
        <f t="shared" si="73"/>
        <v>764.41193582037283</v>
      </c>
      <c r="EN127" s="59">
        <f t="shared" si="74"/>
        <v>1057.7452691537062</v>
      </c>
      <c r="EO127" s="59">
        <f ca="1">AVERAGE(OFFSET($EN$3,0,0,'Données projet'!$E$15+1,1))-AVERAGE(OFFSET($H$3,0,0,'Données projet'!$E$15+1,1))</f>
        <v>443.34220761968419</v>
      </c>
      <c r="EP127" s="59">
        <f t="shared" si="100"/>
        <v>546.58234447298014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27.515398545027629</v>
      </c>
      <c r="EW127" s="21">
        <f>EXP(-LN(2)/25)*EW126+(1-EXP(-LN(2)/25))/(LN(2)/25)*Calculateur!ER127*Calculateur!ET127*VLOOKUP('Données projet'!$B$15,Paramètres!$A$1:$I$89,3,0)*0.475*44/12</f>
        <v>1.6192371967949415</v>
      </c>
      <c r="EX127" s="21">
        <f>EXP(-LN(2)/2)*EX126+(1-EXP(-LN(2)/2))/(LN(2)/2)*ER127*EU127*VLOOKUP('Données projet'!$B$15,Paramètres!$A$1:$I$89,3,0)*0.475*44/12</f>
        <v>4.2929548561291705E-14</v>
      </c>
      <c r="EY127" s="22">
        <f t="shared" si="75"/>
        <v>29.134635741822613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224.00000000000006</v>
      </c>
      <c r="O128" s="13">
        <f>N128*VLOOKUP('Données projet'!$B$9,Paramètres!$A$1:$I$89,3,0)*VLOOKUP('Données projet'!$B$9,Paramètres!$A$1:$I$89,5,0)</f>
        <v>195.68640000000008</v>
      </c>
      <c r="P128" s="13">
        <f t="shared" si="87"/>
        <v>48.794969360985156</v>
      </c>
      <c r="Q128" s="20">
        <f t="shared" si="107"/>
        <v>425.8050516370493</v>
      </c>
      <c r="R128" s="59">
        <f t="shared" si="55"/>
        <v>719.13838497038262</v>
      </c>
      <c r="S128" s="59">
        <f ca="1">AVERAGE(OFFSET($R$3,0,0,'Données projet'!$E$9+1,1))-AVERAGE(OFFSET($H$3,0,0,'Données projet'!$E$9+1,1))</f>
        <v>304.32767345253382</v>
      </c>
      <c r="T128" s="59">
        <f t="shared" si="88"/>
        <v>427.16091343339173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17.395041378146413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17.395041378146413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367.99999999999972</v>
      </c>
      <c r="AJ128" s="13">
        <f>AI128*VLOOKUP('Données projet'!$B$10,Paramètres!$A$1:$I$89,3,0)*VLOOKUP('Données projet'!$B$10,Paramètres!$A$1:$I$89,5,0)</f>
        <v>292.78079999999977</v>
      </c>
      <c r="AK128" s="13">
        <f t="shared" si="89"/>
        <v>69.660903052386217</v>
      </c>
      <c r="AL128" s="20">
        <f t="shared" si="58"/>
        <v>631.25263281623893</v>
      </c>
      <c r="AM128" s="59">
        <f t="shared" si="59"/>
        <v>924.58596614957219</v>
      </c>
      <c r="AN128" s="59">
        <f ca="1">AVERAGE(OFFSET($AM$3,0,0,'Données projet'!$E$10+1,1))-AVERAGE(OFFSET($H$3,0,0,'Données projet'!$E$10+1,1))</f>
        <v>405.40026823646758</v>
      </c>
      <c r="AO128" s="59">
        <f t="shared" si="90"/>
        <v>393.0787141050053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25.27973699731767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25.27973699731767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739.99999999999966</v>
      </c>
      <c r="BE128" s="13">
        <f>BD128*VLOOKUP('Données projet'!$B$11,Paramètres!$A$1:$I$89,3,0)*VLOOKUP('Données projet'!$B$11,Paramètres!$A$1:$I$89,5,0)</f>
        <v>413.65999999999985</v>
      </c>
      <c r="BF128" s="13">
        <f t="shared" si="91"/>
        <v>94.540585122244352</v>
      </c>
      <c r="BG128" s="20">
        <f t="shared" si="61"/>
        <v>885.11601908790863</v>
      </c>
      <c r="BH128" s="59">
        <f t="shared" si="62"/>
        <v>1178.4493524212419</v>
      </c>
      <c r="BI128" s="59">
        <f ca="1">AVERAGE(OFFSET($BH$3,0,0,'Données projet'!$E$11+1,1))-AVERAGE(OFFSET($H$3,0,0,'Données projet'!$E$11+1,1))</f>
        <v>555.15881087162279</v>
      </c>
      <c r="BJ128" s="59">
        <f t="shared" si="92"/>
        <v>668.20427590250733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34.087683282224447</v>
      </c>
      <c r="BQ128" s="21">
        <f>EXP(-LN(2)/25)*BQ127+(1-EXP(-LN(2)/25))/(LN(2)/25)*Calculateur!BL128*Calculateur!BN128*VLOOKUP('Données projet'!$B$11,Paramètres!$A$1:$I$89,3,0)*0.475*44/12</f>
        <v>4.148355679704502</v>
      </c>
      <c r="BR128" s="21">
        <f>EXP(-LN(2)/2)*BR127+(1-EXP(-LN(2)/2))/(LN(2)/2)*BL128*BO128*VLOOKUP('Données projet'!$B$11,Paramètres!$A$1:$I$89,3,0)*0.475*44/12</f>
        <v>4.2730800651285745E-15</v>
      </c>
      <c r="BS128" s="22">
        <f t="shared" si="63"/>
        <v>38.236038961928955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367.99999999999972</v>
      </c>
      <c r="BZ128" s="13">
        <f>BY128*VLOOKUP('Données projet'!$B$12,Paramètres!$A$1:$I$89,3,0)*VLOOKUP('Données projet'!$B$12,Paramètres!$A$1:$I$89,5,0)</f>
        <v>241.11359999999982</v>
      </c>
      <c r="CA128" s="13">
        <f t="shared" si="93"/>
        <v>58.6790623558988</v>
      </c>
      <c r="CB128" s="20">
        <f t="shared" si="64"/>
        <v>522.13888693652348</v>
      </c>
      <c r="CC128" s="59">
        <f t="shared" si="65"/>
        <v>815.47222026985673</v>
      </c>
      <c r="CD128" s="59">
        <f ca="1">AVERAGE(OFFSET($CC$3,0,0,'Données projet'!$E$12+1,1))-AVERAGE(OFFSET($H$3,0,0,'Données projet'!$E$12+1,1))</f>
        <v>340.49092994349405</v>
      </c>
      <c r="CE128" s="59">
        <f t="shared" si="94"/>
        <v>331.54434271908832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16.890567893879279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16.890567893879279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306.99999999999994</v>
      </c>
      <c r="CU128" s="17">
        <f>CT128*VLOOKUP('Données projet'!$B$13,Paramètres!$A$1:$I$89,3,0)*VLOOKUP('Données projet'!$B$13,Paramètres!$A$1:$I$89,5,0)</f>
        <v>277.77359999999993</v>
      </c>
      <c r="CV128" s="13">
        <f t="shared" si="95"/>
        <v>66.496288176842356</v>
      </c>
      <c r="CW128" s="20">
        <f t="shared" si="67"/>
        <v>599.60338857466706</v>
      </c>
      <c r="CX128" s="59">
        <f t="shared" si="68"/>
        <v>892.93672190800044</v>
      </c>
      <c r="CY128" s="59">
        <f ca="1">AVERAGE(OFFSET($CX$3,0,0,'Données projet'!$E$13+1,1))-AVERAGE(OFFSET($H$3,0,0,'Données projet'!$E$13+1,1))</f>
        <v>439.19854273764042</v>
      </c>
      <c r="CZ128" s="59">
        <f t="shared" si="96"/>
        <v>278.21741231699929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82.113361314373023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82.113361314373023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306.99999999999994</v>
      </c>
      <c r="DP128" s="17">
        <f>DO128*VLOOKUP('Données projet'!$B$14,Paramètres!$A$1:$I$89,3,0)*VLOOKUP('Données projet'!$B$14,Paramètres!$A$1:$I$89,5,0)</f>
        <v>258.61679999999996</v>
      </c>
      <c r="DQ128" s="13">
        <f t="shared" si="97"/>
        <v>62.427444141032439</v>
      </c>
      <c r="DR128" s="20">
        <f t="shared" si="70"/>
        <v>559.15205854563135</v>
      </c>
      <c r="DS128" s="59">
        <f t="shared" si="71"/>
        <v>852.48539187896472</v>
      </c>
      <c r="DT128" s="59">
        <f ca="1">AVERAGE(OFFSET($DS$3,0,0,'Données projet'!$E$14+1,1))-AVERAGE(OFFSET($H$3,0,0,'Données projet'!$E$14+1,1))</f>
        <v>411.72284844766</v>
      </c>
      <c r="DU128" s="59">
        <f t="shared" si="98"/>
        <v>261.95434270986397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76.450370878899022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76.450370878899022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636.99999999999977</v>
      </c>
      <c r="EK128" s="17">
        <f>EJ128*VLOOKUP('Données projet'!$B$15,Paramètres!$A$1:$I$89,3,0)*VLOOKUP('Données projet'!$B$15,Paramètres!$A$1:$I$89,5,0)</f>
        <v>356.08299999999991</v>
      </c>
      <c r="EL128" s="13">
        <f t="shared" si="99"/>
        <v>82.813805255716545</v>
      </c>
      <c r="EM128" s="20">
        <f t="shared" si="73"/>
        <v>764.41193582037283</v>
      </c>
      <c r="EN128" s="59">
        <f t="shared" si="74"/>
        <v>1057.7452691537062</v>
      </c>
      <c r="EO128" s="59">
        <f ca="1">AVERAGE(OFFSET($EN$3,0,0,'Données projet'!$E$15+1,1))-AVERAGE(OFFSET($H$3,0,0,'Données projet'!$E$15+1,1))</f>
        <v>443.34220761968419</v>
      </c>
      <c r="EP128" s="59">
        <f t="shared" si="100"/>
        <v>546.58234447298014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26.975838362295594</v>
      </c>
      <c r="EW128" s="21">
        <f>EXP(-LN(2)/25)*EW127+(1-EXP(-LN(2)/25))/(LN(2)/25)*Calculateur!ER128*Calculateur!ET128*VLOOKUP('Données projet'!$B$15,Paramètres!$A$1:$I$89,3,0)*0.475*44/12</f>
        <v>1.5749590704966006</v>
      </c>
      <c r="EX128" s="21">
        <f>EXP(-LN(2)/2)*EX127+(1-EXP(-LN(2)/2))/(LN(2)/2)*ER128*EU128*VLOOKUP('Données projet'!$B$15,Paramètres!$A$1:$I$89,3,0)*0.475*44/12</f>
        <v>3.0355774900966559E-14</v>
      </c>
      <c r="EY128" s="22">
        <f t="shared" si="75"/>
        <v>28.550797432792226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224.00000000000006</v>
      </c>
      <c r="O129" s="13">
        <f>N129*VLOOKUP('Données projet'!$B$9,Paramètres!$A$1:$I$89,3,0)*VLOOKUP('Données projet'!$B$9,Paramètres!$A$1:$I$89,5,0)</f>
        <v>195.68640000000008</v>
      </c>
      <c r="P129" s="13">
        <f t="shared" si="87"/>
        <v>48.794969360985156</v>
      </c>
      <c r="Q129" s="20">
        <f t="shared" si="107"/>
        <v>425.8050516370493</v>
      </c>
      <c r="R129" s="59">
        <f t="shared" si="55"/>
        <v>719.13838497038262</v>
      </c>
      <c r="S129" s="59">
        <f ca="1">AVERAGE(OFFSET($R$3,0,0,'Données projet'!$E$9+1,1))-AVERAGE(OFFSET($H$3,0,0,'Données projet'!$E$9+1,1))</f>
        <v>304.32767345253382</v>
      </c>
      <c r="T129" s="59">
        <f t="shared" si="88"/>
        <v>427.16091343339173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17.053935226648559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17.053935226648559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367.99999999999972</v>
      </c>
      <c r="AJ129" s="13">
        <f>AI129*VLOOKUP('Données projet'!$B$10,Paramètres!$A$1:$I$89,3,0)*VLOOKUP('Données projet'!$B$10,Paramètres!$A$1:$I$89,5,0)</f>
        <v>292.78079999999977</v>
      </c>
      <c r="AK129" s="13">
        <f t="shared" si="89"/>
        <v>69.660903052386217</v>
      </c>
      <c r="AL129" s="20">
        <f t="shared" si="58"/>
        <v>631.25263281623893</v>
      </c>
      <c r="AM129" s="59">
        <f t="shared" si="59"/>
        <v>924.58596614957219</v>
      </c>
      <c r="AN129" s="59">
        <f ca="1">AVERAGE(OFFSET($AM$3,0,0,'Données projet'!$E$10+1,1))-AVERAGE(OFFSET($H$3,0,0,'Données projet'!$E$10+1,1))</f>
        <v>405.40026823646758</v>
      </c>
      <c r="AO129" s="59">
        <f t="shared" si="90"/>
        <v>393.0787141050053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24.784016773917326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24.784016773917326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739.99999999999966</v>
      </c>
      <c r="BE129" s="13">
        <f>BD129*VLOOKUP('Données projet'!$B$11,Paramètres!$A$1:$I$89,3,0)*VLOOKUP('Données projet'!$B$11,Paramètres!$A$1:$I$89,5,0)</f>
        <v>413.65999999999985</v>
      </c>
      <c r="BF129" s="13">
        <f t="shared" si="91"/>
        <v>94.540585122244352</v>
      </c>
      <c r="BG129" s="20">
        <f t="shared" si="61"/>
        <v>885.11601908790863</v>
      </c>
      <c r="BH129" s="59">
        <f t="shared" si="62"/>
        <v>1178.4493524212419</v>
      </c>
      <c r="BI129" s="59">
        <f ca="1">AVERAGE(OFFSET($BH$3,0,0,'Données projet'!$E$11+1,1))-AVERAGE(OFFSET($H$3,0,0,'Données projet'!$E$11+1,1))</f>
        <v>555.15881087162279</v>
      </c>
      <c r="BJ129" s="59">
        <f t="shared" si="92"/>
        <v>668.20427590250733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33.419244604493841</v>
      </c>
      <c r="BQ129" s="21">
        <f>EXP(-LN(2)/25)*BQ128+(1-EXP(-LN(2)/25))/(LN(2)/25)*Calculateur!BL129*Calculateur!BN129*VLOOKUP('Données projet'!$B$11,Paramètres!$A$1:$I$89,3,0)*0.475*44/12</f>
        <v>4.034918675490438</v>
      </c>
      <c r="BR129" s="21">
        <f>EXP(-LN(2)/2)*BR128+(1-EXP(-LN(2)/2))/(LN(2)/2)*BL129*BO129*VLOOKUP('Données projet'!$B$11,Paramètres!$A$1:$I$89,3,0)*0.475*44/12</f>
        <v>3.0215238906054692E-15</v>
      </c>
      <c r="BS129" s="22">
        <f t="shared" si="63"/>
        <v>37.454163279984279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367.99999999999972</v>
      </c>
      <c r="BZ129" s="13">
        <f>BY129*VLOOKUP('Données projet'!$B$12,Paramètres!$A$1:$I$89,3,0)*VLOOKUP('Données projet'!$B$12,Paramètres!$A$1:$I$89,5,0)</f>
        <v>241.11359999999982</v>
      </c>
      <c r="CA129" s="13">
        <f t="shared" si="93"/>
        <v>58.6790623558988</v>
      </c>
      <c r="CB129" s="20">
        <f t="shared" si="64"/>
        <v>522.13888693652348</v>
      </c>
      <c r="CC129" s="59">
        <f t="shared" si="65"/>
        <v>815.47222026985673</v>
      </c>
      <c r="CD129" s="59">
        <f ca="1">AVERAGE(OFFSET($CC$3,0,0,'Données projet'!$E$12+1,1))-AVERAGE(OFFSET($H$3,0,0,'Données projet'!$E$12+1,1))</f>
        <v>340.49092994349405</v>
      </c>
      <c r="CE129" s="59">
        <f t="shared" si="94"/>
        <v>331.54434271908832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16.559354159709461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16.559354159709461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306.99999999999994</v>
      </c>
      <c r="CU129" s="17">
        <f>CT129*VLOOKUP('Données projet'!$B$13,Paramètres!$A$1:$I$89,3,0)*VLOOKUP('Données projet'!$B$13,Paramètres!$A$1:$I$89,5,0)</f>
        <v>277.77359999999993</v>
      </c>
      <c r="CV129" s="13">
        <f t="shared" si="95"/>
        <v>66.496288176842356</v>
      </c>
      <c r="CW129" s="20">
        <f t="shared" si="67"/>
        <v>599.60338857466706</v>
      </c>
      <c r="CX129" s="59">
        <f t="shared" si="68"/>
        <v>892.93672190800044</v>
      </c>
      <c r="CY129" s="59">
        <f ca="1">AVERAGE(OFFSET($CX$3,0,0,'Données projet'!$E$13+1,1))-AVERAGE(OFFSET($H$3,0,0,'Données projet'!$E$13+1,1))</f>
        <v>439.19854273764042</v>
      </c>
      <c r="CZ129" s="59">
        <f t="shared" si="96"/>
        <v>278.21741231699929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80.50316838320316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80.50316838320316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306.99999999999994</v>
      </c>
      <c r="DP129" s="17">
        <f>DO129*VLOOKUP('Données projet'!$B$14,Paramètres!$A$1:$I$89,3,0)*VLOOKUP('Données projet'!$B$14,Paramètres!$A$1:$I$89,5,0)</f>
        <v>258.61679999999996</v>
      </c>
      <c r="DQ129" s="13">
        <f t="shared" si="97"/>
        <v>62.427444141032439</v>
      </c>
      <c r="DR129" s="20">
        <f t="shared" si="70"/>
        <v>559.15205854563135</v>
      </c>
      <c r="DS129" s="59">
        <f t="shared" si="71"/>
        <v>852.48539187896472</v>
      </c>
      <c r="DT129" s="59">
        <f ca="1">AVERAGE(OFFSET($DS$3,0,0,'Données projet'!$E$14+1,1))-AVERAGE(OFFSET($H$3,0,0,'Données projet'!$E$14+1,1))</f>
        <v>411.72284844766</v>
      </c>
      <c r="DU129" s="59">
        <f t="shared" si="98"/>
        <v>261.95434270986397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74.951225736085703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74.951225736085703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636.99999999999977</v>
      </c>
      <c r="EK129" s="17">
        <f>EJ129*VLOOKUP('Données projet'!$B$15,Paramètres!$A$1:$I$89,3,0)*VLOOKUP('Données projet'!$B$15,Paramètres!$A$1:$I$89,5,0)</f>
        <v>356.08299999999991</v>
      </c>
      <c r="EL129" s="13">
        <f t="shared" si="99"/>
        <v>82.813805255716545</v>
      </c>
      <c r="EM129" s="20">
        <f t="shared" si="73"/>
        <v>764.41193582037283</v>
      </c>
      <c r="EN129" s="59">
        <f t="shared" si="74"/>
        <v>1057.7452691537062</v>
      </c>
      <c r="EO129" s="59">
        <f ca="1">AVERAGE(OFFSET($EN$3,0,0,'Données projet'!$E$15+1,1))-AVERAGE(OFFSET($H$3,0,0,'Données projet'!$E$15+1,1))</f>
        <v>443.34220761968419</v>
      </c>
      <c r="EP129" s="59">
        <f t="shared" si="100"/>
        <v>546.58234447298014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26.446858625647717</v>
      </c>
      <c r="EW129" s="21">
        <f>EXP(-LN(2)/25)*EW128+(1-EXP(-LN(2)/25))/(LN(2)/25)*Calculateur!ER129*Calculateur!ET129*VLOOKUP('Données projet'!$B$15,Paramètres!$A$1:$I$89,3,0)*0.475*44/12</f>
        <v>1.5318917318903731</v>
      </c>
      <c r="EX129" s="21">
        <f>EXP(-LN(2)/2)*EX128+(1-EXP(-LN(2)/2))/(LN(2)/2)*ER129*EU129*VLOOKUP('Données projet'!$B$15,Paramètres!$A$1:$I$89,3,0)*0.475*44/12</f>
        <v>2.1464774280645853E-14</v>
      </c>
      <c r="EY129" s="22">
        <f t="shared" si="75"/>
        <v>27.978750357538111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224.00000000000006</v>
      </c>
      <c r="O130" s="13">
        <f>N130*VLOOKUP('Données projet'!$B$9,Paramètres!$A$1:$I$89,3,0)*VLOOKUP('Données projet'!$B$9,Paramètres!$A$1:$I$89,5,0)</f>
        <v>195.68640000000008</v>
      </c>
      <c r="P130" s="13">
        <f t="shared" si="87"/>
        <v>48.794969360985156</v>
      </c>
      <c r="Q130" s="20">
        <f t="shared" si="107"/>
        <v>425.8050516370493</v>
      </c>
      <c r="R130" s="59">
        <f t="shared" si="55"/>
        <v>719.13838497038262</v>
      </c>
      <c r="S130" s="59">
        <f ca="1">AVERAGE(OFFSET($R$3,0,0,'Données projet'!$E$9+1,1))-AVERAGE(OFFSET($H$3,0,0,'Données projet'!$E$9+1,1))</f>
        <v>304.32767345253382</v>
      </c>
      <c r="T130" s="59">
        <f t="shared" si="88"/>
        <v>427.16091343339173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16.719517958727369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16.719517958727369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367.99999999999972</v>
      </c>
      <c r="AJ130" s="13">
        <f>AI130*VLOOKUP('Données projet'!$B$10,Paramètres!$A$1:$I$89,3,0)*VLOOKUP('Données projet'!$B$10,Paramètres!$A$1:$I$89,5,0)</f>
        <v>292.78079999999977</v>
      </c>
      <c r="AK130" s="13">
        <f t="shared" si="89"/>
        <v>69.660903052386217</v>
      </c>
      <c r="AL130" s="20">
        <f t="shared" si="58"/>
        <v>631.25263281623893</v>
      </c>
      <c r="AM130" s="59">
        <f t="shared" si="59"/>
        <v>924.58596614957219</v>
      </c>
      <c r="AN130" s="59">
        <f ca="1">AVERAGE(OFFSET($AM$3,0,0,'Données projet'!$E$10+1,1))-AVERAGE(OFFSET($H$3,0,0,'Données projet'!$E$10+1,1))</f>
        <v>405.40026823646758</v>
      </c>
      <c r="AO130" s="59">
        <f t="shared" si="90"/>
        <v>393.0787141050053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24.298017321738385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24.298017321738385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739.99999999999966</v>
      </c>
      <c r="BE130" s="13">
        <f>BD130*VLOOKUP('Données projet'!$B$11,Paramètres!$A$1:$I$89,3,0)*VLOOKUP('Données projet'!$B$11,Paramètres!$A$1:$I$89,5,0)</f>
        <v>413.65999999999985</v>
      </c>
      <c r="BF130" s="13">
        <f t="shared" si="91"/>
        <v>94.540585122244352</v>
      </c>
      <c r="BG130" s="20">
        <f t="shared" si="61"/>
        <v>885.11601908790863</v>
      </c>
      <c r="BH130" s="59">
        <f t="shared" si="62"/>
        <v>1178.4493524212419</v>
      </c>
      <c r="BI130" s="59">
        <f ca="1">AVERAGE(OFFSET($BH$3,0,0,'Données projet'!$E$11+1,1))-AVERAGE(OFFSET($H$3,0,0,'Données projet'!$E$11+1,1))</f>
        <v>555.15881087162279</v>
      </c>
      <c r="BJ130" s="59">
        <f t="shared" si="92"/>
        <v>668.20427590250733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32.763913601526198</v>
      </c>
      <c r="BQ130" s="21">
        <f>EXP(-LN(2)/25)*BQ129+(1-EXP(-LN(2)/25))/(LN(2)/25)*Calculateur!BL130*Calculateur!BN130*VLOOKUP('Données projet'!$B$11,Paramètres!$A$1:$I$89,3,0)*0.475*44/12</f>
        <v>3.9245836121220008</v>
      </c>
      <c r="BR130" s="21">
        <f>EXP(-LN(2)/2)*BR129+(1-EXP(-LN(2)/2))/(LN(2)/2)*BL130*BO130*VLOOKUP('Données projet'!$B$11,Paramètres!$A$1:$I$89,3,0)*0.475*44/12</f>
        <v>2.1365400325642872E-15</v>
      </c>
      <c r="BS130" s="22">
        <f t="shared" si="63"/>
        <v>36.688497213648198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367.99999999999972</v>
      </c>
      <c r="BZ130" s="13">
        <f>BY130*VLOOKUP('Données projet'!$B$12,Paramètres!$A$1:$I$89,3,0)*VLOOKUP('Données projet'!$B$12,Paramètres!$A$1:$I$89,5,0)</f>
        <v>241.11359999999982</v>
      </c>
      <c r="CA130" s="13">
        <f t="shared" si="93"/>
        <v>58.6790623558988</v>
      </c>
      <c r="CB130" s="20">
        <f t="shared" si="64"/>
        <v>522.13888693652348</v>
      </c>
      <c r="CC130" s="59">
        <f t="shared" si="65"/>
        <v>815.47222026985673</v>
      </c>
      <c r="CD130" s="59">
        <f ca="1">AVERAGE(OFFSET($CC$3,0,0,'Données projet'!$E$12+1,1))-AVERAGE(OFFSET($H$3,0,0,'Données projet'!$E$12+1,1))</f>
        <v>340.49092994349405</v>
      </c>
      <c r="CE130" s="59">
        <f t="shared" si="94"/>
        <v>331.54434271908832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16.234635324846284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16.234635324846284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306.99999999999994</v>
      </c>
      <c r="CU130" s="17">
        <f>CT130*VLOOKUP('Données projet'!$B$13,Paramètres!$A$1:$I$89,3,0)*VLOOKUP('Données projet'!$B$13,Paramètres!$A$1:$I$89,5,0)</f>
        <v>277.77359999999993</v>
      </c>
      <c r="CV130" s="13">
        <f t="shared" si="95"/>
        <v>66.496288176842356</v>
      </c>
      <c r="CW130" s="20">
        <f t="shared" si="67"/>
        <v>599.60338857466706</v>
      </c>
      <c r="CX130" s="59">
        <f t="shared" si="68"/>
        <v>892.93672190800044</v>
      </c>
      <c r="CY130" s="59">
        <f ca="1">AVERAGE(OFFSET($CX$3,0,0,'Données projet'!$E$13+1,1))-AVERAGE(OFFSET($H$3,0,0,'Données projet'!$E$13+1,1))</f>
        <v>439.19854273764042</v>
      </c>
      <c r="CZ130" s="59">
        <f t="shared" si="96"/>
        <v>278.21741231699929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78.92455035329283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78.92455035329283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306.99999999999994</v>
      </c>
      <c r="DP130" s="17">
        <f>DO130*VLOOKUP('Données projet'!$B$14,Paramètres!$A$1:$I$89,3,0)*VLOOKUP('Données projet'!$B$14,Paramètres!$A$1:$I$89,5,0)</f>
        <v>258.61679999999996</v>
      </c>
      <c r="DQ130" s="13">
        <f t="shared" si="97"/>
        <v>62.427444141032439</v>
      </c>
      <c r="DR130" s="20">
        <f t="shared" si="70"/>
        <v>559.15205854563135</v>
      </c>
      <c r="DS130" s="59">
        <f t="shared" si="71"/>
        <v>852.48539187896472</v>
      </c>
      <c r="DT130" s="59">
        <f ca="1">AVERAGE(OFFSET($DS$3,0,0,'Données projet'!$E$14+1,1))-AVERAGE(OFFSET($H$3,0,0,'Données projet'!$E$14+1,1))</f>
        <v>411.72284844766</v>
      </c>
      <c r="DU130" s="59">
        <f t="shared" si="98"/>
        <v>261.95434270986397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73.481477915134704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73.481477915134704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636.99999999999977</v>
      </c>
      <c r="EK130" s="17">
        <f>EJ130*VLOOKUP('Données projet'!$B$15,Paramètres!$A$1:$I$89,3,0)*VLOOKUP('Données projet'!$B$15,Paramètres!$A$1:$I$89,5,0)</f>
        <v>356.08299999999991</v>
      </c>
      <c r="EL130" s="13">
        <f t="shared" si="99"/>
        <v>82.813805255716545</v>
      </c>
      <c r="EM130" s="20">
        <f t="shared" si="73"/>
        <v>764.41193582037283</v>
      </c>
      <c r="EN130" s="59">
        <f t="shared" si="74"/>
        <v>1057.7452691537062</v>
      </c>
      <c r="EO130" s="59">
        <f ca="1">AVERAGE(OFFSET($EN$3,0,0,'Données projet'!$E$15+1,1))-AVERAGE(OFFSET($H$3,0,0,'Données projet'!$E$15+1,1))</f>
        <v>443.34220761968419</v>
      </c>
      <c r="EP130" s="59">
        <f t="shared" si="100"/>
        <v>546.58234447298014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25.928251858989725</v>
      </c>
      <c r="EW130" s="21">
        <f>EXP(-LN(2)/25)*EW129+(1-EXP(-LN(2)/25))/(LN(2)/25)*Calculateur!ER130*Calculateur!ET130*VLOOKUP('Données projet'!$B$15,Paramètres!$A$1:$I$89,3,0)*0.475*44/12</f>
        <v>1.4900020719231459</v>
      </c>
      <c r="EX130" s="21">
        <f>EXP(-LN(2)/2)*EX129+(1-EXP(-LN(2)/2))/(LN(2)/2)*ER130*EU130*VLOOKUP('Données projet'!$B$15,Paramètres!$A$1:$I$89,3,0)*0.475*44/12</f>
        <v>1.517788745048328E-14</v>
      </c>
      <c r="EY130" s="22">
        <f t="shared" si="75"/>
        <v>27.418253930912886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224.00000000000006</v>
      </c>
      <c r="O131" s="13">
        <f>N131*VLOOKUP('Données projet'!$B$9,Paramètres!$A$1:$I$89,3,0)*VLOOKUP('Données projet'!$B$9,Paramètres!$A$1:$I$89,5,0)</f>
        <v>195.68640000000008</v>
      </c>
      <c r="P131" s="13">
        <f t="shared" si="87"/>
        <v>48.794969360985156</v>
      </c>
      <c r="Q131" s="20">
        <f t="shared" ref="Q131:Q153" si="108">(O131+P131)*0.475*44/12</f>
        <v>425.8050516370493</v>
      </c>
      <c r="R131" s="59">
        <f t="shared" ref="R131:R194" si="109">Q131+(I131+J131)*44/12</f>
        <v>719.13838497038262</v>
      </c>
      <c r="S131" s="59">
        <f ca="1">AVERAGE(OFFSET($R$3,0,0,'Données projet'!$E$9+1,1))-AVERAGE(OFFSET($H$3,0,0,'Données projet'!$E$9+1,1))</f>
        <v>304.32767345253382</v>
      </c>
      <c r="T131" s="59">
        <f t="shared" si="88"/>
        <v>427.16091343339173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16.391658409455722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16.391658409455722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367.99999999999972</v>
      </c>
      <c r="AJ131" s="13">
        <f>AI131*VLOOKUP('Données projet'!$B$10,Paramètres!$A$1:$I$89,3,0)*VLOOKUP('Données projet'!$B$10,Paramètres!$A$1:$I$89,5,0)</f>
        <v>292.78079999999977</v>
      </c>
      <c r="AK131" s="13">
        <f t="shared" si="89"/>
        <v>69.660903052386217</v>
      </c>
      <c r="AL131" s="20">
        <f t="shared" si="58"/>
        <v>631.25263281623893</v>
      </c>
      <c r="AM131" s="59">
        <f t="shared" si="59"/>
        <v>924.58596614957219</v>
      </c>
      <c r="AN131" s="59">
        <f ca="1">AVERAGE(OFFSET($AM$3,0,0,'Données projet'!$E$10+1,1))-AVERAGE(OFFSET($H$3,0,0,'Données projet'!$E$10+1,1))</f>
        <v>405.40026823646758</v>
      </c>
      <c r="AO131" s="59">
        <f t="shared" si="90"/>
        <v>393.0787141050053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23.821548022386274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23.821548022386274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739.99999999999966</v>
      </c>
      <c r="BE131" s="13">
        <f>BD131*VLOOKUP('Données projet'!$B$11,Paramètres!$A$1:$I$89,3,0)*VLOOKUP('Données projet'!$B$11,Paramètres!$A$1:$I$89,5,0)</f>
        <v>413.65999999999985</v>
      </c>
      <c r="BF131" s="13">
        <f t="shared" si="91"/>
        <v>94.540585122244352</v>
      </c>
      <c r="BG131" s="20">
        <f t="shared" si="61"/>
        <v>885.11601908790863</v>
      </c>
      <c r="BH131" s="59">
        <f t="shared" si="62"/>
        <v>1178.4493524212419</v>
      </c>
      <c r="BI131" s="59">
        <f ca="1">AVERAGE(OFFSET($BH$3,0,0,'Données projet'!$E$11+1,1))-AVERAGE(OFFSET($H$3,0,0,'Données projet'!$E$11+1,1))</f>
        <v>555.15881087162279</v>
      </c>
      <c r="BJ131" s="59">
        <f t="shared" si="92"/>
        <v>668.20427590250733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32.121433239814309</v>
      </c>
      <c r="BQ131" s="21">
        <f>EXP(-LN(2)/25)*BQ130+(1-EXP(-LN(2)/25))/(LN(2)/25)*Calculateur!BL131*Calculateur!BN131*VLOOKUP('Données projet'!$B$11,Paramètres!$A$1:$I$89,3,0)*0.475*44/12</f>
        <v>3.8172656668636424</v>
      </c>
      <c r="BR131" s="21">
        <f>EXP(-LN(2)/2)*BR130+(1-EXP(-LN(2)/2))/(LN(2)/2)*BL131*BO131*VLOOKUP('Données projet'!$B$11,Paramètres!$A$1:$I$89,3,0)*0.475*44/12</f>
        <v>1.5107619453027346E-15</v>
      </c>
      <c r="BS131" s="22">
        <f t="shared" si="63"/>
        <v>35.938698906677949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367.99999999999972</v>
      </c>
      <c r="BZ131" s="13">
        <f>BY131*VLOOKUP('Données projet'!$B$12,Paramètres!$A$1:$I$89,3,0)*VLOOKUP('Données projet'!$B$12,Paramètres!$A$1:$I$89,5,0)</f>
        <v>241.11359999999982</v>
      </c>
      <c r="CA131" s="13">
        <f t="shared" si="93"/>
        <v>58.6790623558988</v>
      </c>
      <c r="CB131" s="20">
        <f t="shared" si="64"/>
        <v>522.13888693652348</v>
      </c>
      <c r="CC131" s="59">
        <f t="shared" si="65"/>
        <v>815.47222026985673</v>
      </c>
      <c r="CD131" s="59">
        <f ca="1">AVERAGE(OFFSET($CC$3,0,0,'Données projet'!$E$12+1,1))-AVERAGE(OFFSET($H$3,0,0,'Données projet'!$E$12+1,1))</f>
        <v>340.49092994349405</v>
      </c>
      <c r="CE131" s="59">
        <f t="shared" si="94"/>
        <v>331.54434271908832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15.916284028275841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15.916284028275841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306.99999999999994</v>
      </c>
      <c r="CU131" s="17">
        <f>CT131*VLOOKUP('Données projet'!$B$13,Paramètres!$A$1:$I$89,3,0)*VLOOKUP('Données projet'!$B$13,Paramètres!$A$1:$I$89,5,0)</f>
        <v>277.77359999999993</v>
      </c>
      <c r="CV131" s="13">
        <f t="shared" si="95"/>
        <v>66.496288176842356</v>
      </c>
      <c r="CW131" s="20">
        <f t="shared" si="67"/>
        <v>599.60338857466706</v>
      </c>
      <c r="CX131" s="59">
        <f t="shared" si="68"/>
        <v>892.93672190800044</v>
      </c>
      <c r="CY131" s="59">
        <f ca="1">AVERAGE(OFFSET($CX$3,0,0,'Données projet'!$E$13+1,1))-AVERAGE(OFFSET($H$3,0,0,'Données projet'!$E$13+1,1))</f>
        <v>439.19854273764042</v>
      </c>
      <c r="CZ131" s="59">
        <f t="shared" si="96"/>
        <v>278.21741231699929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77.376888060087126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77.376888060087126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306.99999999999994</v>
      </c>
      <c r="DP131" s="17">
        <f>DO131*VLOOKUP('Données projet'!$B$14,Paramètres!$A$1:$I$89,3,0)*VLOOKUP('Données projet'!$B$14,Paramètres!$A$1:$I$89,5,0)</f>
        <v>258.61679999999996</v>
      </c>
      <c r="DQ131" s="13">
        <f t="shared" si="97"/>
        <v>62.427444141032439</v>
      </c>
      <c r="DR131" s="20">
        <f t="shared" si="70"/>
        <v>559.15205854563135</v>
      </c>
      <c r="DS131" s="59">
        <f t="shared" si="71"/>
        <v>852.48539187896472</v>
      </c>
      <c r="DT131" s="59">
        <f ca="1">AVERAGE(OFFSET($DS$3,0,0,'Données projet'!$E$14+1,1))-AVERAGE(OFFSET($H$3,0,0,'Données projet'!$E$14+1,1))</f>
        <v>411.72284844766</v>
      </c>
      <c r="DU131" s="59">
        <f t="shared" si="98"/>
        <v>261.95434270986397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72.040550952494911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72.040550952494911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636.99999999999977</v>
      </c>
      <c r="EK131" s="17">
        <f>EJ131*VLOOKUP('Données projet'!$B$15,Paramètres!$A$1:$I$89,3,0)*VLOOKUP('Données projet'!$B$15,Paramètres!$A$1:$I$89,5,0)</f>
        <v>356.08299999999991</v>
      </c>
      <c r="EL131" s="13">
        <f t="shared" si="99"/>
        <v>82.813805255716545</v>
      </c>
      <c r="EM131" s="20">
        <f t="shared" si="73"/>
        <v>764.41193582037283</v>
      </c>
      <c r="EN131" s="59">
        <f t="shared" si="74"/>
        <v>1057.7452691537062</v>
      </c>
      <c r="EO131" s="59">
        <f ca="1">AVERAGE(OFFSET($EN$3,0,0,'Données projet'!$E$15+1,1))-AVERAGE(OFFSET($H$3,0,0,'Données projet'!$E$15+1,1))</f>
        <v>443.34220761968419</v>
      </c>
      <c r="EP131" s="59">
        <f t="shared" si="100"/>
        <v>546.58234447298014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25.419814654707</v>
      </c>
      <c r="EW131" s="21">
        <f>EXP(-LN(2)/25)*EW130+(1-EXP(-LN(2)/25))/(LN(2)/25)*Calculateur!ER131*Calculateur!ET131*VLOOKUP('Données projet'!$B$15,Paramètres!$A$1:$I$89,3,0)*0.475*44/12</f>
        <v>1.4492578869106041</v>
      </c>
      <c r="EX131" s="21">
        <f>EXP(-LN(2)/2)*EX130+(1-EXP(-LN(2)/2))/(LN(2)/2)*ER131*EU131*VLOOKUP('Données projet'!$B$15,Paramètres!$A$1:$I$89,3,0)*0.475*44/12</f>
        <v>1.0732387140322926E-14</v>
      </c>
      <c r="EY131" s="22">
        <f t="shared" si="75"/>
        <v>26.869072541617616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224.00000000000006</v>
      </c>
      <c r="O132" s="13">
        <f>N132*VLOOKUP('Données projet'!$B$9,Paramètres!$A$1:$I$89,3,0)*VLOOKUP('Données projet'!$B$9,Paramètres!$A$1:$I$89,5,0)</f>
        <v>195.68640000000008</v>
      </c>
      <c r="P132" s="13">
        <f t="shared" si="87"/>
        <v>48.794969360985156</v>
      </c>
      <c r="Q132" s="20">
        <f t="shared" si="108"/>
        <v>425.8050516370493</v>
      </c>
      <c r="R132" s="59">
        <f t="shared" si="109"/>
        <v>719.13838497038262</v>
      </c>
      <c r="S132" s="59">
        <f ca="1">AVERAGE(OFFSET($R$3,0,0,'Données projet'!$E$9+1,1))-AVERAGE(OFFSET($H$3,0,0,'Données projet'!$E$9+1,1))</f>
        <v>304.32767345253382</v>
      </c>
      <c r="T132" s="59">
        <f t="shared" si="88"/>
        <v>427.16091343339173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16.070227985970714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16.070227985970714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367.99999999999972</v>
      </c>
      <c r="AJ132" s="13">
        <f>AI132*VLOOKUP('Données projet'!$B$10,Paramètres!$A$1:$I$89,3,0)*VLOOKUP('Données projet'!$B$10,Paramètres!$A$1:$I$89,5,0)</f>
        <v>292.78079999999977</v>
      </c>
      <c r="AK132" s="13">
        <f t="shared" si="89"/>
        <v>69.660903052386217</v>
      </c>
      <c r="AL132" s="20">
        <f t="shared" ref="AL132:AL153" si="112">(AJ132+AK132)*0.475*44/12</f>
        <v>631.25263281623893</v>
      </c>
      <c r="AM132" s="59">
        <f t="shared" ref="AM132:AM195" si="113">AL132+(AD132+AE132)*44/12</f>
        <v>924.58596614957219</v>
      </c>
      <c r="AN132" s="59">
        <f ca="1">AVERAGE(OFFSET($AM$3,0,0,'Données projet'!$E$10+1,1))-AVERAGE(OFFSET($H$3,0,0,'Données projet'!$E$10+1,1))</f>
        <v>405.40026823646758</v>
      </c>
      <c r="AO132" s="59">
        <f t="shared" si="90"/>
        <v>393.0787141050053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23.354421995376882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23.354421995376882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739.99999999999966</v>
      </c>
      <c r="BE132" s="13">
        <f>BD132*VLOOKUP('Données projet'!$B$11,Paramètres!$A$1:$I$89,3,0)*VLOOKUP('Données projet'!$B$11,Paramètres!$A$1:$I$89,5,0)</f>
        <v>413.65999999999985</v>
      </c>
      <c r="BF132" s="13">
        <f t="shared" si="91"/>
        <v>94.540585122244352</v>
      </c>
      <c r="BG132" s="20">
        <f t="shared" ref="BG132:BG153" si="115">(BE132+BF132)*0.475*44/12</f>
        <v>885.11601908790863</v>
      </c>
      <c r="BH132" s="59">
        <f t="shared" ref="BH132:BH195" si="116">BG132+(AY132+AZ132)*44/12</f>
        <v>1178.4493524212419</v>
      </c>
      <c r="BI132" s="59">
        <f ca="1">AVERAGE(OFFSET($BH$3,0,0,'Données projet'!$E$11+1,1))-AVERAGE(OFFSET($H$3,0,0,'Données projet'!$E$11+1,1))</f>
        <v>555.15881087162279</v>
      </c>
      <c r="BJ132" s="59">
        <f t="shared" si="92"/>
        <v>668.20427590250733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31.491551526121263</v>
      </c>
      <c r="BQ132" s="21">
        <f>EXP(-LN(2)/25)*BQ131+(1-EXP(-LN(2)/25))/(LN(2)/25)*Calculateur!BL132*Calculateur!BN132*VLOOKUP('Données projet'!$B$11,Paramètres!$A$1:$I$89,3,0)*0.475*44/12</f>
        <v>3.7128823364619792</v>
      </c>
      <c r="BR132" s="21">
        <f>EXP(-LN(2)/2)*BR131+(1-EXP(-LN(2)/2))/(LN(2)/2)*BL132*BO132*VLOOKUP('Données projet'!$B$11,Paramètres!$A$1:$I$89,3,0)*0.475*44/12</f>
        <v>1.0682700162821436E-15</v>
      </c>
      <c r="BS132" s="22">
        <f t="shared" ref="BS132:BS153" si="117">SUM(BP132:BR132)</f>
        <v>35.204433862583244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367.99999999999972</v>
      </c>
      <c r="BZ132" s="13">
        <f>BY132*VLOOKUP('Données projet'!$B$12,Paramètres!$A$1:$I$89,3,0)*VLOOKUP('Données projet'!$B$12,Paramètres!$A$1:$I$89,5,0)</f>
        <v>241.11359999999982</v>
      </c>
      <c r="CA132" s="13">
        <f t="shared" si="93"/>
        <v>58.6790623558988</v>
      </c>
      <c r="CB132" s="20">
        <f t="shared" ref="CB132:CB153" si="118">(BZ132+CA132)*0.475*44/12</f>
        <v>522.13888693652348</v>
      </c>
      <c r="CC132" s="59">
        <f t="shared" ref="CC132:CC195" si="119">CB132+(BT132+BU132)*44/12</f>
        <v>815.47222026985673</v>
      </c>
      <c r="CD132" s="59">
        <f ca="1">AVERAGE(OFFSET($CC$3,0,0,'Données projet'!$E$12+1,1))-AVERAGE(OFFSET($H$3,0,0,'Données projet'!$E$12+1,1))</f>
        <v>340.49092994349405</v>
      </c>
      <c r="CE132" s="59">
        <f t="shared" si="94"/>
        <v>331.54434271908832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15.604175406456026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15.604175406456026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306.99999999999994</v>
      </c>
      <c r="CU132" s="17">
        <f>CT132*VLOOKUP('Données projet'!$B$13,Paramètres!$A$1:$I$89,3,0)*VLOOKUP('Données projet'!$B$13,Paramètres!$A$1:$I$89,5,0)</f>
        <v>277.77359999999993</v>
      </c>
      <c r="CV132" s="13">
        <f t="shared" si="95"/>
        <v>66.496288176842356</v>
      </c>
      <c r="CW132" s="20">
        <f t="shared" ref="CW132:CW153" si="121">(CU132+CV132)*0.475*44/12</f>
        <v>599.60338857466706</v>
      </c>
      <c r="CX132" s="59">
        <f t="shared" ref="CX132:CX195" si="122">CW132+(CO132+CP132)*44/12</f>
        <v>892.93672190800044</v>
      </c>
      <c r="CY132" s="59">
        <f ca="1">AVERAGE(OFFSET($CX$3,0,0,'Données projet'!$E$13+1,1))-AVERAGE(OFFSET($H$3,0,0,'Données projet'!$E$13+1,1))</f>
        <v>439.19854273764042</v>
      </c>
      <c r="CZ132" s="59">
        <f t="shared" si="96"/>
        <v>278.21741231699929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75.859574480470386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75.859574480470386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306.99999999999994</v>
      </c>
      <c r="DP132" s="17">
        <f>DO132*VLOOKUP('Données projet'!$B$14,Paramètres!$A$1:$I$89,3,0)*VLOOKUP('Données projet'!$B$14,Paramètres!$A$1:$I$89,5,0)</f>
        <v>258.61679999999996</v>
      </c>
      <c r="DQ132" s="13">
        <f t="shared" si="97"/>
        <v>62.427444141032439</v>
      </c>
      <c r="DR132" s="20">
        <f t="shared" ref="DR132:DR153" si="124">(DP132+DQ132)*0.475*44/12</f>
        <v>559.15205854563135</v>
      </c>
      <c r="DS132" s="59">
        <f t="shared" ref="DS132:DS195" si="125">DR132+(DJ132+DK132)*44/12</f>
        <v>852.48539187896472</v>
      </c>
      <c r="DT132" s="59">
        <f ca="1">AVERAGE(OFFSET($DS$3,0,0,'Données projet'!$E$14+1,1))-AVERAGE(OFFSET($H$3,0,0,'Données projet'!$E$14+1,1))</f>
        <v>411.72284844766</v>
      </c>
      <c r="DU132" s="59">
        <f t="shared" si="98"/>
        <v>261.95434270986397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70.627879688713818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70.627879688713818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636.99999999999977</v>
      </c>
      <c r="EK132" s="17">
        <f>EJ132*VLOOKUP('Données projet'!$B$15,Paramètres!$A$1:$I$89,3,0)*VLOOKUP('Données projet'!$B$15,Paramètres!$A$1:$I$89,5,0)</f>
        <v>356.08299999999991</v>
      </c>
      <c r="EL132" s="13">
        <f t="shared" si="99"/>
        <v>82.813805255716545</v>
      </c>
      <c r="EM132" s="20">
        <f t="shared" ref="EM132:EM153" si="127">(EK132+EL132)*0.475*44/12</f>
        <v>764.41193582037283</v>
      </c>
      <c r="EN132" s="59">
        <f t="shared" ref="EN132:EN195" si="128">EM132+(EE132+EF132)*44/12</f>
        <v>1057.7452691537062</v>
      </c>
      <c r="EO132" s="59">
        <f ca="1">AVERAGE(OFFSET($EN$3,0,0,'Données projet'!$E$15+1,1))-AVERAGE(OFFSET($H$3,0,0,'Données projet'!$E$15+1,1))</f>
        <v>443.34220761968419</v>
      </c>
      <c r="EP132" s="59">
        <f t="shared" si="100"/>
        <v>546.58234447298014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24.921347593884189</v>
      </c>
      <c r="EW132" s="21">
        <f>EXP(-LN(2)/25)*EW131+(1-EXP(-LN(2)/25))/(LN(2)/25)*Calculateur!ER132*Calculateur!ET132*VLOOKUP('Données projet'!$B$15,Paramètres!$A$1:$I$89,3,0)*0.475*44/12</f>
        <v>1.4096278537798737</v>
      </c>
      <c r="EX132" s="21">
        <f>EXP(-LN(2)/2)*EX131+(1-EXP(-LN(2)/2))/(LN(2)/2)*ER132*EU132*VLOOKUP('Données projet'!$B$15,Paramètres!$A$1:$I$89,3,0)*0.475*44/12</f>
        <v>7.5889437252416399E-15</v>
      </c>
      <c r="EY132" s="22">
        <f t="shared" ref="EY132:EY153" si="129">SUM(EV132:EX132)</f>
        <v>26.33097544766407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224.00000000000006</v>
      </c>
      <c r="O133" s="13">
        <f>N133*VLOOKUP('Données projet'!$B$9,Paramètres!$A$1:$I$89,3,0)*VLOOKUP('Données projet'!$B$9,Paramètres!$A$1:$I$89,5,0)</f>
        <v>195.68640000000008</v>
      </c>
      <c r="P133" s="13">
        <f t="shared" ref="P133:P196" si="141">EXP(-1.0587+0.8836*LN(O133)+0.284)</f>
        <v>48.794969360985156</v>
      </c>
      <c r="Q133" s="20">
        <f t="shared" si="108"/>
        <v>425.8050516370493</v>
      </c>
      <c r="R133" s="59">
        <f t="shared" si="109"/>
        <v>719.13838497038262</v>
      </c>
      <c r="S133" s="59">
        <f ca="1">AVERAGE(OFFSET($R$3,0,0,'Données projet'!$E$9+1,1))-AVERAGE(OFFSET($H$3,0,0,'Données projet'!$E$9+1,1))</f>
        <v>304.32767345253382</v>
      </c>
      <c r="T133" s="59">
        <f t="shared" ref="T133:T196" si="142">$T$3</f>
        <v>427.16091343339173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15.755100617037046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15.755100617037046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367.99999999999972</v>
      </c>
      <c r="AJ133" s="13">
        <f>AI133*VLOOKUP('Données projet'!$B$10,Paramètres!$A$1:$I$89,3,0)*VLOOKUP('Données projet'!$B$10,Paramètres!$A$1:$I$89,5,0)</f>
        <v>292.78079999999977</v>
      </c>
      <c r="AK133" s="13">
        <f t="shared" ref="AK133:AK153" si="143">EXP(-1.0587+0.8836*LN(AJ133)+0.284)</f>
        <v>69.660903052386217</v>
      </c>
      <c r="AL133" s="20">
        <f t="shared" si="112"/>
        <v>631.25263281623893</v>
      </c>
      <c r="AM133" s="59">
        <f t="shared" si="113"/>
        <v>924.58596614957219</v>
      </c>
      <c r="AN133" s="59">
        <f ca="1">AVERAGE(OFFSET($AM$3,0,0,'Données projet'!$E$10+1,1))-AVERAGE(OFFSET($H$3,0,0,'Données projet'!$E$10+1,1))</f>
        <v>405.40026823646758</v>
      </c>
      <c r="AO133" s="59">
        <f t="shared" ref="AO133:AO196" si="144">$AO$3</f>
        <v>393.0787141050053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22.8964560248384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22.8964560248384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739.99999999999966</v>
      </c>
      <c r="BE133" s="13">
        <f>BD133*VLOOKUP('Données projet'!$B$11,Paramètres!$A$1:$I$89,3,0)*VLOOKUP('Données projet'!$B$11,Paramètres!$A$1:$I$89,5,0)</f>
        <v>413.65999999999985</v>
      </c>
      <c r="BF133" s="13">
        <f t="shared" ref="BF133:BF153" si="145">EXP(-1.0587+0.8836*LN(BE133)+0.284)</f>
        <v>94.540585122244352</v>
      </c>
      <c r="BG133" s="20">
        <f t="shared" si="115"/>
        <v>885.11601908790863</v>
      </c>
      <c r="BH133" s="59">
        <f t="shared" si="116"/>
        <v>1178.4493524212419</v>
      </c>
      <c r="BI133" s="59">
        <f ca="1">AVERAGE(OFFSET($BH$3,0,0,'Données projet'!$E$11+1,1))-AVERAGE(OFFSET($H$3,0,0,'Données projet'!$E$11+1,1))</f>
        <v>555.15881087162279</v>
      </c>
      <c r="BJ133" s="59">
        <f t="shared" ref="BJ133:BJ196" si="146">$BJ$3</f>
        <v>668.20427590250733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30.874021408643827</v>
      </c>
      <c r="BQ133" s="21">
        <f>EXP(-LN(2)/25)*BQ132+(1-EXP(-LN(2)/25))/(LN(2)/25)*Calculateur!BL133*Calculateur!BN133*VLOOKUP('Données projet'!$B$11,Paramètres!$A$1:$I$89,3,0)*0.475*44/12</f>
        <v>3.6113533737194303</v>
      </c>
      <c r="BR133" s="21">
        <f>EXP(-LN(2)/2)*BR132+(1-EXP(-LN(2)/2))/(LN(2)/2)*BL133*BO133*VLOOKUP('Données projet'!$B$11,Paramètres!$A$1:$I$89,3,0)*0.475*44/12</f>
        <v>7.553809726513673E-16</v>
      </c>
      <c r="BS133" s="22">
        <f t="shared" si="117"/>
        <v>34.485374782363259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367.99999999999972</v>
      </c>
      <c r="BZ133" s="13">
        <f>BY133*VLOOKUP('Données projet'!$B$12,Paramètres!$A$1:$I$89,3,0)*VLOOKUP('Données projet'!$B$12,Paramètres!$A$1:$I$89,5,0)</f>
        <v>241.11359999999982</v>
      </c>
      <c r="CA133" s="13">
        <f t="shared" ref="CA133:CA153" si="147">EXP(-1.0587+0.8836*LN(BZ133)+0.284)</f>
        <v>58.6790623558988</v>
      </c>
      <c r="CB133" s="20">
        <f t="shared" si="118"/>
        <v>522.13888693652348</v>
      </c>
      <c r="CC133" s="59">
        <f t="shared" si="119"/>
        <v>815.47222026985673</v>
      </c>
      <c r="CD133" s="59">
        <f ca="1">AVERAGE(OFFSET($CC$3,0,0,'Données projet'!$E$12+1,1))-AVERAGE(OFFSET($H$3,0,0,'Données projet'!$E$12+1,1))</f>
        <v>340.49092994349405</v>
      </c>
      <c r="CE133" s="59">
        <f t="shared" ref="CE133:CE196" si="148">$CE$3</f>
        <v>331.54434271908832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15.298187044342635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15.298187044342635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306.99999999999994</v>
      </c>
      <c r="CU133" s="17">
        <f>CT133*VLOOKUP('Données projet'!$B$13,Paramètres!$A$1:$I$89,3,0)*VLOOKUP('Données projet'!$B$13,Paramètres!$A$1:$I$89,5,0)</f>
        <v>277.77359999999993</v>
      </c>
      <c r="CV133" s="13">
        <f t="shared" ref="CV133:CV153" si="149">EXP(-1.0587+0.8836*LN(CU133)+0.284)</f>
        <v>66.496288176842356</v>
      </c>
      <c r="CW133" s="20">
        <f t="shared" si="121"/>
        <v>599.60338857466706</v>
      </c>
      <c r="CX133" s="59">
        <f t="shared" si="122"/>
        <v>892.93672190800044</v>
      </c>
      <c r="CY133" s="59">
        <f ca="1">AVERAGE(OFFSET($CX$3,0,0,'Données projet'!$E$13+1,1))-AVERAGE(OFFSET($H$3,0,0,'Données projet'!$E$13+1,1))</f>
        <v>439.19854273764042</v>
      </c>
      <c r="CZ133" s="59">
        <f t="shared" ref="CZ133:CZ196" si="150">$CZ$3</f>
        <v>278.21741231699929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74.37201449468003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74.37201449468003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306.99999999999994</v>
      </c>
      <c r="DP133" s="17">
        <f>DO133*VLOOKUP('Données projet'!$B$14,Paramètres!$A$1:$I$89,3,0)*VLOOKUP('Données projet'!$B$14,Paramètres!$A$1:$I$89,5,0)</f>
        <v>258.61679999999996</v>
      </c>
      <c r="DQ133" s="13">
        <f t="shared" ref="DQ133:DQ153" si="151">EXP(-1.0587+0.8836*LN(DP133)+0.284)</f>
        <v>62.427444141032439</v>
      </c>
      <c r="DR133" s="20">
        <f t="shared" si="124"/>
        <v>559.15205854563135</v>
      </c>
      <c r="DS133" s="59">
        <f t="shared" si="125"/>
        <v>852.48539187896472</v>
      </c>
      <c r="DT133" s="59">
        <f ca="1">AVERAGE(OFFSET($DS$3,0,0,'Données projet'!$E$14+1,1))-AVERAGE(OFFSET($H$3,0,0,'Données projet'!$E$14+1,1))</f>
        <v>411.72284844766</v>
      </c>
      <c r="DU133" s="59">
        <f t="shared" ref="DU133:DU196" si="152">$DU$3</f>
        <v>261.95434270986397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69.242910046771073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69.242910046771073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636.99999999999977</v>
      </c>
      <c r="EK133" s="17">
        <f>EJ133*VLOOKUP('Données projet'!$B$15,Paramètres!$A$1:$I$89,3,0)*VLOOKUP('Données projet'!$B$15,Paramètres!$A$1:$I$89,5,0)</f>
        <v>356.08299999999991</v>
      </c>
      <c r="EL133" s="13">
        <f t="shared" ref="EL133:EL153" si="153">EXP(-1.0587+0.8836*LN(EK133)+0.284)</f>
        <v>82.813805255716545</v>
      </c>
      <c r="EM133" s="20">
        <f t="shared" si="127"/>
        <v>764.41193582037283</v>
      </c>
      <c r="EN133" s="59">
        <f t="shared" si="128"/>
        <v>1057.7452691537062</v>
      </c>
      <c r="EO133" s="59">
        <f ca="1">AVERAGE(OFFSET($EN$3,0,0,'Données projet'!$E$15+1,1))-AVERAGE(OFFSET($H$3,0,0,'Données projet'!$E$15+1,1))</f>
        <v>443.34220761968419</v>
      </c>
      <c r="EP133" s="59">
        <f t="shared" ref="EP133:EP196" si="154">$EP$3</f>
        <v>546.58234447298014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24.432655168089227</v>
      </c>
      <c r="EW133" s="21">
        <f>EXP(-LN(2)/25)*EW132+(1-EXP(-LN(2)/25))/(LN(2)/25)*Calculateur!ER133*Calculateur!ET133*VLOOKUP('Données projet'!$B$15,Paramètres!$A$1:$I$89,3,0)*0.475*44/12</f>
        <v>1.3710815059891559</v>
      </c>
      <c r="EX133" s="21">
        <f>EXP(-LN(2)/2)*EX132+(1-EXP(-LN(2)/2))/(LN(2)/2)*ER133*EU133*VLOOKUP('Données projet'!$B$15,Paramètres!$A$1:$I$89,3,0)*0.475*44/12</f>
        <v>5.3661935701614631E-15</v>
      </c>
      <c r="EY133" s="22">
        <f t="shared" si="129"/>
        <v>25.80373667407839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224.00000000000006</v>
      </c>
      <c r="O134" s="13">
        <f>N134*VLOOKUP('Données projet'!$B$9,Paramètres!$A$1:$I$89,3,0)*VLOOKUP('Données projet'!$B$9,Paramètres!$A$1:$I$89,5,0)</f>
        <v>195.68640000000008</v>
      </c>
      <c r="P134" s="13">
        <f t="shared" si="141"/>
        <v>48.794969360985156</v>
      </c>
      <c r="Q134" s="20">
        <f t="shared" si="108"/>
        <v>425.8050516370493</v>
      </c>
      <c r="R134" s="59">
        <f t="shared" si="109"/>
        <v>719.13838497038262</v>
      </c>
      <c r="S134" s="59">
        <f ca="1">AVERAGE(OFFSET($R$3,0,0,'Données projet'!$E$9+1,1))-AVERAGE(OFFSET($H$3,0,0,'Données projet'!$E$9+1,1))</f>
        <v>304.32767345253382</v>
      </c>
      <c r="T134" s="59">
        <f t="shared" si="142"/>
        <v>427.16091343339173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15.44615270359945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15.44615270359945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367.99999999999972</v>
      </c>
      <c r="AJ134" s="13">
        <f>AI134*VLOOKUP('Données projet'!$B$10,Paramètres!$A$1:$I$89,3,0)*VLOOKUP('Données projet'!$B$10,Paramètres!$A$1:$I$89,5,0)</f>
        <v>292.78079999999977</v>
      </c>
      <c r="AK134" s="13">
        <f t="shared" si="143"/>
        <v>69.660903052386217</v>
      </c>
      <c r="AL134" s="20">
        <f t="shared" si="112"/>
        <v>631.25263281623893</v>
      </c>
      <c r="AM134" s="59">
        <f t="shared" si="113"/>
        <v>924.58596614957219</v>
      </c>
      <c r="AN134" s="59">
        <f ca="1">AVERAGE(OFFSET($AM$3,0,0,'Données projet'!$E$10+1,1))-AVERAGE(OFFSET($H$3,0,0,'Données projet'!$E$10+1,1))</f>
        <v>405.40026823646758</v>
      </c>
      <c r="AO134" s="59">
        <f t="shared" si="144"/>
        <v>393.0787141050053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22.44747048765052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22.44747048765052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739.99999999999966</v>
      </c>
      <c r="BE134" s="13">
        <f>BD134*VLOOKUP('Données projet'!$B$11,Paramètres!$A$1:$I$89,3,0)*VLOOKUP('Données projet'!$B$11,Paramètres!$A$1:$I$89,5,0)</f>
        <v>413.65999999999985</v>
      </c>
      <c r="BF134" s="13">
        <f t="shared" si="145"/>
        <v>94.540585122244352</v>
      </c>
      <c r="BG134" s="20">
        <f t="shared" si="115"/>
        <v>885.11601908790863</v>
      </c>
      <c r="BH134" s="59">
        <f t="shared" si="116"/>
        <v>1178.4493524212419</v>
      </c>
      <c r="BI134" s="59">
        <f ca="1">AVERAGE(OFFSET($BH$3,0,0,'Données projet'!$E$11+1,1))-AVERAGE(OFFSET($H$3,0,0,'Données projet'!$E$11+1,1))</f>
        <v>555.15881087162279</v>
      </c>
      <c r="BJ134" s="59">
        <f t="shared" si="146"/>
        <v>668.20427590250733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30.268600680113945</v>
      </c>
      <c r="BQ134" s="21">
        <f>EXP(-LN(2)/25)*BQ133+(1-EXP(-LN(2)/25))/(LN(2)/25)*Calculateur!BL134*Calculateur!BN134*VLOOKUP('Données projet'!$B$11,Paramètres!$A$1:$I$89,3,0)*0.475*44/12</f>
        <v>3.5126007258022525</v>
      </c>
      <c r="BR134" s="21">
        <f>EXP(-LN(2)/2)*BR133+(1-EXP(-LN(2)/2))/(LN(2)/2)*BL134*BO134*VLOOKUP('Données projet'!$B$11,Paramètres!$A$1:$I$89,3,0)*0.475*44/12</f>
        <v>5.3413500814107181E-16</v>
      </c>
      <c r="BS134" s="22">
        <f t="shared" si="117"/>
        <v>33.7812014059162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367.99999999999972</v>
      </c>
      <c r="BZ134" s="13">
        <f>BY134*VLOOKUP('Données projet'!$B$12,Paramètres!$A$1:$I$89,3,0)*VLOOKUP('Données projet'!$B$12,Paramètres!$A$1:$I$89,5,0)</f>
        <v>241.11359999999982</v>
      </c>
      <c r="CA134" s="13">
        <f t="shared" si="147"/>
        <v>58.6790623558988</v>
      </c>
      <c r="CB134" s="20">
        <f t="shared" si="118"/>
        <v>522.13888693652348</v>
      </c>
      <c r="CC134" s="59">
        <f t="shared" si="119"/>
        <v>815.47222026985673</v>
      </c>
      <c r="CD134" s="59">
        <f ca="1">AVERAGE(OFFSET($CC$3,0,0,'Données projet'!$E$12+1,1))-AVERAGE(OFFSET($H$3,0,0,'Données projet'!$E$12+1,1))</f>
        <v>340.49092994349405</v>
      </c>
      <c r="CE134" s="59">
        <f t="shared" si="148"/>
        <v>331.54434271908832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14.998198927375816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14.998198927375816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306.99999999999994</v>
      </c>
      <c r="CU134" s="17">
        <f>CT134*VLOOKUP('Données projet'!$B$13,Paramètres!$A$1:$I$89,3,0)*VLOOKUP('Données projet'!$B$13,Paramètres!$A$1:$I$89,5,0)</f>
        <v>277.77359999999993</v>
      </c>
      <c r="CV134" s="13">
        <f t="shared" si="149"/>
        <v>66.496288176842356</v>
      </c>
      <c r="CW134" s="20">
        <f t="shared" si="121"/>
        <v>599.60338857466706</v>
      </c>
      <c r="CX134" s="59">
        <f t="shared" si="122"/>
        <v>892.93672190800044</v>
      </c>
      <c r="CY134" s="59">
        <f ca="1">AVERAGE(OFFSET($CX$3,0,0,'Données projet'!$E$13+1,1))-AVERAGE(OFFSET($H$3,0,0,'Données projet'!$E$13+1,1))</f>
        <v>439.19854273764042</v>
      </c>
      <c r="CZ134" s="59">
        <f t="shared" si="150"/>
        <v>278.21741231699929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72.913624652889027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72.913624652889027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306.99999999999994</v>
      </c>
      <c r="DP134" s="17">
        <f>DO134*VLOOKUP('Données projet'!$B$14,Paramètres!$A$1:$I$89,3,0)*VLOOKUP('Données projet'!$B$14,Paramètres!$A$1:$I$89,5,0)</f>
        <v>258.61679999999996</v>
      </c>
      <c r="DQ134" s="13">
        <f t="shared" si="151"/>
        <v>62.427444141032439</v>
      </c>
      <c r="DR134" s="20">
        <f t="shared" si="124"/>
        <v>559.15205854563135</v>
      </c>
      <c r="DS134" s="59">
        <f t="shared" si="125"/>
        <v>852.48539187896472</v>
      </c>
      <c r="DT134" s="59">
        <f ca="1">AVERAGE(OFFSET($DS$3,0,0,'Données projet'!$E$14+1,1))-AVERAGE(OFFSET($H$3,0,0,'Données projet'!$E$14+1,1))</f>
        <v>411.72284844766</v>
      </c>
      <c r="DU134" s="59">
        <f t="shared" si="152"/>
        <v>261.95434270986397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67.885098814758763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67.885098814758763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636.99999999999977</v>
      </c>
      <c r="EK134" s="17">
        <f>EJ134*VLOOKUP('Données projet'!$B$15,Paramètres!$A$1:$I$89,3,0)*VLOOKUP('Données projet'!$B$15,Paramètres!$A$1:$I$89,5,0)</f>
        <v>356.08299999999991</v>
      </c>
      <c r="EL134" s="13">
        <f t="shared" si="153"/>
        <v>82.813805255716545</v>
      </c>
      <c r="EM134" s="20">
        <f t="shared" si="127"/>
        <v>764.41193582037283</v>
      </c>
      <c r="EN134" s="59">
        <f t="shared" si="128"/>
        <v>1057.7452691537062</v>
      </c>
      <c r="EO134" s="59">
        <f ca="1">AVERAGE(OFFSET($EN$3,0,0,'Données projet'!$E$15+1,1))-AVERAGE(OFFSET($H$3,0,0,'Données projet'!$E$15+1,1))</f>
        <v>443.34220761968419</v>
      </c>
      <c r="EP134" s="59">
        <f t="shared" si="154"/>
        <v>546.58234447298014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23.953545702691155</v>
      </c>
      <c r="EW134" s="21">
        <f>EXP(-LN(2)/25)*EW133+(1-EXP(-LN(2)/25))/(LN(2)/25)*Calculateur!ER134*Calculateur!ET134*VLOOKUP('Données projet'!$B$15,Paramètres!$A$1:$I$89,3,0)*0.475*44/12</f>
        <v>1.3335892101058398</v>
      </c>
      <c r="EX134" s="21">
        <f>EXP(-LN(2)/2)*EX133+(1-EXP(-LN(2)/2))/(LN(2)/2)*ER134*EU134*VLOOKUP('Données projet'!$B$15,Paramètres!$A$1:$I$89,3,0)*0.475*44/12</f>
        <v>3.7944718626208199E-15</v>
      </c>
      <c r="EY134" s="22">
        <f t="shared" si="129"/>
        <v>25.287134912796997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224.00000000000006</v>
      </c>
      <c r="O135" s="13">
        <f>N135*VLOOKUP('Données projet'!$B$9,Paramètres!$A$1:$I$89,3,0)*VLOOKUP('Données projet'!$B$9,Paramètres!$A$1:$I$89,5,0)</f>
        <v>195.68640000000008</v>
      </c>
      <c r="P135" s="13">
        <f t="shared" si="141"/>
        <v>48.794969360985156</v>
      </c>
      <c r="Q135" s="20">
        <f t="shared" si="108"/>
        <v>425.8050516370493</v>
      </c>
      <c r="R135" s="59">
        <f t="shared" si="109"/>
        <v>719.13838497038262</v>
      </c>
      <c r="S135" s="59">
        <f ca="1">AVERAGE(OFFSET($R$3,0,0,'Données projet'!$E$9+1,1))-AVERAGE(OFFSET($H$3,0,0,'Données projet'!$E$9+1,1))</f>
        <v>304.32767345253382</v>
      </c>
      <c r="T135" s="59">
        <f t="shared" si="142"/>
        <v>427.16091343339173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15.143263070304746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15.143263070304746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367.99999999999972</v>
      </c>
      <c r="AJ135" s="13">
        <f>AI135*VLOOKUP('Données projet'!$B$10,Paramètres!$A$1:$I$89,3,0)*VLOOKUP('Données projet'!$B$10,Paramètres!$A$1:$I$89,5,0)</f>
        <v>292.78079999999977</v>
      </c>
      <c r="AK135" s="13">
        <f t="shared" si="143"/>
        <v>69.660903052386217</v>
      </c>
      <c r="AL135" s="20">
        <f t="shared" si="112"/>
        <v>631.25263281623893</v>
      </c>
      <c r="AM135" s="59">
        <f t="shared" si="113"/>
        <v>924.58596614957219</v>
      </c>
      <c r="AN135" s="59">
        <f ca="1">AVERAGE(OFFSET($AM$3,0,0,'Données projet'!$E$10+1,1))-AVERAGE(OFFSET($H$3,0,0,'Données projet'!$E$10+1,1))</f>
        <v>405.40026823646758</v>
      </c>
      <c r="AO135" s="59">
        <f t="shared" si="144"/>
        <v>393.0787141050053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22.007289282992758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22.007289282992758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739.99999999999966</v>
      </c>
      <c r="BE135" s="13">
        <f>BD135*VLOOKUP('Données projet'!$B$11,Paramètres!$A$1:$I$89,3,0)*VLOOKUP('Données projet'!$B$11,Paramètres!$A$1:$I$89,5,0)</f>
        <v>413.65999999999985</v>
      </c>
      <c r="BF135" s="13">
        <f t="shared" si="145"/>
        <v>94.540585122244352</v>
      </c>
      <c r="BG135" s="20">
        <f t="shared" si="115"/>
        <v>885.11601908790863</v>
      </c>
      <c r="BH135" s="59">
        <f t="shared" si="116"/>
        <v>1178.4493524212419</v>
      </c>
      <c r="BI135" s="59">
        <f ca="1">AVERAGE(OFFSET($BH$3,0,0,'Données projet'!$E$11+1,1))-AVERAGE(OFFSET($H$3,0,0,'Données projet'!$E$11+1,1))</f>
        <v>555.15881087162279</v>
      </c>
      <c r="BJ135" s="59">
        <f t="shared" si="146"/>
        <v>668.20427590250733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29.675051882800354</v>
      </c>
      <c r="BQ135" s="21">
        <f>EXP(-LN(2)/25)*BQ134+(1-EXP(-LN(2)/25))/(LN(2)/25)*Calculateur!BL135*Calculateur!BN135*VLOOKUP('Données projet'!$B$11,Paramètres!$A$1:$I$89,3,0)*0.475*44/12</f>
        <v>3.4165484742355456</v>
      </c>
      <c r="BR135" s="21">
        <f>EXP(-LN(2)/2)*BR134+(1-EXP(-LN(2)/2))/(LN(2)/2)*BL135*BO135*VLOOKUP('Données projet'!$B$11,Paramètres!$A$1:$I$89,3,0)*0.475*44/12</f>
        <v>3.7769048632568365E-16</v>
      </c>
      <c r="BS135" s="22">
        <f t="shared" si="117"/>
        <v>33.091600357035901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367.99999999999972</v>
      </c>
      <c r="BZ135" s="13">
        <f>BY135*VLOOKUP('Données projet'!$B$12,Paramètres!$A$1:$I$89,3,0)*VLOOKUP('Données projet'!$B$12,Paramètres!$A$1:$I$89,5,0)</f>
        <v>241.11359999999982</v>
      </c>
      <c r="CA135" s="13">
        <f t="shared" si="147"/>
        <v>58.6790623558988</v>
      </c>
      <c r="CB135" s="20">
        <f t="shared" si="118"/>
        <v>522.13888693652348</v>
      </c>
      <c r="CC135" s="59">
        <f t="shared" si="119"/>
        <v>815.47222026985673</v>
      </c>
      <c r="CD135" s="59">
        <f ca="1">AVERAGE(OFFSET($CC$3,0,0,'Données projet'!$E$12+1,1))-AVERAGE(OFFSET($H$3,0,0,'Données projet'!$E$12+1,1))</f>
        <v>340.49092994349405</v>
      </c>
      <c r="CE135" s="59">
        <f t="shared" si="148"/>
        <v>331.54434271908832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14.704093394408032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14.704093394408032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306.99999999999994</v>
      </c>
      <c r="CU135" s="17">
        <f>CT135*VLOOKUP('Données projet'!$B$13,Paramètres!$A$1:$I$89,3,0)*VLOOKUP('Données projet'!$B$13,Paramètres!$A$1:$I$89,5,0)</f>
        <v>277.77359999999993</v>
      </c>
      <c r="CV135" s="13">
        <f t="shared" si="149"/>
        <v>66.496288176842356</v>
      </c>
      <c r="CW135" s="20">
        <f t="shared" si="121"/>
        <v>599.60338857466706</v>
      </c>
      <c r="CX135" s="59">
        <f t="shared" si="122"/>
        <v>892.93672190800044</v>
      </c>
      <c r="CY135" s="59">
        <f ca="1">AVERAGE(OFFSET($CX$3,0,0,'Données projet'!$E$13+1,1))-AVERAGE(OFFSET($H$3,0,0,'Données projet'!$E$13+1,1))</f>
        <v>439.19854273764042</v>
      </c>
      <c r="CZ135" s="59">
        <f t="shared" si="150"/>
        <v>278.21741231699929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71.483832946365581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71.483832946365581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306.99999999999994</v>
      </c>
      <c r="DP135" s="17">
        <f>DO135*VLOOKUP('Données projet'!$B$14,Paramètres!$A$1:$I$89,3,0)*VLOOKUP('Données projet'!$B$14,Paramètres!$A$1:$I$89,5,0)</f>
        <v>258.61679999999996</v>
      </c>
      <c r="DQ135" s="13">
        <f t="shared" si="151"/>
        <v>62.427444141032439</v>
      </c>
      <c r="DR135" s="20">
        <f t="shared" si="124"/>
        <v>559.15205854563135</v>
      </c>
      <c r="DS135" s="59">
        <f t="shared" si="125"/>
        <v>852.48539187896472</v>
      </c>
      <c r="DT135" s="59">
        <f ca="1">AVERAGE(OFFSET($DS$3,0,0,'Données projet'!$E$14+1,1))-AVERAGE(OFFSET($H$3,0,0,'Données projet'!$E$14+1,1))</f>
        <v>411.72284844766</v>
      </c>
      <c r="DU135" s="59">
        <f t="shared" si="152"/>
        <v>261.95434270986397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66.553913432823137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66.553913432823137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636.99999999999977</v>
      </c>
      <c r="EK135" s="17">
        <f>EJ135*VLOOKUP('Données projet'!$B$15,Paramètres!$A$1:$I$89,3,0)*VLOOKUP('Données projet'!$B$15,Paramètres!$A$1:$I$89,5,0)</f>
        <v>356.08299999999991</v>
      </c>
      <c r="EL135" s="13">
        <f t="shared" si="153"/>
        <v>82.813805255716545</v>
      </c>
      <c r="EM135" s="20">
        <f t="shared" si="127"/>
        <v>764.41193582037283</v>
      </c>
      <c r="EN135" s="59">
        <f t="shared" si="128"/>
        <v>1057.7452691537062</v>
      </c>
      <c r="EO135" s="59">
        <f ca="1">AVERAGE(OFFSET($EN$3,0,0,'Données projet'!$E$15+1,1))-AVERAGE(OFFSET($H$3,0,0,'Données projet'!$E$15+1,1))</f>
        <v>443.34220761968419</v>
      </c>
      <c r="EP135" s="59">
        <f t="shared" si="154"/>
        <v>546.58234447298014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23.483831281681621</v>
      </c>
      <c r="EW135" s="21">
        <f>EXP(-LN(2)/25)*EW134+(1-EXP(-LN(2)/25))/(LN(2)/25)*Calculateur!ER135*Calculateur!ET135*VLOOKUP('Données projet'!$B$15,Paramètres!$A$1:$I$89,3,0)*0.475*44/12</f>
        <v>1.297122143025087</v>
      </c>
      <c r="EX135" s="21">
        <f>EXP(-LN(2)/2)*EX134+(1-EXP(-LN(2)/2))/(LN(2)/2)*ER135*EU135*VLOOKUP('Données projet'!$B$15,Paramètres!$A$1:$I$89,3,0)*0.475*44/12</f>
        <v>2.6830967850807316E-15</v>
      </c>
      <c r="EY135" s="22">
        <f t="shared" si="129"/>
        <v>24.780953424706713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224.00000000000006</v>
      </c>
      <c r="O136" s="13">
        <f>N136*VLOOKUP('Données projet'!$B$9,Paramètres!$A$1:$I$89,3,0)*VLOOKUP('Données projet'!$B$9,Paramètres!$A$1:$I$89,5,0)</f>
        <v>195.68640000000008</v>
      </c>
      <c r="P136" s="13">
        <f t="shared" si="141"/>
        <v>48.794969360985156</v>
      </c>
      <c r="Q136" s="20">
        <f t="shared" si="108"/>
        <v>425.8050516370493</v>
      </c>
      <c r="R136" s="59">
        <f t="shared" si="109"/>
        <v>719.13838497038262</v>
      </c>
      <c r="S136" s="59">
        <f ca="1">AVERAGE(OFFSET($R$3,0,0,'Données projet'!$E$9+1,1))-AVERAGE(OFFSET($H$3,0,0,'Données projet'!$E$9+1,1))</f>
        <v>304.32767345253382</v>
      </c>
      <c r="T136" s="59">
        <f t="shared" si="142"/>
        <v>427.16091343339173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14.846312917974517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14.846312917974517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367.99999999999972</v>
      </c>
      <c r="AJ136" s="13">
        <f>AI136*VLOOKUP('Données projet'!$B$10,Paramètres!$A$1:$I$89,3,0)*VLOOKUP('Données projet'!$B$10,Paramètres!$A$1:$I$89,5,0)</f>
        <v>292.78079999999977</v>
      </c>
      <c r="AK136" s="13">
        <f t="shared" si="143"/>
        <v>69.660903052386217</v>
      </c>
      <c r="AL136" s="20">
        <f t="shared" si="112"/>
        <v>631.25263281623893</v>
      </c>
      <c r="AM136" s="59">
        <f t="shared" si="113"/>
        <v>924.58596614957219</v>
      </c>
      <c r="AN136" s="59">
        <f ca="1">AVERAGE(OFFSET($AM$3,0,0,'Données projet'!$E$10+1,1))-AVERAGE(OFFSET($H$3,0,0,'Données projet'!$E$10+1,1))</f>
        <v>405.40026823646758</v>
      </c>
      <c r="AO136" s="59">
        <f t="shared" si="144"/>
        <v>393.0787141050053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21.57573976327431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21.57573976327431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739.99999999999966</v>
      </c>
      <c r="BE136" s="13">
        <f>BD136*VLOOKUP('Données projet'!$B$11,Paramètres!$A$1:$I$89,3,0)*VLOOKUP('Données projet'!$B$11,Paramètres!$A$1:$I$89,5,0)</f>
        <v>413.65999999999985</v>
      </c>
      <c r="BF136" s="13">
        <f t="shared" si="145"/>
        <v>94.540585122244352</v>
      </c>
      <c r="BG136" s="20">
        <f t="shared" si="115"/>
        <v>885.11601908790863</v>
      </c>
      <c r="BH136" s="59">
        <f t="shared" si="116"/>
        <v>1178.4493524212419</v>
      </c>
      <c r="BI136" s="59">
        <f ca="1">AVERAGE(OFFSET($BH$3,0,0,'Données projet'!$E$11+1,1))-AVERAGE(OFFSET($H$3,0,0,'Données projet'!$E$11+1,1))</f>
        <v>555.15881087162279</v>
      </c>
      <c r="BJ136" s="59">
        <f t="shared" si="146"/>
        <v>668.20427590250733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29.09314221537306</v>
      </c>
      <c r="BQ136" s="21">
        <f>EXP(-LN(2)/25)*BQ135+(1-EXP(-LN(2)/25))/(LN(2)/25)*Calculateur!BL136*Calculateur!BN136*VLOOKUP('Données projet'!$B$11,Paramètres!$A$1:$I$89,3,0)*0.475*44/12</f>
        <v>3.3231227765390989</v>
      </c>
      <c r="BR136" s="21">
        <f>EXP(-LN(2)/2)*BR135+(1-EXP(-LN(2)/2))/(LN(2)/2)*BL136*BO136*VLOOKUP('Données projet'!$B$11,Paramètres!$A$1:$I$89,3,0)*0.475*44/12</f>
        <v>2.670675040705359E-16</v>
      </c>
      <c r="BS136" s="22">
        <f t="shared" si="117"/>
        <v>32.416264991912158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367.99999999999972</v>
      </c>
      <c r="BZ136" s="13">
        <f>BY136*VLOOKUP('Données projet'!$B$12,Paramètres!$A$1:$I$89,3,0)*VLOOKUP('Données projet'!$B$12,Paramètres!$A$1:$I$89,5,0)</f>
        <v>241.11359999999982</v>
      </c>
      <c r="CA136" s="13">
        <f t="shared" si="147"/>
        <v>58.6790623558988</v>
      </c>
      <c r="CB136" s="20">
        <f t="shared" si="118"/>
        <v>522.13888693652348</v>
      </c>
      <c r="CC136" s="59">
        <f t="shared" si="119"/>
        <v>815.47222026985673</v>
      </c>
      <c r="CD136" s="59">
        <f ca="1">AVERAGE(OFFSET($CC$3,0,0,'Données projet'!$E$12+1,1))-AVERAGE(OFFSET($H$3,0,0,'Données projet'!$E$12+1,1))</f>
        <v>340.49092994349405</v>
      </c>
      <c r="CE136" s="59">
        <f t="shared" si="148"/>
        <v>331.54434271908832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14.415755091555084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14.415755091555084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306.99999999999994</v>
      </c>
      <c r="CU136" s="17">
        <f>CT136*VLOOKUP('Données projet'!$B$13,Paramètres!$A$1:$I$89,3,0)*VLOOKUP('Données projet'!$B$13,Paramètres!$A$1:$I$89,5,0)</f>
        <v>277.77359999999993</v>
      </c>
      <c r="CV136" s="13">
        <f t="shared" si="149"/>
        <v>66.496288176842356</v>
      </c>
      <c r="CW136" s="20">
        <f t="shared" si="121"/>
        <v>599.60338857466706</v>
      </c>
      <c r="CX136" s="59">
        <f t="shared" si="122"/>
        <v>892.93672190800044</v>
      </c>
      <c r="CY136" s="59">
        <f ca="1">AVERAGE(OFFSET($CX$3,0,0,'Données projet'!$E$13+1,1))-AVERAGE(OFFSET($H$3,0,0,'Données projet'!$E$13+1,1))</f>
        <v>439.19854273764042</v>
      </c>
      <c r="CZ136" s="59">
        <f t="shared" si="150"/>
        <v>278.21741231699929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70.082078583120222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70.082078583120222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306.99999999999994</v>
      </c>
      <c r="DP136" s="17">
        <f>DO136*VLOOKUP('Données projet'!$B$14,Paramètres!$A$1:$I$89,3,0)*VLOOKUP('Données projet'!$B$14,Paramètres!$A$1:$I$89,5,0)</f>
        <v>258.61679999999996</v>
      </c>
      <c r="DQ136" s="13">
        <f t="shared" si="151"/>
        <v>62.427444141032439</v>
      </c>
      <c r="DR136" s="20">
        <f t="shared" si="124"/>
        <v>559.15205854563135</v>
      </c>
      <c r="DS136" s="59">
        <f t="shared" si="125"/>
        <v>852.48539187896472</v>
      </c>
      <c r="DT136" s="59">
        <f ca="1">AVERAGE(OFFSET($DS$3,0,0,'Données projet'!$E$14+1,1))-AVERAGE(OFFSET($H$3,0,0,'Données projet'!$E$14+1,1))</f>
        <v>411.72284844766</v>
      </c>
      <c r="DU136" s="59">
        <f t="shared" si="152"/>
        <v>261.95434270986397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65.248831784284363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65.248831784284363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636.99999999999977</v>
      </c>
      <c r="EK136" s="17">
        <f>EJ136*VLOOKUP('Données projet'!$B$15,Paramètres!$A$1:$I$89,3,0)*VLOOKUP('Données projet'!$B$15,Paramètres!$A$1:$I$89,5,0)</f>
        <v>356.08299999999991</v>
      </c>
      <c r="EL136" s="13">
        <f t="shared" si="153"/>
        <v>82.813805255716545</v>
      </c>
      <c r="EM136" s="20">
        <f t="shared" si="127"/>
        <v>764.41193582037283</v>
      </c>
      <c r="EN136" s="59">
        <f t="shared" si="128"/>
        <v>1057.7452691537062</v>
      </c>
      <c r="EO136" s="59">
        <f ca="1">AVERAGE(OFFSET($EN$3,0,0,'Données projet'!$E$15+1,1))-AVERAGE(OFFSET($H$3,0,0,'Données projet'!$E$15+1,1))</f>
        <v>443.34220761968419</v>
      </c>
      <c r="EP136" s="59">
        <f t="shared" si="154"/>
        <v>546.58234447298014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23.023327673970577</v>
      </c>
      <c r="EW136" s="21">
        <f>EXP(-LN(2)/25)*EW135+(1-EXP(-LN(2)/25))/(LN(2)/25)*Calculateur!ER136*Calculateur!ET136*VLOOKUP('Données projet'!$B$15,Paramètres!$A$1:$I$89,3,0)*0.475*44/12</f>
        <v>1.261652269811377</v>
      </c>
      <c r="EX136" s="21">
        <f>EXP(-LN(2)/2)*EX135+(1-EXP(-LN(2)/2))/(LN(2)/2)*ER136*EU136*VLOOKUP('Données projet'!$B$15,Paramètres!$A$1:$I$89,3,0)*0.475*44/12</f>
        <v>1.89723593131041E-15</v>
      </c>
      <c r="EY136" s="22">
        <f t="shared" si="129"/>
        <v>24.284979943781959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224.00000000000006</v>
      </c>
      <c r="O137" s="13">
        <f>N137*VLOOKUP('Données projet'!$B$9,Paramètres!$A$1:$I$89,3,0)*VLOOKUP('Données projet'!$B$9,Paramètres!$A$1:$I$89,5,0)</f>
        <v>195.68640000000008</v>
      </c>
      <c r="P137" s="13">
        <f t="shared" si="141"/>
        <v>48.794969360985156</v>
      </c>
      <c r="Q137" s="20">
        <f t="shared" si="108"/>
        <v>425.8050516370493</v>
      </c>
      <c r="R137" s="59">
        <f t="shared" si="109"/>
        <v>719.13838497038262</v>
      </c>
      <c r="S137" s="59">
        <f ca="1">AVERAGE(OFFSET($R$3,0,0,'Données projet'!$E$9+1,1))-AVERAGE(OFFSET($H$3,0,0,'Données projet'!$E$9+1,1))</f>
        <v>304.32767345253382</v>
      </c>
      <c r="T137" s="59">
        <f t="shared" si="142"/>
        <v>427.16091343339173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14.555185777009774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14.555185777009774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367.99999999999972</v>
      </c>
      <c r="AJ137" s="13">
        <f>AI137*VLOOKUP('Données projet'!$B$10,Paramètres!$A$1:$I$89,3,0)*VLOOKUP('Données projet'!$B$10,Paramètres!$A$1:$I$89,5,0)</f>
        <v>292.78079999999977</v>
      </c>
      <c r="AK137" s="13">
        <f t="shared" si="143"/>
        <v>69.660903052386217</v>
      </c>
      <c r="AL137" s="20">
        <f t="shared" si="112"/>
        <v>631.25263281623893</v>
      </c>
      <c r="AM137" s="59">
        <f t="shared" si="113"/>
        <v>924.58596614957219</v>
      </c>
      <c r="AN137" s="59">
        <f ca="1">AVERAGE(OFFSET($AM$3,0,0,'Données projet'!$E$10+1,1))-AVERAGE(OFFSET($H$3,0,0,'Données projet'!$E$10+1,1))</f>
        <v>405.40026823646758</v>
      </c>
      <c r="AO137" s="59">
        <f t="shared" si="144"/>
        <v>393.0787141050053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21.152652666418323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21.152652666418323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739.99999999999966</v>
      </c>
      <c r="BE137" s="13">
        <f>BD137*VLOOKUP('Données projet'!$B$11,Paramètres!$A$1:$I$89,3,0)*VLOOKUP('Données projet'!$B$11,Paramètres!$A$1:$I$89,5,0)</f>
        <v>413.65999999999985</v>
      </c>
      <c r="BF137" s="13">
        <f t="shared" si="145"/>
        <v>94.540585122244352</v>
      </c>
      <c r="BG137" s="20">
        <f t="shared" si="115"/>
        <v>885.11601908790863</v>
      </c>
      <c r="BH137" s="59">
        <f t="shared" si="116"/>
        <v>1178.4493524212419</v>
      </c>
      <c r="BI137" s="59">
        <f ca="1">AVERAGE(OFFSET($BH$3,0,0,'Données projet'!$E$11+1,1))-AVERAGE(OFFSET($H$3,0,0,'Données projet'!$E$11+1,1))</f>
        <v>555.15881087162279</v>
      </c>
      <c r="BJ137" s="59">
        <f t="shared" si="146"/>
        <v>668.20427590250733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28.522643441594166</v>
      </c>
      <c r="BQ137" s="21">
        <f>EXP(-LN(2)/25)*BQ136+(1-EXP(-LN(2)/25))/(LN(2)/25)*Calculateur!BL137*Calculateur!BN137*VLOOKUP('Données projet'!$B$11,Paramètres!$A$1:$I$89,3,0)*0.475*44/12</f>
        <v>3.2322518094592056</v>
      </c>
      <c r="BR137" s="21">
        <f>EXP(-LN(2)/2)*BR136+(1-EXP(-LN(2)/2))/(LN(2)/2)*BL137*BO137*VLOOKUP('Données projet'!$B$11,Paramètres!$A$1:$I$89,3,0)*0.475*44/12</f>
        <v>1.8884524316284183E-16</v>
      </c>
      <c r="BS137" s="22">
        <f t="shared" si="117"/>
        <v>31.754895251053373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367.99999999999972</v>
      </c>
      <c r="BZ137" s="13">
        <f>BY137*VLOOKUP('Données projet'!$B$12,Paramètres!$A$1:$I$89,3,0)*VLOOKUP('Données projet'!$B$12,Paramètres!$A$1:$I$89,5,0)</f>
        <v>241.11359999999982</v>
      </c>
      <c r="CA137" s="13">
        <f t="shared" si="147"/>
        <v>58.6790623558988</v>
      </c>
      <c r="CB137" s="20">
        <f t="shared" si="118"/>
        <v>522.13888693652348</v>
      </c>
      <c r="CC137" s="59">
        <f t="shared" si="119"/>
        <v>815.47222026985673</v>
      </c>
      <c r="CD137" s="59">
        <f ca="1">AVERAGE(OFFSET($CC$3,0,0,'Données projet'!$E$12+1,1))-AVERAGE(OFFSET($H$3,0,0,'Données projet'!$E$12+1,1))</f>
        <v>340.49092994349405</v>
      </c>
      <c r="CE137" s="59">
        <f t="shared" si="148"/>
        <v>331.54434271908832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14.133070926952083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14.133070926952083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306.99999999999994</v>
      </c>
      <c r="CU137" s="17">
        <f>CT137*VLOOKUP('Données projet'!$B$13,Paramètres!$A$1:$I$89,3,0)*VLOOKUP('Données projet'!$B$13,Paramètres!$A$1:$I$89,5,0)</f>
        <v>277.77359999999993</v>
      </c>
      <c r="CV137" s="13">
        <f t="shared" si="149"/>
        <v>66.496288176842356</v>
      </c>
      <c r="CW137" s="20">
        <f t="shared" si="121"/>
        <v>599.60338857466706</v>
      </c>
      <c r="CX137" s="59">
        <f t="shared" si="122"/>
        <v>892.93672190800044</v>
      </c>
      <c r="CY137" s="59">
        <f ca="1">AVERAGE(OFFSET($CX$3,0,0,'Données projet'!$E$13+1,1))-AVERAGE(OFFSET($H$3,0,0,'Données projet'!$E$13+1,1))</f>
        <v>439.19854273764042</v>
      </c>
      <c r="CZ137" s="59">
        <f t="shared" si="150"/>
        <v>278.21741231699929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68.707811767952364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68.707811767952364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306.99999999999994</v>
      </c>
      <c r="DP137" s="17">
        <f>DO137*VLOOKUP('Données projet'!$B$14,Paramètres!$A$1:$I$89,3,0)*VLOOKUP('Données projet'!$B$14,Paramètres!$A$1:$I$89,5,0)</f>
        <v>258.61679999999996</v>
      </c>
      <c r="DQ137" s="13">
        <f t="shared" si="151"/>
        <v>62.427444141032439</v>
      </c>
      <c r="DR137" s="20">
        <f t="shared" si="124"/>
        <v>559.15205854563135</v>
      </c>
      <c r="DS137" s="59">
        <f t="shared" si="125"/>
        <v>852.48539187896472</v>
      </c>
      <c r="DT137" s="59">
        <f ca="1">AVERAGE(OFFSET($DS$3,0,0,'Données projet'!$E$14+1,1))-AVERAGE(OFFSET($H$3,0,0,'Données projet'!$E$14+1,1))</f>
        <v>411.72284844766</v>
      </c>
      <c r="DU137" s="59">
        <f t="shared" si="152"/>
        <v>261.95434270986397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63.969341990852222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63.969341990852222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636.99999999999977</v>
      </c>
      <c r="EK137" s="17">
        <f>EJ137*VLOOKUP('Données projet'!$B$15,Paramètres!$A$1:$I$89,3,0)*VLOOKUP('Données projet'!$B$15,Paramètres!$A$1:$I$89,5,0)</f>
        <v>356.08299999999991</v>
      </c>
      <c r="EL137" s="13">
        <f t="shared" si="153"/>
        <v>82.813805255716545</v>
      </c>
      <c r="EM137" s="20">
        <f t="shared" si="127"/>
        <v>764.41193582037283</v>
      </c>
      <c r="EN137" s="59">
        <f t="shared" si="128"/>
        <v>1057.7452691537062</v>
      </c>
      <c r="EO137" s="59">
        <f ca="1">AVERAGE(OFFSET($EN$3,0,0,'Données projet'!$E$15+1,1))-AVERAGE(OFFSET($H$3,0,0,'Données projet'!$E$15+1,1))</f>
        <v>443.34220761968419</v>
      </c>
      <c r="EP137" s="59">
        <f t="shared" si="154"/>
        <v>546.58234447298014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22.571854261127278</v>
      </c>
      <c r="EW137" s="21">
        <f>EXP(-LN(2)/25)*EW136+(1-EXP(-LN(2)/25))/(LN(2)/25)*Calculateur!ER137*Calculateur!ET137*VLOOKUP('Données projet'!$B$15,Paramètres!$A$1:$I$89,3,0)*0.475*44/12</f>
        <v>1.2271523221459757</v>
      </c>
      <c r="EX137" s="21">
        <f>EXP(-LN(2)/2)*EX136+(1-EXP(-LN(2)/2))/(LN(2)/2)*ER137*EU137*VLOOKUP('Données projet'!$B$15,Paramètres!$A$1:$I$89,3,0)*0.475*44/12</f>
        <v>1.3415483925403658E-15</v>
      </c>
      <c r="EY137" s="22">
        <f t="shared" si="129"/>
        <v>23.799006583273254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224.00000000000006</v>
      </c>
      <c r="O138" s="13">
        <f>N138*VLOOKUP('Données projet'!$B$9,Paramètres!$A$1:$I$89,3,0)*VLOOKUP('Données projet'!$B$9,Paramètres!$A$1:$I$89,5,0)</f>
        <v>195.68640000000008</v>
      </c>
      <c r="P138" s="13">
        <f t="shared" si="141"/>
        <v>48.794969360985156</v>
      </c>
      <c r="Q138" s="20">
        <f t="shared" si="108"/>
        <v>425.8050516370493</v>
      </c>
      <c r="R138" s="59">
        <f t="shared" si="109"/>
        <v>719.13838497038262</v>
      </c>
      <c r="S138" s="59">
        <f ca="1">AVERAGE(OFFSET($R$3,0,0,'Données projet'!$E$9+1,1))-AVERAGE(OFFSET($H$3,0,0,'Données projet'!$E$9+1,1))</f>
        <v>304.32767345253382</v>
      </c>
      <c r="T138" s="59">
        <f t="shared" si="142"/>
        <v>427.16091343339173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14.269767461709327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14.269767461709327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367.99999999999972</v>
      </c>
      <c r="AJ138" s="13">
        <f>AI138*VLOOKUP('Données projet'!$B$10,Paramètres!$A$1:$I$89,3,0)*VLOOKUP('Données projet'!$B$10,Paramètres!$A$1:$I$89,5,0)</f>
        <v>292.78079999999977</v>
      </c>
      <c r="AK138" s="13">
        <f t="shared" si="143"/>
        <v>69.660903052386217</v>
      </c>
      <c r="AL138" s="20">
        <f t="shared" si="112"/>
        <v>631.25263281623893</v>
      </c>
      <c r="AM138" s="59">
        <f t="shared" si="113"/>
        <v>924.58596614957219</v>
      </c>
      <c r="AN138" s="59">
        <f ca="1">AVERAGE(OFFSET($AM$3,0,0,'Données projet'!$E$10+1,1))-AVERAGE(OFFSET($H$3,0,0,'Données projet'!$E$10+1,1))</f>
        <v>405.40026823646758</v>
      </c>
      <c r="AO138" s="59">
        <f t="shared" si="144"/>
        <v>393.0787141050053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20.737862049474035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20.737862049474035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739.99999999999966</v>
      </c>
      <c r="BE138" s="13">
        <f>BD138*VLOOKUP('Données projet'!$B$11,Paramètres!$A$1:$I$89,3,0)*VLOOKUP('Données projet'!$B$11,Paramètres!$A$1:$I$89,5,0)</f>
        <v>413.65999999999985</v>
      </c>
      <c r="BF138" s="13">
        <f t="shared" si="145"/>
        <v>94.540585122244352</v>
      </c>
      <c r="BG138" s="20">
        <f t="shared" si="115"/>
        <v>885.11601908790863</v>
      </c>
      <c r="BH138" s="59">
        <f t="shared" si="116"/>
        <v>1178.4493524212419</v>
      </c>
      <c r="BI138" s="59">
        <f ca="1">AVERAGE(OFFSET($BH$3,0,0,'Données projet'!$E$11+1,1))-AVERAGE(OFFSET($H$3,0,0,'Données projet'!$E$11+1,1))</f>
        <v>555.15881087162279</v>
      </c>
      <c r="BJ138" s="59">
        <f t="shared" si="146"/>
        <v>668.20427590250733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27.963331800799182</v>
      </c>
      <c r="BQ138" s="21">
        <f>EXP(-LN(2)/25)*BQ137+(1-EXP(-LN(2)/25))/(LN(2)/25)*Calculateur!BL138*Calculateur!BN138*VLOOKUP('Données projet'!$B$11,Paramètres!$A$1:$I$89,3,0)*0.475*44/12</f>
        <v>3.1438657137528083</v>
      </c>
      <c r="BR138" s="21">
        <f>EXP(-LN(2)/2)*BR137+(1-EXP(-LN(2)/2))/(LN(2)/2)*BL138*BO138*VLOOKUP('Données projet'!$B$11,Paramètres!$A$1:$I$89,3,0)*0.475*44/12</f>
        <v>1.3353375203526795E-16</v>
      </c>
      <c r="BS138" s="22">
        <f t="shared" si="117"/>
        <v>31.107197514551991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367.99999999999972</v>
      </c>
      <c r="BZ138" s="13">
        <f>BY138*VLOOKUP('Données projet'!$B$12,Paramètres!$A$1:$I$89,3,0)*VLOOKUP('Données projet'!$B$12,Paramètres!$A$1:$I$89,5,0)</f>
        <v>241.11359999999982</v>
      </c>
      <c r="CA138" s="13">
        <f t="shared" si="147"/>
        <v>58.6790623558988</v>
      </c>
      <c r="CB138" s="20">
        <f t="shared" si="118"/>
        <v>522.13888693652348</v>
      </c>
      <c r="CC138" s="59">
        <f t="shared" si="119"/>
        <v>815.47222026985673</v>
      </c>
      <c r="CD138" s="59">
        <f ca="1">AVERAGE(OFFSET($CC$3,0,0,'Données projet'!$E$12+1,1))-AVERAGE(OFFSET($H$3,0,0,'Données projet'!$E$12+1,1))</f>
        <v>340.49092994349405</v>
      </c>
      <c r="CE138" s="59">
        <f t="shared" si="148"/>
        <v>331.54434271908832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13.855930026396631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13.855930026396631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306.99999999999994</v>
      </c>
      <c r="CU138" s="17">
        <f>CT138*VLOOKUP('Données projet'!$B$13,Paramètres!$A$1:$I$89,3,0)*VLOOKUP('Données projet'!$B$13,Paramètres!$A$1:$I$89,5,0)</f>
        <v>277.77359999999993</v>
      </c>
      <c r="CV138" s="13">
        <f t="shared" si="149"/>
        <v>66.496288176842356</v>
      </c>
      <c r="CW138" s="20">
        <f t="shared" si="121"/>
        <v>599.60338857466706</v>
      </c>
      <c r="CX138" s="59">
        <f t="shared" si="122"/>
        <v>892.93672190800044</v>
      </c>
      <c r="CY138" s="59">
        <f ca="1">AVERAGE(OFFSET($CX$3,0,0,'Données projet'!$E$13+1,1))-AVERAGE(OFFSET($H$3,0,0,'Données projet'!$E$13+1,1))</f>
        <v>439.19854273764042</v>
      </c>
      <c r="CZ138" s="59">
        <f t="shared" si="150"/>
        <v>278.21741231699929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67.360493486809958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67.360493486809958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306.99999999999994</v>
      </c>
      <c r="DP138" s="17">
        <f>DO138*VLOOKUP('Données projet'!$B$14,Paramètres!$A$1:$I$89,3,0)*VLOOKUP('Données projet'!$B$14,Paramètres!$A$1:$I$89,5,0)</f>
        <v>258.61679999999996</v>
      </c>
      <c r="DQ138" s="13">
        <f t="shared" si="151"/>
        <v>62.427444141032439</v>
      </c>
      <c r="DR138" s="20">
        <f t="shared" si="124"/>
        <v>559.15205854563135</v>
      </c>
      <c r="DS138" s="59">
        <f t="shared" si="125"/>
        <v>852.48539187896472</v>
      </c>
      <c r="DT138" s="59">
        <f ca="1">AVERAGE(OFFSET($DS$3,0,0,'Données projet'!$E$14+1,1))-AVERAGE(OFFSET($H$3,0,0,'Données projet'!$E$14+1,1))</f>
        <v>411.72284844766</v>
      </c>
      <c r="DU138" s="59">
        <f t="shared" si="152"/>
        <v>261.95434270986397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62.714942211857569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62.714942211857569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636.99999999999977</v>
      </c>
      <c r="EK138" s="17">
        <f>EJ138*VLOOKUP('Données projet'!$B$15,Paramètres!$A$1:$I$89,3,0)*VLOOKUP('Données projet'!$B$15,Paramètres!$A$1:$I$89,5,0)</f>
        <v>356.08299999999991</v>
      </c>
      <c r="EL138" s="13">
        <f t="shared" si="153"/>
        <v>82.813805255716545</v>
      </c>
      <c r="EM138" s="20">
        <f t="shared" si="127"/>
        <v>764.41193582037283</v>
      </c>
      <c r="EN138" s="59">
        <f t="shared" si="128"/>
        <v>1057.7452691537062</v>
      </c>
      <c r="EO138" s="59">
        <f ca="1">AVERAGE(OFFSET($EN$3,0,0,'Données projet'!$E$15+1,1))-AVERAGE(OFFSET($H$3,0,0,'Données projet'!$E$15+1,1))</f>
        <v>443.34220761968419</v>
      </c>
      <c r="EP138" s="59">
        <f t="shared" si="154"/>
        <v>546.58234447298014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22.129233966538248</v>
      </c>
      <c r="EW138" s="21">
        <f>EXP(-LN(2)/25)*EW137+(1-EXP(-LN(2)/25))/(LN(2)/25)*Calculateur!ER138*Calculateur!ET138*VLOOKUP('Données projet'!$B$15,Paramètres!$A$1:$I$89,3,0)*0.475*44/12</f>
        <v>1.193595777363758</v>
      </c>
      <c r="EX138" s="21">
        <f>EXP(-LN(2)/2)*EX137+(1-EXP(-LN(2)/2))/(LN(2)/2)*ER138*EU138*VLOOKUP('Données projet'!$B$15,Paramètres!$A$1:$I$89,3,0)*0.475*44/12</f>
        <v>9.4861796565520498E-16</v>
      </c>
      <c r="EY138" s="22">
        <f t="shared" si="129"/>
        <v>23.322829743902005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224.00000000000006</v>
      </c>
      <c r="O139" s="13">
        <f>N139*VLOOKUP('Données projet'!$B$9,Paramètres!$A$1:$I$89,3,0)*VLOOKUP('Données projet'!$B$9,Paramètres!$A$1:$I$89,5,0)</f>
        <v>195.68640000000008</v>
      </c>
      <c r="P139" s="13">
        <f t="shared" si="141"/>
        <v>48.794969360985156</v>
      </c>
      <c r="Q139" s="20">
        <f t="shared" si="108"/>
        <v>425.8050516370493</v>
      </c>
      <c r="R139" s="59">
        <f t="shared" si="109"/>
        <v>719.13838497038262</v>
      </c>
      <c r="S139" s="59">
        <f ca="1">AVERAGE(OFFSET($R$3,0,0,'Données projet'!$E$9+1,1))-AVERAGE(OFFSET($H$3,0,0,'Données projet'!$E$9+1,1))</f>
        <v>304.32767345253382</v>
      </c>
      <c r="T139" s="59">
        <f t="shared" si="142"/>
        <v>427.16091343339173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13.98994602548394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13.98994602548394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367.99999999999972</v>
      </c>
      <c r="AJ139" s="13">
        <f>AI139*VLOOKUP('Données projet'!$B$10,Paramètres!$A$1:$I$89,3,0)*VLOOKUP('Données projet'!$B$10,Paramètres!$A$1:$I$89,5,0)</f>
        <v>292.78079999999977</v>
      </c>
      <c r="AK139" s="13">
        <f t="shared" si="143"/>
        <v>69.660903052386217</v>
      </c>
      <c r="AL139" s="20">
        <f t="shared" si="112"/>
        <v>631.25263281623893</v>
      </c>
      <c r="AM139" s="59">
        <f t="shared" si="113"/>
        <v>924.58596614957219</v>
      </c>
      <c r="AN139" s="59">
        <f ca="1">AVERAGE(OFFSET($AM$3,0,0,'Données projet'!$E$10+1,1))-AVERAGE(OFFSET($H$3,0,0,'Données projet'!$E$10+1,1))</f>
        <v>405.40026823646758</v>
      </c>
      <c r="AO139" s="59">
        <f t="shared" si="144"/>
        <v>393.0787141050053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20.331205223530731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20.331205223530731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739.99999999999966</v>
      </c>
      <c r="BE139" s="13">
        <f>BD139*VLOOKUP('Données projet'!$B$11,Paramètres!$A$1:$I$89,3,0)*VLOOKUP('Données projet'!$B$11,Paramètres!$A$1:$I$89,5,0)</f>
        <v>413.65999999999985</v>
      </c>
      <c r="BF139" s="13">
        <f t="shared" si="145"/>
        <v>94.540585122244352</v>
      </c>
      <c r="BG139" s="20">
        <f t="shared" si="115"/>
        <v>885.11601908790863</v>
      </c>
      <c r="BH139" s="59">
        <f t="shared" si="116"/>
        <v>1178.4493524212419</v>
      </c>
      <c r="BI139" s="59">
        <f ca="1">AVERAGE(OFFSET($BH$3,0,0,'Données projet'!$E$11+1,1))-AVERAGE(OFFSET($H$3,0,0,'Données projet'!$E$11+1,1))</f>
        <v>555.15881087162279</v>
      </c>
      <c r="BJ139" s="59">
        <f t="shared" si="146"/>
        <v>668.20427590250733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27.414987920133772</v>
      </c>
      <c r="BQ139" s="21">
        <f>EXP(-LN(2)/25)*BQ138+(1-EXP(-LN(2)/25))/(LN(2)/25)*Calculateur!BL139*Calculateur!BN139*VLOOKUP('Données projet'!$B$11,Paramètres!$A$1:$I$89,3,0)*0.475*44/12</f>
        <v>3.0578965404815253</v>
      </c>
      <c r="BR139" s="21">
        <f>EXP(-LN(2)/2)*BR138+(1-EXP(-LN(2)/2))/(LN(2)/2)*BL139*BO139*VLOOKUP('Données projet'!$B$11,Paramètres!$A$1:$I$89,3,0)*0.475*44/12</f>
        <v>9.4422621581420913E-17</v>
      </c>
      <c r="BS139" s="22">
        <f t="shared" si="117"/>
        <v>30.472884460615298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367.99999999999972</v>
      </c>
      <c r="BZ139" s="13">
        <f>BY139*VLOOKUP('Données projet'!$B$12,Paramètres!$A$1:$I$89,3,0)*VLOOKUP('Données projet'!$B$12,Paramètres!$A$1:$I$89,5,0)</f>
        <v>241.11359999999982</v>
      </c>
      <c r="CA139" s="13">
        <f t="shared" si="147"/>
        <v>58.6790623558988</v>
      </c>
      <c r="CB139" s="20">
        <f t="shared" si="118"/>
        <v>522.13888693652348</v>
      </c>
      <c r="CC139" s="59">
        <f t="shared" si="119"/>
        <v>815.47222026985673</v>
      </c>
      <c r="CD139" s="59">
        <f ca="1">AVERAGE(OFFSET($CC$3,0,0,'Données projet'!$E$12+1,1))-AVERAGE(OFFSET($H$3,0,0,'Données projet'!$E$12+1,1))</f>
        <v>340.49092994349405</v>
      </c>
      <c r="CE139" s="59">
        <f t="shared" si="148"/>
        <v>331.54434271908832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13.584223689861815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13.584223689861815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306.99999999999994</v>
      </c>
      <c r="CU139" s="17">
        <f>CT139*VLOOKUP('Données projet'!$B$13,Paramètres!$A$1:$I$89,3,0)*VLOOKUP('Données projet'!$B$13,Paramètres!$A$1:$I$89,5,0)</f>
        <v>277.77359999999993</v>
      </c>
      <c r="CV139" s="13">
        <f t="shared" si="149"/>
        <v>66.496288176842356</v>
      </c>
      <c r="CW139" s="20">
        <f t="shared" si="121"/>
        <v>599.60338857466706</v>
      </c>
      <c r="CX139" s="59">
        <f t="shared" si="122"/>
        <v>892.93672190800044</v>
      </c>
      <c r="CY139" s="59">
        <f ca="1">AVERAGE(OFFSET($CX$3,0,0,'Données projet'!$E$13+1,1))-AVERAGE(OFFSET($H$3,0,0,'Données projet'!$E$13+1,1))</f>
        <v>439.19854273764042</v>
      </c>
      <c r="CZ139" s="59">
        <f t="shared" si="150"/>
        <v>278.21741231699929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66.039595295377751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66.039595295377751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306.99999999999994</v>
      </c>
      <c r="DP139" s="17">
        <f>DO139*VLOOKUP('Données projet'!$B$14,Paramètres!$A$1:$I$89,3,0)*VLOOKUP('Données projet'!$B$14,Paramètres!$A$1:$I$89,5,0)</f>
        <v>258.61679999999996</v>
      </c>
      <c r="DQ139" s="13">
        <f t="shared" si="151"/>
        <v>62.427444141032439</v>
      </c>
      <c r="DR139" s="20">
        <f t="shared" si="124"/>
        <v>559.15205854563135</v>
      </c>
      <c r="DS139" s="59">
        <f t="shared" si="125"/>
        <v>852.48539187896472</v>
      </c>
      <c r="DT139" s="59">
        <f ca="1">AVERAGE(OFFSET($DS$3,0,0,'Données projet'!$E$14+1,1))-AVERAGE(OFFSET($H$3,0,0,'Données projet'!$E$14+1,1))</f>
        <v>411.72284844766</v>
      </c>
      <c r="DU139" s="59">
        <f t="shared" si="152"/>
        <v>261.95434270986397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61.485140447420683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61.485140447420683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636.99999999999977</v>
      </c>
      <c r="EK139" s="17">
        <f>EJ139*VLOOKUP('Données projet'!$B$15,Paramètres!$A$1:$I$89,3,0)*VLOOKUP('Données projet'!$B$15,Paramètres!$A$1:$I$89,5,0)</f>
        <v>356.08299999999991</v>
      </c>
      <c r="EL139" s="13">
        <f t="shared" si="153"/>
        <v>82.813805255716545</v>
      </c>
      <c r="EM139" s="20">
        <f t="shared" si="127"/>
        <v>764.41193582037283</v>
      </c>
      <c r="EN139" s="59">
        <f t="shared" si="128"/>
        <v>1057.7452691537062</v>
      </c>
      <c r="EO139" s="59">
        <f ca="1">AVERAGE(OFFSET($EN$3,0,0,'Données projet'!$E$15+1,1))-AVERAGE(OFFSET($H$3,0,0,'Données projet'!$E$15+1,1))</f>
        <v>443.34220761968419</v>
      </c>
      <c r="EP139" s="59">
        <f t="shared" si="154"/>
        <v>546.58234447298014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21.695293185954384</v>
      </c>
      <c r="EW139" s="21">
        <f>EXP(-LN(2)/25)*EW138+(1-EXP(-LN(2)/25))/(LN(2)/25)*Calculateur!ER139*Calculateur!ET139*VLOOKUP('Données projet'!$B$15,Paramètres!$A$1:$I$89,3,0)*0.475*44/12</f>
        <v>1.160956838063272</v>
      </c>
      <c r="EX139" s="21">
        <f>EXP(-LN(2)/2)*EX138+(1-EXP(-LN(2)/2))/(LN(2)/2)*ER139*EU139*VLOOKUP('Données projet'!$B$15,Paramètres!$A$1:$I$89,3,0)*0.475*44/12</f>
        <v>6.7077419627018289E-16</v>
      </c>
      <c r="EY139" s="22">
        <f t="shared" si="129"/>
        <v>22.856250024017655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224.00000000000006</v>
      </c>
      <c r="O140" s="13">
        <f>N140*VLOOKUP('Données projet'!$B$9,Paramètres!$A$1:$I$89,3,0)*VLOOKUP('Données projet'!$B$9,Paramètres!$A$1:$I$89,5,0)</f>
        <v>195.68640000000008</v>
      </c>
      <c r="P140" s="13">
        <f t="shared" si="141"/>
        <v>48.794969360985156</v>
      </c>
      <c r="Q140" s="20">
        <f t="shared" si="108"/>
        <v>425.8050516370493</v>
      </c>
      <c r="R140" s="59">
        <f t="shared" si="109"/>
        <v>719.13838497038262</v>
      </c>
      <c r="S140" s="59">
        <f ca="1">AVERAGE(OFFSET($R$3,0,0,'Données projet'!$E$9+1,1))-AVERAGE(OFFSET($H$3,0,0,'Données projet'!$E$9+1,1))</f>
        <v>304.32767345253382</v>
      </c>
      <c r="T140" s="59">
        <f t="shared" si="142"/>
        <v>427.16091343339173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13.715611716948709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13.715611716948709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367.99999999999972</v>
      </c>
      <c r="AJ140" s="13">
        <f>AI140*VLOOKUP('Données projet'!$B$10,Paramètres!$A$1:$I$89,3,0)*VLOOKUP('Données projet'!$B$10,Paramètres!$A$1:$I$89,5,0)</f>
        <v>292.78079999999977</v>
      </c>
      <c r="AK140" s="13">
        <f t="shared" si="143"/>
        <v>69.660903052386217</v>
      </c>
      <c r="AL140" s="20">
        <f t="shared" si="112"/>
        <v>631.25263281623893</v>
      </c>
      <c r="AM140" s="59">
        <f t="shared" si="113"/>
        <v>924.58596614957219</v>
      </c>
      <c r="AN140" s="59">
        <f ca="1">AVERAGE(OFFSET($AM$3,0,0,'Données projet'!$E$10+1,1))-AVERAGE(OFFSET($H$3,0,0,'Données projet'!$E$10+1,1))</f>
        <v>405.40026823646758</v>
      </c>
      <c r="AO140" s="59">
        <f t="shared" si="144"/>
        <v>393.0787141050053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19.932522689908001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19.932522689908001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739.99999999999966</v>
      </c>
      <c r="BE140" s="13">
        <f>BD140*VLOOKUP('Données projet'!$B$11,Paramètres!$A$1:$I$89,3,0)*VLOOKUP('Données projet'!$B$11,Paramètres!$A$1:$I$89,5,0)</f>
        <v>413.65999999999985</v>
      </c>
      <c r="BF140" s="13">
        <f t="shared" si="145"/>
        <v>94.540585122244352</v>
      </c>
      <c r="BG140" s="20">
        <f t="shared" si="115"/>
        <v>885.11601908790863</v>
      </c>
      <c r="BH140" s="59">
        <f t="shared" si="116"/>
        <v>1178.4493524212419</v>
      </c>
      <c r="BI140" s="59">
        <f ca="1">AVERAGE(OFFSET($BH$3,0,0,'Données projet'!$E$11+1,1))-AVERAGE(OFFSET($H$3,0,0,'Données projet'!$E$11+1,1))</f>
        <v>555.15881087162279</v>
      </c>
      <c r="BJ140" s="59">
        <f t="shared" si="146"/>
        <v>668.20427590250733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26.877396728511471</v>
      </c>
      <c r="BQ140" s="21">
        <f>EXP(-LN(2)/25)*BQ139+(1-EXP(-LN(2)/25))/(LN(2)/25)*Calculateur!BL140*Calculateur!BN140*VLOOKUP('Données projet'!$B$11,Paramètres!$A$1:$I$89,3,0)*0.475*44/12</f>
        <v>2.9742781987742677</v>
      </c>
      <c r="BR140" s="21">
        <f>EXP(-LN(2)/2)*BR139+(1-EXP(-LN(2)/2))/(LN(2)/2)*BL140*BO140*VLOOKUP('Données projet'!$B$11,Paramètres!$A$1:$I$89,3,0)*0.475*44/12</f>
        <v>6.6766876017633976E-17</v>
      </c>
      <c r="BS140" s="22">
        <f t="shared" si="117"/>
        <v>29.851674927285739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367.99999999999972</v>
      </c>
      <c r="BZ140" s="13">
        <f>BY140*VLOOKUP('Données projet'!$B$12,Paramètres!$A$1:$I$89,3,0)*VLOOKUP('Données projet'!$B$12,Paramètres!$A$1:$I$89,5,0)</f>
        <v>241.11359999999982</v>
      </c>
      <c r="CA140" s="13">
        <f t="shared" si="147"/>
        <v>58.6790623558988</v>
      </c>
      <c r="CB140" s="20">
        <f t="shared" si="118"/>
        <v>522.13888693652348</v>
      </c>
      <c r="CC140" s="59">
        <f t="shared" si="119"/>
        <v>815.47222026985673</v>
      </c>
      <c r="CD140" s="59">
        <f ca="1">AVERAGE(OFFSET($CC$3,0,0,'Données projet'!$E$12+1,1))-AVERAGE(OFFSET($H$3,0,0,'Données projet'!$E$12+1,1))</f>
        <v>340.49092994349405</v>
      </c>
      <c r="CE140" s="59">
        <f t="shared" si="148"/>
        <v>331.54434271908832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13.317845348861946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13.317845348861946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306.99999999999994</v>
      </c>
      <c r="CU140" s="17">
        <f>CT140*VLOOKUP('Données projet'!$B$13,Paramètres!$A$1:$I$89,3,0)*VLOOKUP('Données projet'!$B$13,Paramètres!$A$1:$I$89,5,0)</f>
        <v>277.77359999999993</v>
      </c>
      <c r="CV140" s="13">
        <f t="shared" si="149"/>
        <v>66.496288176842356</v>
      </c>
      <c r="CW140" s="20">
        <f t="shared" si="121"/>
        <v>599.60338857466706</v>
      </c>
      <c r="CX140" s="59">
        <f t="shared" si="122"/>
        <v>892.93672190800044</v>
      </c>
      <c r="CY140" s="59">
        <f ca="1">AVERAGE(OFFSET($CX$3,0,0,'Données projet'!$E$13+1,1))-AVERAGE(OFFSET($H$3,0,0,'Données projet'!$E$13+1,1))</f>
        <v>439.19854273764042</v>
      </c>
      <c r="CZ140" s="59">
        <f t="shared" si="150"/>
        <v>278.21741231699929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64.744599111811183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64.744599111811183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306.99999999999994</v>
      </c>
      <c r="DP140" s="17">
        <f>DO140*VLOOKUP('Données projet'!$B$14,Paramètres!$A$1:$I$89,3,0)*VLOOKUP('Données projet'!$B$14,Paramètres!$A$1:$I$89,5,0)</f>
        <v>258.61679999999996</v>
      </c>
      <c r="DQ140" s="13">
        <f t="shared" si="151"/>
        <v>62.427444141032439</v>
      </c>
      <c r="DR140" s="20">
        <f t="shared" si="124"/>
        <v>559.15205854563135</v>
      </c>
      <c r="DS140" s="59">
        <f t="shared" si="125"/>
        <v>852.48539187896472</v>
      </c>
      <c r="DT140" s="59">
        <f ca="1">AVERAGE(OFFSET($DS$3,0,0,'Données projet'!$E$14+1,1))-AVERAGE(OFFSET($H$3,0,0,'Données projet'!$E$14+1,1))</f>
        <v>411.72284844766</v>
      </c>
      <c r="DU140" s="59">
        <f t="shared" si="152"/>
        <v>261.95434270986397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60.279454345479401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60.279454345479401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636.99999999999977</v>
      </c>
      <c r="EK140" s="17">
        <f>EJ140*VLOOKUP('Données projet'!$B$15,Paramètres!$A$1:$I$89,3,0)*VLOOKUP('Données projet'!$B$15,Paramètres!$A$1:$I$89,5,0)</f>
        <v>356.08299999999991</v>
      </c>
      <c r="EL140" s="13">
        <f t="shared" si="153"/>
        <v>82.813805255716545</v>
      </c>
      <c r="EM140" s="20">
        <f t="shared" si="127"/>
        <v>764.41193582037283</v>
      </c>
      <c r="EN140" s="59">
        <f t="shared" si="128"/>
        <v>1057.7452691537062</v>
      </c>
      <c r="EO140" s="59">
        <f ca="1">AVERAGE(OFFSET($EN$3,0,0,'Données projet'!$E$15+1,1))-AVERAGE(OFFSET($H$3,0,0,'Données projet'!$E$15+1,1))</f>
        <v>443.34220761968419</v>
      </c>
      <c r="EP140" s="59">
        <f t="shared" si="154"/>
        <v>546.58234447298014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21.26986171940003</v>
      </c>
      <c r="EW140" s="21">
        <f>EXP(-LN(2)/25)*EW139+(1-EXP(-LN(2)/25))/(LN(2)/25)*Calculateur!ER140*Calculateur!ET140*VLOOKUP('Données projet'!$B$15,Paramètres!$A$1:$I$89,3,0)*0.475*44/12</f>
        <v>1.1292104122743651</v>
      </c>
      <c r="EX140" s="21">
        <f>EXP(-LN(2)/2)*EX139+(1-EXP(-LN(2)/2))/(LN(2)/2)*ER140*EU140*VLOOKUP('Données projet'!$B$15,Paramètres!$A$1:$I$89,3,0)*0.475*44/12</f>
        <v>4.7430898282760249E-16</v>
      </c>
      <c r="EY140" s="22">
        <f t="shared" si="129"/>
        <v>22.399072131674394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224.00000000000006</v>
      </c>
      <c r="O141" s="13">
        <f>N141*VLOOKUP('Données projet'!$B$9,Paramètres!$A$1:$I$89,3,0)*VLOOKUP('Données projet'!$B$9,Paramètres!$A$1:$I$89,5,0)</f>
        <v>195.68640000000008</v>
      </c>
      <c r="P141" s="13">
        <f t="shared" si="141"/>
        <v>48.794969360985156</v>
      </c>
      <c r="Q141" s="20">
        <f t="shared" si="108"/>
        <v>425.8050516370493</v>
      </c>
      <c r="R141" s="59">
        <f t="shared" si="109"/>
        <v>719.13838497038262</v>
      </c>
      <c r="S141" s="59">
        <f ca="1">AVERAGE(OFFSET($R$3,0,0,'Données projet'!$E$9+1,1))-AVERAGE(OFFSET($H$3,0,0,'Données projet'!$E$9+1,1))</f>
        <v>304.32767345253382</v>
      </c>
      <c r="T141" s="59">
        <f t="shared" si="142"/>
        <v>427.16091343339173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13.446656936876449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13.446656936876449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367.99999999999972</v>
      </c>
      <c r="AJ141" s="13">
        <f>AI141*VLOOKUP('Données projet'!$B$10,Paramètres!$A$1:$I$89,3,0)*VLOOKUP('Données projet'!$B$10,Paramètres!$A$1:$I$89,5,0)</f>
        <v>292.78079999999977</v>
      </c>
      <c r="AK141" s="13">
        <f t="shared" si="143"/>
        <v>69.660903052386217</v>
      </c>
      <c r="AL141" s="20">
        <f t="shared" si="112"/>
        <v>631.25263281623893</v>
      </c>
      <c r="AM141" s="59">
        <f t="shared" si="113"/>
        <v>924.58596614957219</v>
      </c>
      <c r="AN141" s="59">
        <f ca="1">AVERAGE(OFFSET($AM$3,0,0,'Données projet'!$E$10+1,1))-AVERAGE(OFFSET($H$3,0,0,'Données projet'!$E$10+1,1))</f>
        <v>405.40026823646758</v>
      </c>
      <c r="AO141" s="59">
        <f t="shared" si="144"/>
        <v>393.0787141050053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19.54165807759728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19.54165807759728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739.99999999999966</v>
      </c>
      <c r="BE141" s="13">
        <f>BD141*VLOOKUP('Données projet'!$B$11,Paramètres!$A$1:$I$89,3,0)*VLOOKUP('Données projet'!$B$11,Paramètres!$A$1:$I$89,5,0)</f>
        <v>413.65999999999985</v>
      </c>
      <c r="BF141" s="13">
        <f t="shared" si="145"/>
        <v>94.540585122244352</v>
      </c>
      <c r="BG141" s="20">
        <f t="shared" si="115"/>
        <v>885.11601908790863</v>
      </c>
      <c r="BH141" s="59">
        <f t="shared" si="116"/>
        <v>1178.4493524212419</v>
      </c>
      <c r="BI141" s="59">
        <f ca="1">AVERAGE(OFFSET($BH$3,0,0,'Données projet'!$E$11+1,1))-AVERAGE(OFFSET($H$3,0,0,'Données projet'!$E$11+1,1))</f>
        <v>555.15881087162279</v>
      </c>
      <c r="BJ141" s="59">
        <f t="shared" si="146"/>
        <v>668.20427590250733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26.350347372258632</v>
      </c>
      <c r="BQ141" s="21">
        <f>EXP(-LN(2)/25)*BQ140+(1-EXP(-LN(2)/25))/(LN(2)/25)*Calculateur!BL141*Calculateur!BN141*VLOOKUP('Données projet'!$B$11,Paramètres!$A$1:$I$89,3,0)*0.475*44/12</f>
        <v>2.8929464050182925</v>
      </c>
      <c r="BR141" s="21">
        <f>EXP(-LN(2)/2)*BR140+(1-EXP(-LN(2)/2))/(LN(2)/2)*BL141*BO141*VLOOKUP('Données projet'!$B$11,Paramètres!$A$1:$I$89,3,0)*0.475*44/12</f>
        <v>4.7211310790710456E-17</v>
      </c>
      <c r="BS141" s="22">
        <f t="shared" si="117"/>
        <v>29.243293777276925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367.99999999999972</v>
      </c>
      <c r="BZ141" s="13">
        <f>BY141*VLOOKUP('Données projet'!$B$12,Paramètres!$A$1:$I$89,3,0)*VLOOKUP('Données projet'!$B$12,Paramètres!$A$1:$I$89,5,0)</f>
        <v>241.11359999999982</v>
      </c>
      <c r="CA141" s="13">
        <f t="shared" si="147"/>
        <v>58.6790623558988</v>
      </c>
      <c r="CB141" s="20">
        <f t="shared" si="118"/>
        <v>522.13888693652348</v>
      </c>
      <c r="CC141" s="59">
        <f t="shared" si="119"/>
        <v>815.47222026985673</v>
      </c>
      <c r="CD141" s="59">
        <f ca="1">AVERAGE(OFFSET($CC$3,0,0,'Données projet'!$E$12+1,1))-AVERAGE(OFFSET($H$3,0,0,'Données projet'!$E$12+1,1))</f>
        <v>340.49092994349405</v>
      </c>
      <c r="CE141" s="59">
        <f t="shared" si="148"/>
        <v>331.54434271908832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13.056690524654337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13.056690524654337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306.99999999999994</v>
      </c>
      <c r="CU141" s="17">
        <f>CT141*VLOOKUP('Données projet'!$B$13,Paramètres!$A$1:$I$89,3,0)*VLOOKUP('Données projet'!$B$13,Paramètres!$A$1:$I$89,5,0)</f>
        <v>277.77359999999993</v>
      </c>
      <c r="CV141" s="13">
        <f t="shared" si="149"/>
        <v>66.496288176842356</v>
      </c>
      <c r="CW141" s="20">
        <f t="shared" si="121"/>
        <v>599.60338857466706</v>
      </c>
      <c r="CX141" s="59">
        <f t="shared" si="122"/>
        <v>892.93672190800044</v>
      </c>
      <c r="CY141" s="59">
        <f ca="1">AVERAGE(OFFSET($CX$3,0,0,'Données projet'!$E$13+1,1))-AVERAGE(OFFSET($H$3,0,0,'Données projet'!$E$13+1,1))</f>
        <v>439.19854273764042</v>
      </c>
      <c r="CZ141" s="59">
        <f t="shared" si="150"/>
        <v>278.21741231699929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63.474997013534683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63.474997013534683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306.99999999999994</v>
      </c>
      <c r="DP141" s="17">
        <f>DO141*VLOOKUP('Données projet'!$B$14,Paramètres!$A$1:$I$89,3,0)*VLOOKUP('Données projet'!$B$14,Paramètres!$A$1:$I$89,5,0)</f>
        <v>258.61679999999996</v>
      </c>
      <c r="DQ141" s="13">
        <f t="shared" si="151"/>
        <v>62.427444141032439</v>
      </c>
      <c r="DR141" s="20">
        <f t="shared" si="124"/>
        <v>559.15205854563135</v>
      </c>
      <c r="DS141" s="59">
        <f t="shared" si="125"/>
        <v>852.48539187896472</v>
      </c>
      <c r="DT141" s="59">
        <f ca="1">AVERAGE(OFFSET($DS$3,0,0,'Données projet'!$E$14+1,1))-AVERAGE(OFFSET($H$3,0,0,'Données projet'!$E$14+1,1))</f>
        <v>411.72284844766</v>
      </c>
      <c r="DU141" s="59">
        <f t="shared" si="152"/>
        <v>261.95434270986397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59.097411012601277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59.097411012601277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636.99999999999977</v>
      </c>
      <c r="EK141" s="17">
        <f>EJ141*VLOOKUP('Données projet'!$B$15,Paramètres!$A$1:$I$89,3,0)*VLOOKUP('Données projet'!$B$15,Paramètres!$A$1:$I$89,5,0)</f>
        <v>356.08299999999991</v>
      </c>
      <c r="EL141" s="13">
        <f t="shared" si="153"/>
        <v>82.813805255716545</v>
      </c>
      <c r="EM141" s="20">
        <f t="shared" si="127"/>
        <v>764.41193582037283</v>
      </c>
      <c r="EN141" s="59">
        <f t="shared" si="128"/>
        <v>1057.7452691537062</v>
      </c>
      <c r="EO141" s="59">
        <f ca="1">AVERAGE(OFFSET($EN$3,0,0,'Données projet'!$E$15+1,1))-AVERAGE(OFFSET($H$3,0,0,'Données projet'!$E$15+1,1))</f>
        <v>443.34220761968419</v>
      </c>
      <c r="EP141" s="59">
        <f t="shared" si="154"/>
        <v>546.58234447298014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20.852772704417234</v>
      </c>
      <c r="EW141" s="21">
        <f>EXP(-LN(2)/25)*EW140+(1-EXP(-LN(2)/25))/(LN(2)/25)*Calculateur!ER141*Calculateur!ET141*VLOOKUP('Données projet'!$B$15,Paramètres!$A$1:$I$89,3,0)*0.475*44/12</f>
        <v>1.0983320941681278</v>
      </c>
      <c r="EX141" s="21">
        <f>EXP(-LN(2)/2)*EX140+(1-EXP(-LN(2)/2))/(LN(2)/2)*ER141*EU141*VLOOKUP('Données projet'!$B$15,Paramètres!$A$1:$I$89,3,0)*0.475*44/12</f>
        <v>3.3538709813509145E-16</v>
      </c>
      <c r="EY141" s="22">
        <f t="shared" si="129"/>
        <v>21.951104798585362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224.00000000000006</v>
      </c>
      <c r="O142" s="13">
        <f>N142*VLOOKUP('Données projet'!$B$9,Paramètres!$A$1:$I$89,3,0)*VLOOKUP('Données projet'!$B$9,Paramètres!$A$1:$I$89,5,0)</f>
        <v>195.68640000000008</v>
      </c>
      <c r="P142" s="13">
        <f t="shared" si="141"/>
        <v>48.794969360985156</v>
      </c>
      <c r="Q142" s="20">
        <f t="shared" si="108"/>
        <v>425.8050516370493</v>
      </c>
      <c r="R142" s="59">
        <f t="shared" si="109"/>
        <v>719.13838497038262</v>
      </c>
      <c r="S142" s="59">
        <f ca="1">AVERAGE(OFFSET($R$3,0,0,'Données projet'!$E$9+1,1))-AVERAGE(OFFSET($H$3,0,0,'Données projet'!$E$9+1,1))</f>
        <v>304.32767345253382</v>
      </c>
      <c r="T142" s="59">
        <f t="shared" si="142"/>
        <v>427.16091343339173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13.182976195995188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13.182976195995188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367.99999999999972</v>
      </c>
      <c r="AJ142" s="13">
        <f>AI142*VLOOKUP('Données projet'!$B$10,Paramètres!$A$1:$I$89,3,0)*VLOOKUP('Données projet'!$B$10,Paramètres!$A$1:$I$89,5,0)</f>
        <v>292.78079999999977</v>
      </c>
      <c r="AK142" s="13">
        <f t="shared" si="143"/>
        <v>69.660903052386217</v>
      </c>
      <c r="AL142" s="20">
        <f t="shared" si="112"/>
        <v>631.25263281623893</v>
      </c>
      <c r="AM142" s="59">
        <f t="shared" si="113"/>
        <v>924.58596614957219</v>
      </c>
      <c r="AN142" s="59">
        <f ca="1">AVERAGE(OFFSET($AM$3,0,0,'Données projet'!$E$10+1,1))-AVERAGE(OFFSET($H$3,0,0,'Données projet'!$E$10+1,1))</f>
        <v>405.40026823646758</v>
      </c>
      <c r="AO142" s="59">
        <f t="shared" si="144"/>
        <v>393.0787141050053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19.158458081930096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19.158458081930096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739.99999999999966</v>
      </c>
      <c r="BE142" s="13">
        <f>BD142*VLOOKUP('Données projet'!$B$11,Paramètres!$A$1:$I$89,3,0)*VLOOKUP('Données projet'!$B$11,Paramètres!$A$1:$I$89,5,0)</f>
        <v>413.65999999999985</v>
      </c>
      <c r="BF142" s="13">
        <f t="shared" si="145"/>
        <v>94.540585122244352</v>
      </c>
      <c r="BG142" s="20">
        <f t="shared" si="115"/>
        <v>885.11601908790863</v>
      </c>
      <c r="BH142" s="59">
        <f t="shared" si="116"/>
        <v>1178.4493524212419</v>
      </c>
      <c r="BI142" s="59">
        <f ca="1">AVERAGE(OFFSET($BH$3,0,0,'Données projet'!$E$11+1,1))-AVERAGE(OFFSET($H$3,0,0,'Données projet'!$E$11+1,1))</f>
        <v>555.15881087162279</v>
      </c>
      <c r="BJ142" s="59">
        <f t="shared" si="146"/>
        <v>668.20427590250733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25.833633132413546</v>
      </c>
      <c r="BQ142" s="21">
        <f>EXP(-LN(2)/25)*BQ141+(1-EXP(-LN(2)/25))/(LN(2)/25)*Calculateur!BL142*Calculateur!BN142*VLOOKUP('Données projet'!$B$11,Paramètres!$A$1:$I$89,3,0)*0.475*44/12</f>
        <v>2.8138386334396279</v>
      </c>
      <c r="BR142" s="21">
        <f>EXP(-LN(2)/2)*BR141+(1-EXP(-LN(2)/2))/(LN(2)/2)*BL142*BO142*VLOOKUP('Données projet'!$B$11,Paramètres!$A$1:$I$89,3,0)*0.475*44/12</f>
        <v>3.3383438008816988E-17</v>
      </c>
      <c r="BS142" s="22">
        <f t="shared" si="117"/>
        <v>28.647471765853172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367.99999999999972</v>
      </c>
      <c r="BZ142" s="13">
        <f>BY142*VLOOKUP('Données projet'!$B$12,Paramètres!$A$1:$I$89,3,0)*VLOOKUP('Données projet'!$B$12,Paramètres!$A$1:$I$89,5,0)</f>
        <v>241.11359999999982</v>
      </c>
      <c r="CA142" s="13">
        <f t="shared" si="147"/>
        <v>58.6790623558988</v>
      </c>
      <c r="CB142" s="20">
        <f t="shared" si="118"/>
        <v>522.13888693652348</v>
      </c>
      <c r="CC142" s="59">
        <f t="shared" si="119"/>
        <v>815.47222026985673</v>
      </c>
      <c r="CD142" s="59">
        <f ca="1">AVERAGE(OFFSET($CC$3,0,0,'Données projet'!$E$12+1,1))-AVERAGE(OFFSET($H$3,0,0,'Données projet'!$E$12+1,1))</f>
        <v>340.49092994349405</v>
      </c>
      <c r="CE142" s="59">
        <f t="shared" si="148"/>
        <v>331.54434271908832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12.800656787260726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12.800656787260726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306.99999999999994</v>
      </c>
      <c r="CU142" s="17">
        <f>CT142*VLOOKUP('Données projet'!$B$13,Paramètres!$A$1:$I$89,3,0)*VLOOKUP('Données projet'!$B$13,Paramètres!$A$1:$I$89,5,0)</f>
        <v>277.77359999999993</v>
      </c>
      <c r="CV142" s="13">
        <f t="shared" si="149"/>
        <v>66.496288176842356</v>
      </c>
      <c r="CW142" s="20">
        <f t="shared" si="121"/>
        <v>599.60338857466706</v>
      </c>
      <c r="CX142" s="59">
        <f t="shared" si="122"/>
        <v>892.93672190800044</v>
      </c>
      <c r="CY142" s="59">
        <f ca="1">AVERAGE(OFFSET($CX$3,0,0,'Données projet'!$E$13+1,1))-AVERAGE(OFFSET($H$3,0,0,'Données projet'!$E$13+1,1))</f>
        <v>439.19854273764042</v>
      </c>
      <c r="CZ142" s="59">
        <f t="shared" si="150"/>
        <v>278.21741231699929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62.230291038024568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62.230291038024568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306.99999999999994</v>
      </c>
      <c r="DP142" s="17">
        <f>DO142*VLOOKUP('Données projet'!$B$14,Paramètres!$A$1:$I$89,3,0)*VLOOKUP('Données projet'!$B$14,Paramètres!$A$1:$I$89,5,0)</f>
        <v>258.61679999999996</v>
      </c>
      <c r="DQ142" s="13">
        <f t="shared" si="151"/>
        <v>62.427444141032439</v>
      </c>
      <c r="DR142" s="20">
        <f t="shared" si="124"/>
        <v>559.15205854563135</v>
      </c>
      <c r="DS142" s="59">
        <f t="shared" si="125"/>
        <v>852.48539187896472</v>
      </c>
      <c r="DT142" s="59">
        <f ca="1">AVERAGE(OFFSET($DS$3,0,0,'Données projet'!$E$14+1,1))-AVERAGE(OFFSET($H$3,0,0,'Données projet'!$E$14+1,1))</f>
        <v>411.72284844766</v>
      </c>
      <c r="DU142" s="59">
        <f t="shared" si="152"/>
        <v>261.95434270986397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57.93854682850565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57.93854682850565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636.99999999999977</v>
      </c>
      <c r="EK142" s="17">
        <f>EJ142*VLOOKUP('Données projet'!$B$15,Paramètres!$A$1:$I$89,3,0)*VLOOKUP('Données projet'!$B$15,Paramètres!$A$1:$I$89,5,0)</f>
        <v>356.08299999999991</v>
      </c>
      <c r="EL142" s="13">
        <f t="shared" si="153"/>
        <v>82.813805255716545</v>
      </c>
      <c r="EM142" s="20">
        <f t="shared" si="127"/>
        <v>764.41193582037283</v>
      </c>
      <c r="EN142" s="59">
        <f t="shared" si="128"/>
        <v>1057.7452691537062</v>
      </c>
      <c r="EO142" s="59">
        <f ca="1">AVERAGE(OFFSET($EN$3,0,0,'Données projet'!$E$15+1,1))-AVERAGE(OFFSET($H$3,0,0,'Données projet'!$E$15+1,1))</f>
        <v>443.34220761968419</v>
      </c>
      <c r="EP142" s="59">
        <f t="shared" si="154"/>
        <v>546.58234447298014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20.44386255061907</v>
      </c>
      <c r="EW142" s="21">
        <f>EXP(-LN(2)/25)*EW141+(1-EXP(-LN(2)/25))/(LN(2)/25)*Calculateur!ER142*Calculateur!ET142*VLOOKUP('Données projet'!$B$15,Paramètres!$A$1:$I$89,3,0)*0.475*44/12</f>
        <v>1.0682981452943259</v>
      </c>
      <c r="EX142" s="21">
        <f>EXP(-LN(2)/2)*EX141+(1-EXP(-LN(2)/2))/(LN(2)/2)*ER142*EU142*VLOOKUP('Données projet'!$B$15,Paramètres!$A$1:$I$89,3,0)*0.475*44/12</f>
        <v>2.3715449141380125E-16</v>
      </c>
      <c r="EY142" s="22">
        <f t="shared" si="129"/>
        <v>21.512160695913394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224.00000000000006</v>
      </c>
      <c r="O143" s="13">
        <f>N143*VLOOKUP('Données projet'!$B$9,Paramètres!$A$1:$I$89,3,0)*VLOOKUP('Données projet'!$B$9,Paramètres!$A$1:$I$89,5,0)</f>
        <v>195.68640000000008</v>
      </c>
      <c r="P143" s="13">
        <f t="shared" si="141"/>
        <v>48.794969360985156</v>
      </c>
      <c r="Q143" s="20">
        <f t="shared" si="108"/>
        <v>425.8050516370493</v>
      </c>
      <c r="R143" s="59">
        <f t="shared" si="109"/>
        <v>719.13838497038262</v>
      </c>
      <c r="S143" s="59">
        <f ca="1">AVERAGE(OFFSET($R$3,0,0,'Données projet'!$E$9+1,1))-AVERAGE(OFFSET($H$3,0,0,'Données projet'!$E$9+1,1))</f>
        <v>304.32767345253382</v>
      </c>
      <c r="T143" s="59">
        <f t="shared" si="142"/>
        <v>427.16091343339173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12.924466073613237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12.924466073613237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367.99999999999972</v>
      </c>
      <c r="AJ143" s="13">
        <f>AI143*VLOOKUP('Données projet'!$B$10,Paramètres!$A$1:$I$89,3,0)*VLOOKUP('Données projet'!$B$10,Paramètres!$A$1:$I$89,5,0)</f>
        <v>292.78079999999977</v>
      </c>
      <c r="AK143" s="13">
        <f t="shared" si="143"/>
        <v>69.660903052386217</v>
      </c>
      <c r="AL143" s="20">
        <f t="shared" si="112"/>
        <v>631.25263281623893</v>
      </c>
      <c r="AM143" s="59">
        <f t="shared" si="113"/>
        <v>924.58596614957219</v>
      </c>
      <c r="AN143" s="59">
        <f ca="1">AVERAGE(OFFSET($AM$3,0,0,'Données projet'!$E$10+1,1))-AVERAGE(OFFSET($H$3,0,0,'Données projet'!$E$10+1,1))</f>
        <v>405.40026823646758</v>
      </c>
      <c r="AO143" s="59">
        <f t="shared" si="144"/>
        <v>393.0787141050053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18.78277240444903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18.78277240444903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739.99999999999966</v>
      </c>
      <c r="BE143" s="13">
        <f>BD143*VLOOKUP('Données projet'!$B$11,Paramètres!$A$1:$I$89,3,0)*VLOOKUP('Données projet'!$B$11,Paramètres!$A$1:$I$89,5,0)</f>
        <v>413.65999999999985</v>
      </c>
      <c r="BF143" s="13">
        <f t="shared" si="145"/>
        <v>94.540585122244352</v>
      </c>
      <c r="BG143" s="20">
        <f t="shared" si="115"/>
        <v>885.11601908790863</v>
      </c>
      <c r="BH143" s="59">
        <f t="shared" si="116"/>
        <v>1178.4493524212419</v>
      </c>
      <c r="BI143" s="59">
        <f ca="1">AVERAGE(OFFSET($BH$3,0,0,'Données projet'!$E$11+1,1))-AVERAGE(OFFSET($H$3,0,0,'Données projet'!$E$11+1,1))</f>
        <v>555.15881087162279</v>
      </c>
      <c r="BJ143" s="59">
        <f t="shared" si="146"/>
        <v>668.20427590250733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25.327051343647256</v>
      </c>
      <c r="BQ143" s="21">
        <f>EXP(-LN(2)/25)*BQ142+(1-EXP(-LN(2)/25))/(LN(2)/25)*Calculateur!BL143*Calculateur!BN143*VLOOKUP('Données projet'!$B$11,Paramètres!$A$1:$I$89,3,0)*0.475*44/12</f>
        <v>2.7368940680348786</v>
      </c>
      <c r="BR143" s="21">
        <f>EXP(-LN(2)/2)*BR142+(1-EXP(-LN(2)/2))/(LN(2)/2)*BL143*BO143*VLOOKUP('Données projet'!$B$11,Paramètres!$A$1:$I$89,3,0)*0.475*44/12</f>
        <v>2.3605655395355228E-17</v>
      </c>
      <c r="BS143" s="22">
        <f t="shared" si="117"/>
        <v>28.063945411682134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367.99999999999972</v>
      </c>
      <c r="BZ143" s="13">
        <f>BY143*VLOOKUP('Données projet'!$B$12,Paramètres!$A$1:$I$89,3,0)*VLOOKUP('Données projet'!$B$12,Paramètres!$A$1:$I$89,5,0)</f>
        <v>241.11359999999982</v>
      </c>
      <c r="CA143" s="13">
        <f t="shared" si="147"/>
        <v>58.6790623558988</v>
      </c>
      <c r="CB143" s="20">
        <f t="shared" si="118"/>
        <v>522.13888693652348</v>
      </c>
      <c r="CC143" s="59">
        <f t="shared" si="119"/>
        <v>815.47222026985673</v>
      </c>
      <c r="CD143" s="59">
        <f ca="1">AVERAGE(OFFSET($CC$3,0,0,'Données projet'!$E$12+1,1))-AVERAGE(OFFSET($H$3,0,0,'Données projet'!$E$12+1,1))</f>
        <v>340.49092994349405</v>
      </c>
      <c r="CE143" s="59">
        <f t="shared" si="148"/>
        <v>331.54434271908832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12.549643715292245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12.549643715292245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306.99999999999994</v>
      </c>
      <c r="CU143" s="17">
        <f>CT143*VLOOKUP('Données projet'!$B$13,Paramètres!$A$1:$I$89,3,0)*VLOOKUP('Données projet'!$B$13,Paramètres!$A$1:$I$89,5,0)</f>
        <v>277.77359999999993</v>
      </c>
      <c r="CV143" s="13">
        <f t="shared" si="149"/>
        <v>66.496288176842356</v>
      </c>
      <c r="CW143" s="20">
        <f t="shared" si="121"/>
        <v>599.60338857466706</v>
      </c>
      <c r="CX143" s="59">
        <f t="shared" si="122"/>
        <v>892.93672190800044</v>
      </c>
      <c r="CY143" s="59">
        <f ca="1">AVERAGE(OFFSET($CX$3,0,0,'Données projet'!$E$13+1,1))-AVERAGE(OFFSET($H$3,0,0,'Données projet'!$E$13+1,1))</f>
        <v>439.19854273764042</v>
      </c>
      <c r="CZ143" s="59">
        <f t="shared" si="150"/>
        <v>278.21741231699929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61.009992987498521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61.009992987498521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306.99999999999994</v>
      </c>
      <c r="DP143" s="17">
        <f>DO143*VLOOKUP('Données projet'!$B$14,Paramètres!$A$1:$I$89,3,0)*VLOOKUP('Données projet'!$B$14,Paramètres!$A$1:$I$89,5,0)</f>
        <v>258.61679999999996</v>
      </c>
      <c r="DQ143" s="13">
        <f t="shared" si="151"/>
        <v>62.427444141032439</v>
      </c>
      <c r="DR143" s="20">
        <f t="shared" si="124"/>
        <v>559.15205854563135</v>
      </c>
      <c r="DS143" s="59">
        <f t="shared" si="125"/>
        <v>852.48539187896472</v>
      </c>
      <c r="DT143" s="59">
        <f ca="1">AVERAGE(OFFSET($DS$3,0,0,'Données projet'!$E$14+1,1))-AVERAGE(OFFSET($H$3,0,0,'Données projet'!$E$14+1,1))</f>
        <v>411.72284844766</v>
      </c>
      <c r="DU143" s="59">
        <f t="shared" si="152"/>
        <v>261.95434270986397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56.802407264222779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56.802407264222779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636.99999999999977</v>
      </c>
      <c r="EK143" s="17">
        <f>EJ143*VLOOKUP('Données projet'!$B$15,Paramètres!$A$1:$I$89,3,0)*VLOOKUP('Données projet'!$B$15,Paramètres!$A$1:$I$89,5,0)</f>
        <v>356.08299999999991</v>
      </c>
      <c r="EL143" s="13">
        <f t="shared" si="153"/>
        <v>82.813805255716545</v>
      </c>
      <c r="EM143" s="20">
        <f t="shared" si="127"/>
        <v>764.41193582037283</v>
      </c>
      <c r="EN143" s="59">
        <f t="shared" si="128"/>
        <v>1057.7452691537062</v>
      </c>
      <c r="EO143" s="59">
        <f ca="1">AVERAGE(OFFSET($EN$3,0,0,'Données projet'!$E$15+1,1))-AVERAGE(OFFSET($H$3,0,0,'Données projet'!$E$15+1,1))</f>
        <v>443.34220761968419</v>
      </c>
      <c r="EP143" s="59">
        <f t="shared" si="154"/>
        <v>546.58234447298014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20.042970875526322</v>
      </c>
      <c r="EW143" s="21">
        <f>EXP(-LN(2)/25)*EW142+(1-EXP(-LN(2)/25))/(LN(2)/25)*Calculateur!ER143*Calculateur!ET143*VLOOKUP('Données projet'!$B$15,Paramètres!$A$1:$I$89,3,0)*0.475*44/12</f>
        <v>1.0390854763318946</v>
      </c>
      <c r="EX143" s="21">
        <f>EXP(-LN(2)/2)*EX142+(1-EXP(-LN(2)/2))/(LN(2)/2)*ER143*EU143*VLOOKUP('Données projet'!$B$15,Paramètres!$A$1:$I$89,3,0)*0.475*44/12</f>
        <v>1.6769354906754572E-16</v>
      </c>
      <c r="EY143" s="22">
        <f t="shared" si="129"/>
        <v>21.082056351858217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224.00000000000006</v>
      </c>
      <c r="O144" s="13">
        <f>N144*VLOOKUP('Données projet'!$B$9,Paramètres!$A$1:$I$89,3,0)*VLOOKUP('Données projet'!$B$9,Paramètres!$A$1:$I$89,5,0)</f>
        <v>195.68640000000008</v>
      </c>
      <c r="P144" s="13">
        <f t="shared" si="141"/>
        <v>48.794969360985156</v>
      </c>
      <c r="Q144" s="20">
        <f t="shared" si="108"/>
        <v>425.8050516370493</v>
      </c>
      <c r="R144" s="59">
        <f t="shared" si="109"/>
        <v>719.13838497038262</v>
      </c>
      <c r="S144" s="59">
        <f ca="1">AVERAGE(OFFSET($R$3,0,0,'Données projet'!$E$9+1,1))-AVERAGE(OFFSET($H$3,0,0,'Données projet'!$E$9+1,1))</f>
        <v>304.32767345253382</v>
      </c>
      <c r="T144" s="59">
        <f t="shared" si="142"/>
        <v>427.16091343339173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12.67102517705559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12.67102517705559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367.99999999999972</v>
      </c>
      <c r="AJ144" s="13">
        <f>AI144*VLOOKUP('Données projet'!$B$10,Paramètres!$A$1:$I$89,3,0)*VLOOKUP('Données projet'!$B$10,Paramètres!$A$1:$I$89,5,0)</f>
        <v>292.78079999999977</v>
      </c>
      <c r="AK144" s="13">
        <f t="shared" si="143"/>
        <v>69.660903052386217</v>
      </c>
      <c r="AL144" s="20">
        <f t="shared" si="112"/>
        <v>631.25263281623893</v>
      </c>
      <c r="AM144" s="59">
        <f t="shared" si="113"/>
        <v>924.58596614957219</v>
      </c>
      <c r="AN144" s="59">
        <f ca="1">AVERAGE(OFFSET($AM$3,0,0,'Données projet'!$E$10+1,1))-AVERAGE(OFFSET($H$3,0,0,'Données projet'!$E$10+1,1))</f>
        <v>405.40026823646758</v>
      </c>
      <c r="AO144" s="59">
        <f t="shared" si="144"/>
        <v>393.0787141050053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18.414453693957729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18.414453693957729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739.99999999999966</v>
      </c>
      <c r="BE144" s="13">
        <f>BD144*VLOOKUP('Données projet'!$B$11,Paramètres!$A$1:$I$89,3,0)*VLOOKUP('Données projet'!$B$11,Paramètres!$A$1:$I$89,5,0)</f>
        <v>413.65999999999985</v>
      </c>
      <c r="BF144" s="13">
        <f t="shared" si="145"/>
        <v>94.540585122244352</v>
      </c>
      <c r="BG144" s="20">
        <f t="shared" si="115"/>
        <v>885.11601908790863</v>
      </c>
      <c r="BH144" s="59">
        <f t="shared" si="116"/>
        <v>1178.4493524212419</v>
      </c>
      <c r="BI144" s="59">
        <f ca="1">AVERAGE(OFFSET($BH$3,0,0,'Données projet'!$E$11+1,1))-AVERAGE(OFFSET($H$3,0,0,'Données projet'!$E$11+1,1))</f>
        <v>555.15881087162279</v>
      </c>
      <c r="BJ144" s="59">
        <f t="shared" si="146"/>
        <v>668.20427590250733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24.830403314774291</v>
      </c>
      <c r="BQ144" s="21">
        <f>EXP(-LN(2)/25)*BQ143+(1-EXP(-LN(2)/25))/(LN(2)/25)*Calculateur!BL144*Calculateur!BN144*VLOOKUP('Données projet'!$B$11,Paramètres!$A$1:$I$89,3,0)*0.475*44/12</f>
        <v>2.6620535558174612</v>
      </c>
      <c r="BR144" s="21">
        <f>EXP(-LN(2)/2)*BR143+(1-EXP(-LN(2)/2))/(LN(2)/2)*BL144*BO144*VLOOKUP('Données projet'!$B$11,Paramètres!$A$1:$I$89,3,0)*0.475*44/12</f>
        <v>1.6691719004408494E-17</v>
      </c>
      <c r="BS144" s="22">
        <f t="shared" si="117"/>
        <v>27.492456870591752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367.99999999999972</v>
      </c>
      <c r="BZ144" s="13">
        <f>BY144*VLOOKUP('Données projet'!$B$12,Paramètres!$A$1:$I$89,3,0)*VLOOKUP('Données projet'!$B$12,Paramètres!$A$1:$I$89,5,0)</f>
        <v>241.11359999999982</v>
      </c>
      <c r="CA144" s="13">
        <f t="shared" si="147"/>
        <v>58.6790623558988</v>
      </c>
      <c r="CB144" s="20">
        <f t="shared" si="118"/>
        <v>522.13888693652348</v>
      </c>
      <c r="CC144" s="59">
        <f t="shared" si="119"/>
        <v>815.47222026985673</v>
      </c>
      <c r="CD144" s="59">
        <f ca="1">AVERAGE(OFFSET($CC$3,0,0,'Données projet'!$E$12+1,1))-AVERAGE(OFFSET($H$3,0,0,'Données projet'!$E$12+1,1))</f>
        <v>340.49092994349405</v>
      </c>
      <c r="CE144" s="59">
        <f t="shared" si="148"/>
        <v>331.54434271908832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12.303552856562208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12.303552856562208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306.99999999999994</v>
      </c>
      <c r="CU144" s="17">
        <f>CT144*VLOOKUP('Données projet'!$B$13,Paramètres!$A$1:$I$89,3,0)*VLOOKUP('Données projet'!$B$13,Paramètres!$A$1:$I$89,5,0)</f>
        <v>277.77359999999993</v>
      </c>
      <c r="CV144" s="13">
        <f t="shared" si="149"/>
        <v>66.496288176842356</v>
      </c>
      <c r="CW144" s="20">
        <f t="shared" si="121"/>
        <v>599.60338857466706</v>
      </c>
      <c r="CX144" s="59">
        <f t="shared" si="122"/>
        <v>892.93672190800044</v>
      </c>
      <c r="CY144" s="59">
        <f ca="1">AVERAGE(OFFSET($CX$3,0,0,'Données projet'!$E$13+1,1))-AVERAGE(OFFSET($H$3,0,0,'Données projet'!$E$13+1,1))</f>
        <v>439.19854273764042</v>
      </c>
      <c r="CZ144" s="59">
        <f t="shared" si="150"/>
        <v>278.21741231699929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59.813624237434979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59.813624237434979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306.99999999999994</v>
      </c>
      <c r="DP144" s="17">
        <f>DO144*VLOOKUP('Données projet'!$B$14,Paramètres!$A$1:$I$89,3,0)*VLOOKUP('Données projet'!$B$14,Paramètres!$A$1:$I$89,5,0)</f>
        <v>258.61679999999996</v>
      </c>
      <c r="DQ144" s="13">
        <f t="shared" si="151"/>
        <v>62.427444141032439</v>
      </c>
      <c r="DR144" s="20">
        <f t="shared" si="124"/>
        <v>559.15205854563135</v>
      </c>
      <c r="DS144" s="59">
        <f t="shared" si="125"/>
        <v>852.48539187896472</v>
      </c>
      <c r="DT144" s="59">
        <f ca="1">AVERAGE(OFFSET($DS$3,0,0,'Données projet'!$E$14+1,1))-AVERAGE(OFFSET($H$3,0,0,'Données projet'!$E$14+1,1))</f>
        <v>411.72284844766</v>
      </c>
      <c r="DU144" s="59">
        <f t="shared" si="152"/>
        <v>261.95434270986397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55.688546703818787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55.688546703818787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636.99999999999977</v>
      </c>
      <c r="EK144" s="17">
        <f>EJ144*VLOOKUP('Données projet'!$B$15,Paramètres!$A$1:$I$89,3,0)*VLOOKUP('Données projet'!$B$15,Paramètres!$A$1:$I$89,5,0)</f>
        <v>356.08299999999991</v>
      </c>
      <c r="EL144" s="13">
        <f t="shared" si="153"/>
        <v>82.813805255716545</v>
      </c>
      <c r="EM144" s="20">
        <f t="shared" si="127"/>
        <v>764.41193582037283</v>
      </c>
      <c r="EN144" s="59">
        <f t="shared" si="128"/>
        <v>1057.7452691537062</v>
      </c>
      <c r="EO144" s="59">
        <f ca="1">AVERAGE(OFFSET($EN$3,0,0,'Données projet'!$E$15+1,1))-AVERAGE(OFFSET($H$3,0,0,'Données projet'!$E$15+1,1))</f>
        <v>443.34220761968419</v>
      </c>
      <c r="EP144" s="59">
        <f t="shared" si="154"/>
        <v>546.58234447298014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19.649940441662366</v>
      </c>
      <c r="EW144" s="21">
        <f>EXP(-LN(2)/25)*EW143+(1-EXP(-LN(2)/25))/(LN(2)/25)*Calculateur!ER144*Calculateur!ET144*VLOOKUP('Données projet'!$B$15,Paramètres!$A$1:$I$89,3,0)*0.475*44/12</f>
        <v>1.0106716293384685</v>
      </c>
      <c r="EX144" s="21">
        <f>EXP(-LN(2)/2)*EX143+(1-EXP(-LN(2)/2))/(LN(2)/2)*ER144*EU144*VLOOKUP('Données projet'!$B$15,Paramètres!$A$1:$I$89,3,0)*0.475*44/12</f>
        <v>1.1857724570690062E-16</v>
      </c>
      <c r="EY144" s="22">
        <f t="shared" si="129"/>
        <v>20.660612071000834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224.00000000000006</v>
      </c>
      <c r="O145" s="13">
        <f>N145*VLOOKUP('Données projet'!$B$9,Paramètres!$A$1:$I$89,3,0)*VLOOKUP('Données projet'!$B$9,Paramètres!$A$1:$I$89,5,0)</f>
        <v>195.68640000000008</v>
      </c>
      <c r="P145" s="13">
        <f t="shared" si="141"/>
        <v>48.794969360985156</v>
      </c>
      <c r="Q145" s="20">
        <f t="shared" si="108"/>
        <v>425.8050516370493</v>
      </c>
      <c r="R145" s="59">
        <f t="shared" si="109"/>
        <v>719.13838497038262</v>
      </c>
      <c r="S145" s="59">
        <f ca="1">AVERAGE(OFFSET($R$3,0,0,'Données projet'!$E$9+1,1))-AVERAGE(OFFSET($H$3,0,0,'Données projet'!$E$9+1,1))</f>
        <v>304.32767345253382</v>
      </c>
      <c r="T145" s="59">
        <f t="shared" si="142"/>
        <v>427.16091343339173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12.422554101895756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12.422554101895756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367.99999999999972</v>
      </c>
      <c r="AJ145" s="13">
        <f>AI145*VLOOKUP('Données projet'!$B$10,Paramètres!$A$1:$I$89,3,0)*VLOOKUP('Données projet'!$B$10,Paramètres!$A$1:$I$89,5,0)</f>
        <v>292.78079999999977</v>
      </c>
      <c r="AK145" s="13">
        <f t="shared" si="143"/>
        <v>69.660903052386217</v>
      </c>
      <c r="AL145" s="20">
        <f t="shared" si="112"/>
        <v>631.25263281623893</v>
      </c>
      <c r="AM145" s="59">
        <f t="shared" si="113"/>
        <v>924.58596614957219</v>
      </c>
      <c r="AN145" s="59">
        <f ca="1">AVERAGE(OFFSET($AM$3,0,0,'Données projet'!$E$10+1,1))-AVERAGE(OFFSET($H$3,0,0,'Données projet'!$E$10+1,1))</f>
        <v>405.40026823646758</v>
      </c>
      <c r="AO145" s="59">
        <f t="shared" si="144"/>
        <v>393.0787141050053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18.053357488726931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18.053357488726931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739.99999999999966</v>
      </c>
      <c r="BE145" s="13">
        <f>BD145*VLOOKUP('Données projet'!$B$11,Paramètres!$A$1:$I$89,3,0)*VLOOKUP('Données projet'!$B$11,Paramètres!$A$1:$I$89,5,0)</f>
        <v>413.65999999999985</v>
      </c>
      <c r="BF145" s="13">
        <f t="shared" si="145"/>
        <v>94.540585122244352</v>
      </c>
      <c r="BG145" s="20">
        <f t="shared" si="115"/>
        <v>885.11601908790863</v>
      </c>
      <c r="BH145" s="59">
        <f t="shared" si="116"/>
        <v>1178.4493524212419</v>
      </c>
      <c r="BI145" s="59">
        <f ca="1">AVERAGE(OFFSET($BH$3,0,0,'Données projet'!$E$11+1,1))-AVERAGE(OFFSET($H$3,0,0,'Données projet'!$E$11+1,1))</f>
        <v>555.15881087162279</v>
      </c>
      <c r="BJ145" s="59">
        <f t="shared" si="146"/>
        <v>668.20427590250733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24.34349425082214</v>
      </c>
      <c r="BQ145" s="21">
        <f>EXP(-LN(2)/25)*BQ144+(1-EXP(-LN(2)/25))/(LN(2)/25)*Calculateur!BL145*Calculateur!BN145*VLOOKUP('Données projet'!$B$11,Paramètres!$A$1:$I$89,3,0)*0.475*44/12</f>
        <v>2.5892595613423204</v>
      </c>
      <c r="BR145" s="21">
        <f>EXP(-LN(2)/2)*BR144+(1-EXP(-LN(2)/2))/(LN(2)/2)*BL145*BO145*VLOOKUP('Données projet'!$B$11,Paramètres!$A$1:$I$89,3,0)*0.475*44/12</f>
        <v>1.1802827697677614E-17</v>
      </c>
      <c r="BS145" s="22">
        <f t="shared" si="117"/>
        <v>26.93275381216446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367.99999999999972</v>
      </c>
      <c r="BZ145" s="13">
        <f>BY145*VLOOKUP('Données projet'!$B$12,Paramètres!$A$1:$I$89,3,0)*VLOOKUP('Données projet'!$B$12,Paramètres!$A$1:$I$89,5,0)</f>
        <v>241.11359999999982</v>
      </c>
      <c r="CA145" s="13">
        <f t="shared" si="147"/>
        <v>58.6790623558988</v>
      </c>
      <c r="CB145" s="20">
        <f t="shared" si="118"/>
        <v>522.13888693652348</v>
      </c>
      <c r="CC145" s="59">
        <f t="shared" si="119"/>
        <v>815.47222026985673</v>
      </c>
      <c r="CD145" s="59">
        <f ca="1">AVERAGE(OFFSET($CC$3,0,0,'Données projet'!$E$12+1,1))-AVERAGE(OFFSET($H$3,0,0,'Données projet'!$E$12+1,1))</f>
        <v>340.49092994349405</v>
      </c>
      <c r="CE145" s="59">
        <f t="shared" si="148"/>
        <v>331.54434271908832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12.062287689471265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12.062287689471265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306.99999999999994</v>
      </c>
      <c r="CU145" s="17">
        <f>CT145*VLOOKUP('Données projet'!$B$13,Paramètres!$A$1:$I$89,3,0)*VLOOKUP('Données projet'!$B$13,Paramètres!$A$1:$I$89,5,0)</f>
        <v>277.77359999999993</v>
      </c>
      <c r="CV145" s="13">
        <f t="shared" si="149"/>
        <v>66.496288176842356</v>
      </c>
      <c r="CW145" s="20">
        <f t="shared" si="121"/>
        <v>599.60338857466706</v>
      </c>
      <c r="CX145" s="59">
        <f t="shared" si="122"/>
        <v>892.93672190800044</v>
      </c>
      <c r="CY145" s="59">
        <f ca="1">AVERAGE(OFFSET($CX$3,0,0,'Données projet'!$E$13+1,1))-AVERAGE(OFFSET($H$3,0,0,'Données projet'!$E$13+1,1))</f>
        <v>439.19854273764042</v>
      </c>
      <c r="CZ145" s="59">
        <f t="shared" si="150"/>
        <v>278.21741231699929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58.640715548847297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58.640715548847297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306.99999999999994</v>
      </c>
      <c r="DP145" s="17">
        <f>DO145*VLOOKUP('Données projet'!$B$14,Paramètres!$A$1:$I$89,3,0)*VLOOKUP('Données projet'!$B$14,Paramètres!$A$1:$I$89,5,0)</f>
        <v>258.61679999999996</v>
      </c>
      <c r="DQ145" s="13">
        <f t="shared" si="151"/>
        <v>62.427444141032439</v>
      </c>
      <c r="DR145" s="20">
        <f t="shared" si="124"/>
        <v>559.15205854563135</v>
      </c>
      <c r="DS145" s="59">
        <f t="shared" si="125"/>
        <v>852.48539187896472</v>
      </c>
      <c r="DT145" s="59">
        <f ca="1">AVERAGE(OFFSET($DS$3,0,0,'Données projet'!$E$14+1,1))-AVERAGE(OFFSET($H$3,0,0,'Données projet'!$E$14+1,1))</f>
        <v>411.72284844766</v>
      </c>
      <c r="DU145" s="59">
        <f t="shared" si="152"/>
        <v>261.95434270986397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54.596528269616464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54.596528269616464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636.99999999999977</v>
      </c>
      <c r="EK145" s="17">
        <f>EJ145*VLOOKUP('Données projet'!$B$15,Paramètres!$A$1:$I$89,3,0)*VLOOKUP('Données projet'!$B$15,Paramètres!$A$1:$I$89,5,0)</f>
        <v>356.08299999999991</v>
      </c>
      <c r="EL145" s="13">
        <f t="shared" si="153"/>
        <v>82.813805255716545</v>
      </c>
      <c r="EM145" s="20">
        <f t="shared" si="127"/>
        <v>764.41193582037283</v>
      </c>
      <c r="EN145" s="59">
        <f t="shared" si="128"/>
        <v>1057.7452691537062</v>
      </c>
      <c r="EO145" s="59">
        <f ca="1">AVERAGE(OFFSET($EN$3,0,0,'Données projet'!$E$15+1,1))-AVERAGE(OFFSET($H$3,0,0,'Données projet'!$E$15+1,1))</f>
        <v>443.34220761968419</v>
      </c>
      <c r="EP145" s="59">
        <f t="shared" si="154"/>
        <v>546.58234447298014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19.26461709488159</v>
      </c>
      <c r="EW145" s="21">
        <f>EXP(-LN(2)/25)*EW144+(1-EXP(-LN(2)/25))/(LN(2)/25)*Calculateur!ER145*Calculateur!ET145*VLOOKUP('Données projet'!$B$15,Paramètres!$A$1:$I$89,3,0)*0.475*44/12</f>
        <v>0.98303476048529703</v>
      </c>
      <c r="EX145" s="21">
        <f>EXP(-LN(2)/2)*EX144+(1-EXP(-LN(2)/2))/(LN(2)/2)*ER145*EU145*VLOOKUP('Données projet'!$B$15,Paramètres!$A$1:$I$89,3,0)*0.475*44/12</f>
        <v>8.3846774533772862E-17</v>
      </c>
      <c r="EY145" s="22">
        <f t="shared" si="129"/>
        <v>20.247651855366886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224.00000000000006</v>
      </c>
      <c r="O146" s="13">
        <f>N146*VLOOKUP('Données projet'!$B$9,Paramètres!$A$1:$I$89,3,0)*VLOOKUP('Données projet'!$B$9,Paramètres!$A$1:$I$89,5,0)</f>
        <v>195.68640000000008</v>
      </c>
      <c r="P146" s="13">
        <f t="shared" si="141"/>
        <v>48.794969360985156</v>
      </c>
      <c r="Q146" s="20">
        <f t="shared" si="108"/>
        <v>425.8050516370493</v>
      </c>
      <c r="R146" s="59">
        <f t="shared" si="109"/>
        <v>719.13838497038262</v>
      </c>
      <c r="S146" s="59">
        <f ca="1">AVERAGE(OFFSET($R$3,0,0,'Données projet'!$E$9+1,1))-AVERAGE(OFFSET($H$3,0,0,'Données projet'!$E$9+1,1))</f>
        <v>304.32767345253382</v>
      </c>
      <c r="T146" s="59">
        <f t="shared" si="142"/>
        <v>427.16091343339173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12.178955392967415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12.178955392967415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367.99999999999972</v>
      </c>
      <c r="AJ146" s="13">
        <f>AI146*VLOOKUP('Données projet'!$B$10,Paramètres!$A$1:$I$89,3,0)*VLOOKUP('Données projet'!$B$10,Paramètres!$A$1:$I$89,5,0)</f>
        <v>292.78079999999977</v>
      </c>
      <c r="AK146" s="13">
        <f t="shared" si="143"/>
        <v>69.660903052386217</v>
      </c>
      <c r="AL146" s="20">
        <f t="shared" si="112"/>
        <v>631.25263281623893</v>
      </c>
      <c r="AM146" s="59">
        <f t="shared" si="113"/>
        <v>924.58596614957219</v>
      </c>
      <c r="AN146" s="59">
        <f ca="1">AVERAGE(OFFSET($AM$3,0,0,'Données projet'!$E$10+1,1))-AVERAGE(OFFSET($H$3,0,0,'Données projet'!$E$10+1,1))</f>
        <v>405.40026823646758</v>
      </c>
      <c r="AO146" s="59">
        <f t="shared" si="144"/>
        <v>393.0787141050053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17.699342159833773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17.699342159833773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739.99999999999966</v>
      </c>
      <c r="BE146" s="13">
        <f>BD146*VLOOKUP('Données projet'!$B$11,Paramètres!$A$1:$I$89,3,0)*VLOOKUP('Données projet'!$B$11,Paramètres!$A$1:$I$89,5,0)</f>
        <v>413.65999999999985</v>
      </c>
      <c r="BF146" s="13">
        <f t="shared" si="145"/>
        <v>94.540585122244352</v>
      </c>
      <c r="BG146" s="20">
        <f t="shared" si="115"/>
        <v>885.11601908790863</v>
      </c>
      <c r="BH146" s="59">
        <f t="shared" si="116"/>
        <v>1178.4493524212419</v>
      </c>
      <c r="BI146" s="59">
        <f ca="1">AVERAGE(OFFSET($BH$3,0,0,'Données projet'!$E$11+1,1))-AVERAGE(OFFSET($H$3,0,0,'Données projet'!$E$11+1,1))</f>
        <v>555.15881087162279</v>
      </c>
      <c r="BJ146" s="59">
        <f t="shared" si="146"/>
        <v>668.20427590250733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23.866133176628885</v>
      </c>
      <c r="BQ146" s="21">
        <f>EXP(-LN(2)/25)*BQ145+(1-EXP(-LN(2)/25))/(LN(2)/25)*Calculateur!BL146*Calculateur!BN146*VLOOKUP('Données projet'!$B$11,Paramètres!$A$1:$I$89,3,0)*0.475*44/12</f>
        <v>2.5184561224741722</v>
      </c>
      <c r="BR146" s="21">
        <f>EXP(-LN(2)/2)*BR145+(1-EXP(-LN(2)/2))/(LN(2)/2)*BL146*BO146*VLOOKUP('Données projet'!$B$11,Paramètres!$A$1:$I$89,3,0)*0.475*44/12</f>
        <v>8.345859502204247E-18</v>
      </c>
      <c r="BS146" s="22">
        <f t="shared" si="117"/>
        <v>26.384589299103059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367.99999999999972</v>
      </c>
      <c r="BZ146" s="13">
        <f>BY146*VLOOKUP('Données projet'!$B$12,Paramètres!$A$1:$I$89,3,0)*VLOOKUP('Données projet'!$B$12,Paramètres!$A$1:$I$89,5,0)</f>
        <v>241.11359999999982</v>
      </c>
      <c r="CA146" s="13">
        <f t="shared" si="147"/>
        <v>58.6790623558988</v>
      </c>
      <c r="CB146" s="20">
        <f t="shared" si="118"/>
        <v>522.13888693652348</v>
      </c>
      <c r="CC146" s="59">
        <f t="shared" si="119"/>
        <v>815.47222026985673</v>
      </c>
      <c r="CD146" s="59">
        <f ca="1">AVERAGE(OFFSET($CC$3,0,0,'Données projet'!$E$12+1,1))-AVERAGE(OFFSET($H$3,0,0,'Données projet'!$E$12+1,1))</f>
        <v>340.49092994349405</v>
      </c>
      <c r="CE146" s="59">
        <f t="shared" si="148"/>
        <v>331.54434271908832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11.825753585149755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11.825753585149755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306.99999999999994</v>
      </c>
      <c r="CU146" s="17">
        <f>CT146*VLOOKUP('Données projet'!$B$13,Paramètres!$A$1:$I$89,3,0)*VLOOKUP('Données projet'!$B$13,Paramètres!$A$1:$I$89,5,0)</f>
        <v>277.77359999999993</v>
      </c>
      <c r="CV146" s="13">
        <f t="shared" si="149"/>
        <v>66.496288176842356</v>
      </c>
      <c r="CW146" s="20">
        <f t="shared" si="121"/>
        <v>599.60338857466706</v>
      </c>
      <c r="CX146" s="59">
        <f t="shared" si="122"/>
        <v>892.93672190800044</v>
      </c>
      <c r="CY146" s="59">
        <f ca="1">AVERAGE(OFFSET($CX$3,0,0,'Données projet'!$E$13+1,1))-AVERAGE(OFFSET($H$3,0,0,'Données projet'!$E$13+1,1))</f>
        <v>439.19854273764042</v>
      </c>
      <c r="CZ146" s="59">
        <f t="shared" si="150"/>
        <v>278.21741231699929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57.490806884239156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57.490806884239156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306.99999999999994</v>
      </c>
      <c r="DP146" s="17">
        <f>DO146*VLOOKUP('Données projet'!$B$14,Paramètres!$A$1:$I$89,3,0)*VLOOKUP('Données projet'!$B$14,Paramètres!$A$1:$I$89,5,0)</f>
        <v>258.61679999999996</v>
      </c>
      <c r="DQ146" s="13">
        <f t="shared" si="151"/>
        <v>62.427444141032439</v>
      </c>
      <c r="DR146" s="20">
        <f t="shared" si="124"/>
        <v>559.15205854563135</v>
      </c>
      <c r="DS146" s="59">
        <f t="shared" si="125"/>
        <v>852.48539187896472</v>
      </c>
      <c r="DT146" s="59">
        <f ca="1">AVERAGE(OFFSET($DS$3,0,0,'Données projet'!$E$14+1,1))-AVERAGE(OFFSET($H$3,0,0,'Données projet'!$E$14+1,1))</f>
        <v>411.72284844766</v>
      </c>
      <c r="DU146" s="59">
        <f t="shared" si="152"/>
        <v>261.95434270986397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53.525923650843367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53.525923650843367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636.99999999999977</v>
      </c>
      <c r="EK146" s="17">
        <f>EJ146*VLOOKUP('Données projet'!$B$15,Paramètres!$A$1:$I$89,3,0)*VLOOKUP('Données projet'!$B$15,Paramètres!$A$1:$I$89,5,0)</f>
        <v>356.08299999999991</v>
      </c>
      <c r="EL146" s="13">
        <f t="shared" si="153"/>
        <v>82.813805255716545</v>
      </c>
      <c r="EM146" s="20">
        <f t="shared" si="127"/>
        <v>764.41193582037283</v>
      </c>
      <c r="EN146" s="59">
        <f t="shared" si="128"/>
        <v>1057.7452691537062</v>
      </c>
      <c r="EO146" s="59">
        <f ca="1">AVERAGE(OFFSET($EN$3,0,0,'Données projet'!$E$15+1,1))-AVERAGE(OFFSET($H$3,0,0,'Données projet'!$E$15+1,1))</f>
        <v>443.34220761968419</v>
      </c>
      <c r="EP146" s="59">
        <f t="shared" si="154"/>
        <v>546.58234447298014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18.886849703907149</v>
      </c>
      <c r="EW146" s="21">
        <f>EXP(-LN(2)/25)*EW145+(1-EXP(-LN(2)/25))/(LN(2)/25)*Calculateur!ER146*Calculateur!ET146*VLOOKUP('Données projet'!$B$15,Paramètres!$A$1:$I$89,3,0)*0.475*44/12</f>
        <v>0.95615362326427533</v>
      </c>
      <c r="EX146" s="21">
        <f>EXP(-LN(2)/2)*EX145+(1-EXP(-LN(2)/2))/(LN(2)/2)*ER146*EU146*VLOOKUP('Données projet'!$B$15,Paramètres!$A$1:$I$89,3,0)*0.475*44/12</f>
        <v>5.9288622853450311E-17</v>
      </c>
      <c r="EY146" s="22">
        <f t="shared" si="129"/>
        <v>19.843003327171424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224.00000000000006</v>
      </c>
      <c r="O147" s="13">
        <f>N147*VLOOKUP('Données projet'!$B$9,Paramètres!$A$1:$I$89,3,0)*VLOOKUP('Données projet'!$B$9,Paramètres!$A$1:$I$89,5,0)</f>
        <v>195.68640000000008</v>
      </c>
      <c r="P147" s="13">
        <f t="shared" si="141"/>
        <v>48.794969360985156</v>
      </c>
      <c r="Q147" s="20">
        <f t="shared" si="108"/>
        <v>425.8050516370493</v>
      </c>
      <c r="R147" s="59">
        <f t="shared" si="109"/>
        <v>719.13838497038262</v>
      </c>
      <c r="S147" s="59">
        <f ca="1">AVERAGE(OFFSET($R$3,0,0,'Données projet'!$E$9+1,1))-AVERAGE(OFFSET($H$3,0,0,'Données projet'!$E$9+1,1))</f>
        <v>304.32767345253382</v>
      </c>
      <c r="T147" s="59">
        <f t="shared" si="142"/>
        <v>427.16091343339173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11.940133506140617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11.940133506140617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367.99999999999972</v>
      </c>
      <c r="AJ147" s="13">
        <f>AI147*VLOOKUP('Données projet'!$B$10,Paramètres!$A$1:$I$89,3,0)*VLOOKUP('Données projet'!$B$10,Paramètres!$A$1:$I$89,5,0)</f>
        <v>292.78079999999977</v>
      </c>
      <c r="AK147" s="13">
        <f t="shared" si="143"/>
        <v>69.660903052386217</v>
      </c>
      <c r="AL147" s="20">
        <f t="shared" si="112"/>
        <v>631.25263281623893</v>
      </c>
      <c r="AM147" s="59">
        <f t="shared" si="113"/>
        <v>924.58596614957219</v>
      </c>
      <c r="AN147" s="59">
        <f ca="1">AVERAGE(OFFSET($AM$3,0,0,'Données projet'!$E$10+1,1))-AVERAGE(OFFSET($H$3,0,0,'Données projet'!$E$10+1,1))</f>
        <v>405.40026823646758</v>
      </c>
      <c r="AO147" s="59">
        <f t="shared" si="144"/>
        <v>393.0787141050053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17.352268855612181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17.352268855612181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739.99999999999966</v>
      </c>
      <c r="BE147" s="13">
        <f>BD147*VLOOKUP('Données projet'!$B$11,Paramètres!$A$1:$I$89,3,0)*VLOOKUP('Données projet'!$B$11,Paramètres!$A$1:$I$89,5,0)</f>
        <v>413.65999999999985</v>
      </c>
      <c r="BF147" s="13">
        <f t="shared" si="145"/>
        <v>94.540585122244352</v>
      </c>
      <c r="BG147" s="20">
        <f t="shared" si="115"/>
        <v>885.11601908790863</v>
      </c>
      <c r="BH147" s="59">
        <f t="shared" si="116"/>
        <v>1178.4493524212419</v>
      </c>
      <c r="BI147" s="59">
        <f ca="1">AVERAGE(OFFSET($BH$3,0,0,'Données projet'!$E$11+1,1))-AVERAGE(OFFSET($H$3,0,0,'Données projet'!$E$11+1,1))</f>
        <v>555.15881087162279</v>
      </c>
      <c r="BJ147" s="59">
        <f t="shared" si="146"/>
        <v>668.20427590250733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23.398132861939057</v>
      </c>
      <c r="BQ147" s="21">
        <f>EXP(-LN(2)/25)*BQ146+(1-EXP(-LN(2)/25))/(LN(2)/25)*Calculateur!BL147*Calculateur!BN147*VLOOKUP('Données projet'!$B$11,Paramètres!$A$1:$I$89,3,0)*0.475*44/12</f>
        <v>2.4495888073652643</v>
      </c>
      <c r="BR147" s="21">
        <f>EXP(-LN(2)/2)*BR146+(1-EXP(-LN(2)/2))/(LN(2)/2)*BL147*BO147*VLOOKUP('Données projet'!$B$11,Paramètres!$A$1:$I$89,3,0)*0.475*44/12</f>
        <v>5.9014138488388071E-18</v>
      </c>
      <c r="BS147" s="22">
        <f t="shared" si="117"/>
        <v>25.84772166930432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367.99999999999972</v>
      </c>
      <c r="BZ147" s="13">
        <f>BY147*VLOOKUP('Données projet'!$B$12,Paramètres!$A$1:$I$89,3,0)*VLOOKUP('Données projet'!$B$12,Paramètres!$A$1:$I$89,5,0)</f>
        <v>241.11359999999982</v>
      </c>
      <c r="CA147" s="13">
        <f t="shared" si="147"/>
        <v>58.6790623558988</v>
      </c>
      <c r="CB147" s="20">
        <f t="shared" si="118"/>
        <v>522.13888693652348</v>
      </c>
      <c r="CC147" s="59">
        <f t="shared" si="119"/>
        <v>815.47222026985673</v>
      </c>
      <c r="CD147" s="59">
        <f ca="1">AVERAGE(OFFSET($CC$3,0,0,'Données projet'!$E$12+1,1))-AVERAGE(OFFSET($H$3,0,0,'Données projet'!$E$12+1,1))</f>
        <v>340.49092994349405</v>
      </c>
      <c r="CE147" s="59">
        <f t="shared" si="148"/>
        <v>331.54434271908832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11.593857770342431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11.593857770342431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306.99999999999994</v>
      </c>
      <c r="CU147" s="17">
        <f>CT147*VLOOKUP('Données projet'!$B$13,Paramètres!$A$1:$I$89,3,0)*VLOOKUP('Données projet'!$B$13,Paramètres!$A$1:$I$89,5,0)</f>
        <v>277.77359999999993</v>
      </c>
      <c r="CV147" s="13">
        <f t="shared" si="149"/>
        <v>66.496288176842356</v>
      </c>
      <c r="CW147" s="20">
        <f t="shared" si="121"/>
        <v>599.60338857466706</v>
      </c>
      <c r="CX147" s="59">
        <f t="shared" si="122"/>
        <v>892.93672190800044</v>
      </c>
      <c r="CY147" s="59">
        <f ca="1">AVERAGE(OFFSET($CX$3,0,0,'Données projet'!$E$13+1,1))-AVERAGE(OFFSET($H$3,0,0,'Données projet'!$E$13+1,1))</f>
        <v>439.19854273764042</v>
      </c>
      <c r="CZ147" s="59">
        <f t="shared" si="150"/>
        <v>278.21741231699929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56.363447227168955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56.363447227168955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306.99999999999994</v>
      </c>
      <c r="DP147" s="17">
        <f>DO147*VLOOKUP('Données projet'!$B$14,Paramètres!$A$1:$I$89,3,0)*VLOOKUP('Données projet'!$B$14,Paramètres!$A$1:$I$89,5,0)</f>
        <v>258.61679999999996</v>
      </c>
      <c r="DQ147" s="13">
        <f t="shared" si="151"/>
        <v>62.427444141032439</v>
      </c>
      <c r="DR147" s="20">
        <f t="shared" si="124"/>
        <v>559.15205854563135</v>
      </c>
      <c r="DS147" s="59">
        <f t="shared" si="125"/>
        <v>852.48539187896472</v>
      </c>
      <c r="DT147" s="59">
        <f ca="1">AVERAGE(OFFSET($DS$3,0,0,'Données projet'!$E$14+1,1))-AVERAGE(OFFSET($H$3,0,0,'Données projet'!$E$14+1,1))</f>
        <v>411.72284844766</v>
      </c>
      <c r="DU147" s="59">
        <f t="shared" si="152"/>
        <v>261.95434270986397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52.476312935640074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52.476312935640074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636.99999999999977</v>
      </c>
      <c r="EK147" s="17">
        <f>EJ147*VLOOKUP('Données projet'!$B$15,Paramètres!$A$1:$I$89,3,0)*VLOOKUP('Données projet'!$B$15,Paramètres!$A$1:$I$89,5,0)</f>
        <v>356.08299999999991</v>
      </c>
      <c r="EL147" s="13">
        <f t="shared" si="153"/>
        <v>82.813805255716545</v>
      </c>
      <c r="EM147" s="20">
        <f t="shared" si="127"/>
        <v>764.41193582037283</v>
      </c>
      <c r="EN147" s="59">
        <f t="shared" si="128"/>
        <v>1057.7452691537062</v>
      </c>
      <c r="EO147" s="59">
        <f ca="1">AVERAGE(OFFSET($EN$3,0,0,'Données projet'!$E$15+1,1))-AVERAGE(OFFSET($H$3,0,0,'Données projet'!$E$15+1,1))</f>
        <v>443.34220761968419</v>
      </c>
      <c r="EP147" s="59">
        <f t="shared" si="154"/>
        <v>546.58234447298014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18.516490101054359</v>
      </c>
      <c r="EW147" s="21">
        <f>EXP(-LN(2)/25)*EW146+(1-EXP(-LN(2)/25))/(LN(2)/25)*Calculateur!ER147*Calculateur!ET147*VLOOKUP('Données projet'!$B$15,Paramètres!$A$1:$I$89,3,0)*0.475*44/12</f>
        <v>0.93000755215417996</v>
      </c>
      <c r="EX147" s="21">
        <f>EXP(-LN(2)/2)*EX146+(1-EXP(-LN(2)/2))/(LN(2)/2)*ER147*EU147*VLOOKUP('Données projet'!$B$15,Paramètres!$A$1:$I$89,3,0)*0.475*44/12</f>
        <v>4.1923387266886431E-17</v>
      </c>
      <c r="EY147" s="22">
        <f t="shared" si="129"/>
        <v>19.446497653208539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224.00000000000006</v>
      </c>
      <c r="O148" s="13">
        <f>N148*VLOOKUP('Données projet'!$B$9,Paramètres!$A$1:$I$89,3,0)*VLOOKUP('Données projet'!$B$9,Paramètres!$A$1:$I$89,5,0)</f>
        <v>195.68640000000008</v>
      </c>
      <c r="P148" s="13">
        <f t="shared" si="141"/>
        <v>48.794969360985156</v>
      </c>
      <c r="Q148" s="20">
        <f t="shared" si="108"/>
        <v>425.8050516370493</v>
      </c>
      <c r="R148" s="59">
        <f t="shared" si="109"/>
        <v>719.13838497038262</v>
      </c>
      <c r="S148" s="59">
        <f ca="1">AVERAGE(OFFSET($R$3,0,0,'Données projet'!$E$9+1,1))-AVERAGE(OFFSET($H$3,0,0,'Données projet'!$E$9+1,1))</f>
        <v>304.32767345253382</v>
      </c>
      <c r="T148" s="59">
        <f t="shared" si="142"/>
        <v>427.16091343339173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11.705994770847525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11.705994770847525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367.99999999999972</v>
      </c>
      <c r="AJ148" s="13">
        <f>AI148*VLOOKUP('Données projet'!$B$10,Paramètres!$A$1:$I$89,3,0)*VLOOKUP('Données projet'!$B$10,Paramètres!$A$1:$I$89,5,0)</f>
        <v>292.78079999999977</v>
      </c>
      <c r="AK148" s="13">
        <f t="shared" si="143"/>
        <v>69.660903052386217</v>
      </c>
      <c r="AL148" s="20">
        <f t="shared" si="112"/>
        <v>631.25263281623893</v>
      </c>
      <c r="AM148" s="59">
        <f t="shared" si="113"/>
        <v>924.58596614957219</v>
      </c>
      <c r="AN148" s="59">
        <f ca="1">AVERAGE(OFFSET($AM$3,0,0,'Données projet'!$E$10+1,1))-AVERAGE(OFFSET($H$3,0,0,'Données projet'!$E$10+1,1))</f>
        <v>405.40026823646758</v>
      </c>
      <c r="AO148" s="59">
        <f t="shared" si="144"/>
        <v>393.0787141050053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17.01200144719256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17.01200144719256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739.99999999999966</v>
      </c>
      <c r="BE148" s="13">
        <f>BD148*VLOOKUP('Données projet'!$B$11,Paramètres!$A$1:$I$89,3,0)*VLOOKUP('Données projet'!$B$11,Paramètres!$A$1:$I$89,5,0)</f>
        <v>413.65999999999985</v>
      </c>
      <c r="BF148" s="13">
        <f t="shared" si="145"/>
        <v>94.540585122244352</v>
      </c>
      <c r="BG148" s="20">
        <f t="shared" si="115"/>
        <v>885.11601908790863</v>
      </c>
      <c r="BH148" s="59">
        <f t="shared" si="116"/>
        <v>1178.4493524212419</v>
      </c>
      <c r="BI148" s="59">
        <f ca="1">AVERAGE(OFFSET($BH$3,0,0,'Données projet'!$E$11+1,1))-AVERAGE(OFFSET($H$3,0,0,'Données projet'!$E$11+1,1))</f>
        <v>555.15881087162279</v>
      </c>
      <c r="BJ148" s="59">
        <f t="shared" si="146"/>
        <v>668.20427590250733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22.939309747968288</v>
      </c>
      <c r="BQ148" s="21">
        <f>EXP(-LN(2)/25)*BQ147+(1-EXP(-LN(2)/25))/(LN(2)/25)*Calculateur!BL148*Calculateur!BN148*VLOOKUP('Données projet'!$B$11,Paramètres!$A$1:$I$89,3,0)*0.475*44/12</f>
        <v>2.3826046726095842</v>
      </c>
      <c r="BR148" s="21">
        <f>EXP(-LN(2)/2)*BR147+(1-EXP(-LN(2)/2))/(LN(2)/2)*BL148*BO148*VLOOKUP('Données projet'!$B$11,Paramètres!$A$1:$I$89,3,0)*0.475*44/12</f>
        <v>4.1729297511021235E-18</v>
      </c>
      <c r="BS148" s="22">
        <f t="shared" si="117"/>
        <v>25.321914420577873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367.99999999999972</v>
      </c>
      <c r="BZ148" s="13">
        <f>BY148*VLOOKUP('Données projet'!$B$12,Paramètres!$A$1:$I$89,3,0)*VLOOKUP('Données projet'!$B$12,Paramètres!$A$1:$I$89,5,0)</f>
        <v>241.11359999999982</v>
      </c>
      <c r="CA148" s="13">
        <f t="shared" si="147"/>
        <v>58.6790623558988</v>
      </c>
      <c r="CB148" s="20">
        <f t="shared" si="118"/>
        <v>522.13888693652348</v>
      </c>
      <c r="CC148" s="59">
        <f t="shared" si="119"/>
        <v>815.47222026985673</v>
      </c>
      <c r="CD148" s="59">
        <f ca="1">AVERAGE(OFFSET($CC$3,0,0,'Données projet'!$E$12+1,1))-AVERAGE(OFFSET($H$3,0,0,'Données projet'!$E$12+1,1))</f>
        <v>340.49092994349405</v>
      </c>
      <c r="CE148" s="59">
        <f t="shared" si="148"/>
        <v>331.54434271908832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11.366509291020998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11.366509291020998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306.99999999999994</v>
      </c>
      <c r="CU148" s="17">
        <f>CT148*VLOOKUP('Données projet'!$B$13,Paramètres!$A$1:$I$89,3,0)*VLOOKUP('Données projet'!$B$13,Paramètres!$A$1:$I$89,5,0)</f>
        <v>277.77359999999993</v>
      </c>
      <c r="CV148" s="13">
        <f t="shared" si="149"/>
        <v>66.496288176842356</v>
      </c>
      <c r="CW148" s="20">
        <f t="shared" si="121"/>
        <v>599.60338857466706</v>
      </c>
      <c r="CX148" s="59">
        <f t="shared" si="122"/>
        <v>892.93672190800044</v>
      </c>
      <c r="CY148" s="59">
        <f ca="1">AVERAGE(OFFSET($CX$3,0,0,'Données projet'!$E$13+1,1))-AVERAGE(OFFSET($H$3,0,0,'Données projet'!$E$13+1,1))</f>
        <v>439.19854273764042</v>
      </c>
      <c r="CZ148" s="59">
        <f t="shared" si="150"/>
        <v>278.21741231699929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55.258194405352405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55.258194405352405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306.99999999999994</v>
      </c>
      <c r="DP148" s="17">
        <f>DO148*VLOOKUP('Données projet'!$B$14,Paramètres!$A$1:$I$89,3,0)*VLOOKUP('Données projet'!$B$14,Paramètres!$A$1:$I$89,5,0)</f>
        <v>258.61679999999996</v>
      </c>
      <c r="DQ148" s="13">
        <f t="shared" si="151"/>
        <v>62.427444141032439</v>
      </c>
      <c r="DR148" s="20">
        <f t="shared" si="124"/>
        <v>559.15205854563135</v>
      </c>
      <c r="DS148" s="59">
        <f t="shared" si="125"/>
        <v>852.48539187896472</v>
      </c>
      <c r="DT148" s="59">
        <f ca="1">AVERAGE(OFFSET($DS$3,0,0,'Données projet'!$E$14+1,1))-AVERAGE(OFFSET($H$3,0,0,'Données projet'!$E$14+1,1))</f>
        <v>411.72284844766</v>
      </c>
      <c r="DU148" s="59">
        <f t="shared" si="152"/>
        <v>261.95434270986397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51.447284446362595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51.447284446362595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636.99999999999977</v>
      </c>
      <c r="EK148" s="17">
        <f>EJ148*VLOOKUP('Données projet'!$B$15,Paramètres!$A$1:$I$89,3,0)*VLOOKUP('Données projet'!$B$15,Paramètres!$A$1:$I$89,5,0)</f>
        <v>356.08299999999991</v>
      </c>
      <c r="EL148" s="13">
        <f t="shared" si="153"/>
        <v>82.813805255716545</v>
      </c>
      <c r="EM148" s="20">
        <f t="shared" si="127"/>
        <v>764.41193582037283</v>
      </c>
      <c r="EN148" s="59">
        <f t="shared" si="128"/>
        <v>1057.7452691537062</v>
      </c>
      <c r="EO148" s="59">
        <f ca="1">AVERAGE(OFFSET($EN$3,0,0,'Données projet'!$E$15+1,1))-AVERAGE(OFFSET($H$3,0,0,'Données projet'!$E$15+1,1))</f>
        <v>443.34220761968419</v>
      </c>
      <c r="EP148" s="59">
        <f t="shared" si="154"/>
        <v>546.58234447298014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18.153393024116461</v>
      </c>
      <c r="EW148" s="21">
        <f>EXP(-LN(2)/25)*EW147+(1-EXP(-LN(2)/25))/(LN(2)/25)*Calculateur!ER148*Calculateur!ET148*VLOOKUP('Données projet'!$B$15,Paramètres!$A$1:$I$89,3,0)*0.475*44/12</f>
        <v>0.90457644673355231</v>
      </c>
      <c r="EX148" s="21">
        <f>EXP(-LN(2)/2)*EX147+(1-EXP(-LN(2)/2))/(LN(2)/2)*ER148*EU148*VLOOKUP('Données projet'!$B$15,Paramètres!$A$1:$I$89,3,0)*0.475*44/12</f>
        <v>2.9644311426725156E-17</v>
      </c>
      <c r="EY148" s="22">
        <f t="shared" si="129"/>
        <v>19.057969470850015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224.00000000000006</v>
      </c>
      <c r="O149" s="13">
        <f>N149*VLOOKUP('Données projet'!$B$9,Paramètres!$A$1:$I$89,3,0)*VLOOKUP('Données projet'!$B$9,Paramètres!$A$1:$I$89,5,0)</f>
        <v>195.68640000000008</v>
      </c>
      <c r="P149" s="13">
        <f t="shared" si="141"/>
        <v>48.794969360985156</v>
      </c>
      <c r="Q149" s="20">
        <f t="shared" si="108"/>
        <v>425.8050516370493</v>
      </c>
      <c r="R149" s="59">
        <f t="shared" si="109"/>
        <v>719.13838497038262</v>
      </c>
      <c r="S149" s="59">
        <f ca="1">AVERAGE(OFFSET($R$3,0,0,'Données projet'!$E$9+1,1))-AVERAGE(OFFSET($H$3,0,0,'Données projet'!$E$9+1,1))</f>
        <v>304.32767345253382</v>
      </c>
      <c r="T149" s="59">
        <f t="shared" si="142"/>
        <v>427.16091343339173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11.476447353343003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11.476447353343003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367.99999999999972</v>
      </c>
      <c r="AJ149" s="13">
        <f>AI149*VLOOKUP('Données projet'!$B$10,Paramètres!$A$1:$I$89,3,0)*VLOOKUP('Données projet'!$B$10,Paramètres!$A$1:$I$89,5,0)</f>
        <v>292.78079999999977</v>
      </c>
      <c r="AK149" s="13">
        <f t="shared" si="143"/>
        <v>69.660903052386217</v>
      </c>
      <c r="AL149" s="20">
        <f t="shared" si="112"/>
        <v>631.25263281623893</v>
      </c>
      <c r="AM149" s="59">
        <f t="shared" si="113"/>
        <v>924.58596614957219</v>
      </c>
      <c r="AN149" s="59">
        <f ca="1">AVERAGE(OFFSET($AM$3,0,0,'Données projet'!$E$10+1,1))-AVERAGE(OFFSET($H$3,0,0,'Données projet'!$E$10+1,1))</f>
        <v>405.40026823646758</v>
      </c>
      <c r="AO149" s="59">
        <f t="shared" si="144"/>
        <v>393.0787141050053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16.678406475109423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16.678406475109423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739.99999999999966</v>
      </c>
      <c r="BE149" s="13">
        <f>BD149*VLOOKUP('Données projet'!$B$11,Paramètres!$A$1:$I$89,3,0)*VLOOKUP('Données projet'!$B$11,Paramètres!$A$1:$I$89,5,0)</f>
        <v>413.65999999999985</v>
      </c>
      <c r="BF149" s="13">
        <f t="shared" si="145"/>
        <v>94.540585122244352</v>
      </c>
      <c r="BG149" s="20">
        <f t="shared" si="115"/>
        <v>885.11601908790863</v>
      </c>
      <c r="BH149" s="59">
        <f t="shared" si="116"/>
        <v>1178.4493524212419</v>
      </c>
      <c r="BI149" s="59">
        <f ca="1">AVERAGE(OFFSET($BH$3,0,0,'Données projet'!$E$11+1,1))-AVERAGE(OFFSET($H$3,0,0,'Données projet'!$E$11+1,1))</f>
        <v>555.15881087162279</v>
      </c>
      <c r="BJ149" s="59">
        <f t="shared" si="146"/>
        <v>668.20427590250733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22.48948387540802</v>
      </c>
      <c r="BQ149" s="21">
        <f>EXP(-LN(2)/25)*BQ148+(1-EXP(-LN(2)/25))/(LN(2)/25)*Calculateur!BL149*Calculateur!BN149*VLOOKUP('Données projet'!$B$11,Paramètres!$A$1:$I$89,3,0)*0.475*44/12</f>
        <v>2.3174522225413408</v>
      </c>
      <c r="BR149" s="21">
        <f>EXP(-LN(2)/2)*BR148+(1-EXP(-LN(2)/2))/(LN(2)/2)*BL149*BO149*VLOOKUP('Données projet'!$B$11,Paramètres!$A$1:$I$89,3,0)*0.475*44/12</f>
        <v>2.9507069244194035E-18</v>
      </c>
      <c r="BS149" s="22">
        <f t="shared" si="117"/>
        <v>24.806936097949361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367.99999999999972</v>
      </c>
      <c r="BZ149" s="13">
        <f>BY149*VLOOKUP('Données projet'!$B$12,Paramètres!$A$1:$I$89,3,0)*VLOOKUP('Données projet'!$B$12,Paramètres!$A$1:$I$89,5,0)</f>
        <v>241.11359999999982</v>
      </c>
      <c r="CA149" s="13">
        <f t="shared" si="147"/>
        <v>58.6790623558988</v>
      </c>
      <c r="CB149" s="20">
        <f t="shared" si="118"/>
        <v>522.13888693652348</v>
      </c>
      <c r="CC149" s="59">
        <f t="shared" si="119"/>
        <v>815.47222026985673</v>
      </c>
      <c r="CD149" s="59">
        <f ca="1">AVERAGE(OFFSET($CC$3,0,0,'Données projet'!$E$12+1,1))-AVERAGE(OFFSET($H$3,0,0,'Données projet'!$E$12+1,1))</f>
        <v>340.49092994349405</v>
      </c>
      <c r="CE149" s="59">
        <f t="shared" si="148"/>
        <v>331.54434271908832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11.143618976710178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11.143618976710178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306.99999999999994</v>
      </c>
      <c r="CU149" s="17">
        <f>CT149*VLOOKUP('Données projet'!$B$13,Paramètres!$A$1:$I$89,3,0)*VLOOKUP('Données projet'!$B$13,Paramètres!$A$1:$I$89,5,0)</f>
        <v>277.77359999999993</v>
      </c>
      <c r="CV149" s="13">
        <f t="shared" si="149"/>
        <v>66.496288176842356</v>
      </c>
      <c r="CW149" s="20">
        <f t="shared" si="121"/>
        <v>599.60338857466706</v>
      </c>
      <c r="CX149" s="59">
        <f t="shared" si="122"/>
        <v>892.93672190800044</v>
      </c>
      <c r="CY149" s="59">
        <f ca="1">AVERAGE(OFFSET($CX$3,0,0,'Données projet'!$E$13+1,1))-AVERAGE(OFFSET($H$3,0,0,'Données projet'!$E$13+1,1))</f>
        <v>439.19854273764042</v>
      </c>
      <c r="CZ149" s="59">
        <f t="shared" si="150"/>
        <v>278.21741231699929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54.174614917234024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54.174614917234024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306.99999999999994</v>
      </c>
      <c r="DP149" s="17">
        <f>DO149*VLOOKUP('Données projet'!$B$14,Paramètres!$A$1:$I$89,3,0)*VLOOKUP('Données projet'!$B$14,Paramètres!$A$1:$I$89,5,0)</f>
        <v>258.61679999999996</v>
      </c>
      <c r="DQ149" s="13">
        <f t="shared" si="151"/>
        <v>62.427444141032439</v>
      </c>
      <c r="DR149" s="20">
        <f t="shared" si="124"/>
        <v>559.15205854563135</v>
      </c>
      <c r="DS149" s="59">
        <f t="shared" si="125"/>
        <v>852.48539187896472</v>
      </c>
      <c r="DT149" s="59">
        <f ca="1">AVERAGE(OFFSET($DS$3,0,0,'Données projet'!$E$14+1,1))-AVERAGE(OFFSET($H$3,0,0,'Données projet'!$E$14+1,1))</f>
        <v>411.72284844766</v>
      </c>
      <c r="DU149" s="59">
        <f t="shared" si="152"/>
        <v>261.95434270986397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50.438434578114446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50.438434578114446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636.99999999999977</v>
      </c>
      <c r="EK149" s="17">
        <f>EJ149*VLOOKUP('Données projet'!$B$15,Paramètres!$A$1:$I$89,3,0)*VLOOKUP('Données projet'!$B$15,Paramètres!$A$1:$I$89,5,0)</f>
        <v>356.08299999999991</v>
      </c>
      <c r="EL149" s="13">
        <f t="shared" si="153"/>
        <v>82.813805255716545</v>
      </c>
      <c r="EM149" s="20">
        <f t="shared" si="127"/>
        <v>764.41193582037283</v>
      </c>
      <c r="EN149" s="59">
        <f t="shared" si="128"/>
        <v>1057.7452691537062</v>
      </c>
      <c r="EO149" s="59">
        <f ca="1">AVERAGE(OFFSET($EN$3,0,0,'Données projet'!$E$15+1,1))-AVERAGE(OFFSET($H$3,0,0,'Données projet'!$E$15+1,1))</f>
        <v>443.34220761968419</v>
      </c>
      <c r="EP149" s="59">
        <f t="shared" si="154"/>
        <v>546.58234447298014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17.797416059389967</v>
      </c>
      <c r="EW149" s="21">
        <f>EXP(-LN(2)/25)*EW148+(1-EXP(-LN(2)/25))/(LN(2)/25)*Calculateur!ER149*Calculateur!ET149*VLOOKUP('Données projet'!$B$15,Paramètres!$A$1:$I$89,3,0)*0.475*44/12</f>
        <v>0.87984075622801539</v>
      </c>
      <c r="EX149" s="21">
        <f>EXP(-LN(2)/2)*EX148+(1-EXP(-LN(2)/2))/(LN(2)/2)*ER149*EU149*VLOOKUP('Données projet'!$B$15,Paramètres!$A$1:$I$89,3,0)*0.475*44/12</f>
        <v>2.0961693633443215E-17</v>
      </c>
      <c r="EY149" s="22">
        <f t="shared" si="129"/>
        <v>18.677256815617984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224.00000000000006</v>
      </c>
      <c r="O150" s="13">
        <f>N150*VLOOKUP('Données projet'!$B$9,Paramètres!$A$1:$I$89,3,0)*VLOOKUP('Données projet'!$B$9,Paramètres!$A$1:$I$89,5,0)</f>
        <v>195.68640000000008</v>
      </c>
      <c r="P150" s="13">
        <f t="shared" si="141"/>
        <v>48.794969360985156</v>
      </c>
      <c r="Q150" s="20">
        <f t="shared" si="108"/>
        <v>425.8050516370493</v>
      </c>
      <c r="R150" s="59">
        <f t="shared" si="109"/>
        <v>719.13838497038262</v>
      </c>
      <c r="S150" s="59">
        <f ca="1">AVERAGE(OFFSET($R$3,0,0,'Données projet'!$E$9+1,1))-AVERAGE(OFFSET($H$3,0,0,'Données projet'!$E$9+1,1))</f>
        <v>304.32767345253382</v>
      </c>
      <c r="T150" s="59">
        <f t="shared" si="142"/>
        <v>427.16091343339173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11.251401220685645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11.251401220685645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367.99999999999972</v>
      </c>
      <c r="AJ150" s="13">
        <f>AI150*VLOOKUP('Données projet'!$B$10,Paramètres!$A$1:$I$89,3,0)*VLOOKUP('Données projet'!$B$10,Paramètres!$A$1:$I$89,5,0)</f>
        <v>292.78079999999977</v>
      </c>
      <c r="AK150" s="13">
        <f t="shared" si="143"/>
        <v>69.660903052386217</v>
      </c>
      <c r="AL150" s="20">
        <f t="shared" si="112"/>
        <v>631.25263281623893</v>
      </c>
      <c r="AM150" s="59">
        <f t="shared" si="113"/>
        <v>924.58596614957219</v>
      </c>
      <c r="AN150" s="59">
        <f ca="1">AVERAGE(OFFSET($AM$3,0,0,'Données projet'!$E$10+1,1))-AVERAGE(OFFSET($H$3,0,0,'Données projet'!$E$10+1,1))</f>
        <v>405.40026823646758</v>
      </c>
      <c r="AO150" s="59">
        <f t="shared" si="144"/>
        <v>393.0787141050053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16.351353096955993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16.351353096955993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739.99999999999966</v>
      </c>
      <c r="BE150" s="13">
        <f>BD150*VLOOKUP('Données projet'!$B$11,Paramètres!$A$1:$I$89,3,0)*VLOOKUP('Données projet'!$B$11,Paramètres!$A$1:$I$89,5,0)</f>
        <v>413.65999999999985</v>
      </c>
      <c r="BF150" s="13">
        <f t="shared" si="145"/>
        <v>94.540585122244352</v>
      </c>
      <c r="BG150" s="20">
        <f t="shared" si="115"/>
        <v>885.11601908790863</v>
      </c>
      <c r="BH150" s="59">
        <f t="shared" si="116"/>
        <v>1178.4493524212419</v>
      </c>
      <c r="BI150" s="59">
        <f ca="1">AVERAGE(OFFSET($BH$3,0,0,'Données projet'!$E$11+1,1))-AVERAGE(OFFSET($H$3,0,0,'Données projet'!$E$11+1,1))</f>
        <v>555.15881087162279</v>
      </c>
      <c r="BJ150" s="59">
        <f t="shared" si="146"/>
        <v>668.20427590250733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22.048478813841967</v>
      </c>
      <c r="BQ150" s="21">
        <f>EXP(-LN(2)/25)*BQ149+(1-EXP(-LN(2)/25))/(LN(2)/25)*Calculateur!BL150*Calculateur!BN150*VLOOKUP('Données projet'!$B$11,Paramètres!$A$1:$I$89,3,0)*0.475*44/12</f>
        <v>2.2540813696464319</v>
      </c>
      <c r="BR150" s="21">
        <f>EXP(-LN(2)/2)*BR149+(1-EXP(-LN(2)/2))/(LN(2)/2)*BL150*BO150*VLOOKUP('Données projet'!$B$11,Paramètres!$A$1:$I$89,3,0)*0.475*44/12</f>
        <v>2.0864648755510617E-18</v>
      </c>
      <c r="BS150" s="22">
        <f t="shared" si="117"/>
        <v>24.302560183488399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367.99999999999972</v>
      </c>
      <c r="BZ150" s="13">
        <f>BY150*VLOOKUP('Données projet'!$B$12,Paramètres!$A$1:$I$89,3,0)*VLOOKUP('Données projet'!$B$12,Paramètres!$A$1:$I$89,5,0)</f>
        <v>241.11359999999982</v>
      </c>
      <c r="CA150" s="13">
        <f t="shared" si="147"/>
        <v>58.6790623558988</v>
      </c>
      <c r="CB150" s="20">
        <f t="shared" si="118"/>
        <v>522.13888693652348</v>
      </c>
      <c r="CC150" s="59">
        <f t="shared" si="119"/>
        <v>815.47222026985673</v>
      </c>
      <c r="CD150" s="59">
        <f ca="1">AVERAGE(OFFSET($CC$3,0,0,'Données projet'!$E$12+1,1))-AVERAGE(OFFSET($H$3,0,0,'Données projet'!$E$12+1,1))</f>
        <v>340.49092994349405</v>
      </c>
      <c r="CE150" s="59">
        <f t="shared" si="148"/>
        <v>331.54434271908832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10.925099405513325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10.925099405513325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306.99999999999994</v>
      </c>
      <c r="CU150" s="17">
        <f>CT150*VLOOKUP('Données projet'!$B$13,Paramètres!$A$1:$I$89,3,0)*VLOOKUP('Données projet'!$B$13,Paramètres!$A$1:$I$89,5,0)</f>
        <v>277.77359999999993</v>
      </c>
      <c r="CV150" s="13">
        <f t="shared" si="149"/>
        <v>66.496288176842356</v>
      </c>
      <c r="CW150" s="20">
        <f t="shared" si="121"/>
        <v>599.60338857466706</v>
      </c>
      <c r="CX150" s="59">
        <f t="shared" si="122"/>
        <v>892.93672190800044</v>
      </c>
      <c r="CY150" s="59">
        <f ca="1">AVERAGE(OFFSET($CX$3,0,0,'Données projet'!$E$13+1,1))-AVERAGE(OFFSET($H$3,0,0,'Données projet'!$E$13+1,1))</f>
        <v>439.19854273764042</v>
      </c>
      <c r="CZ150" s="59">
        <f t="shared" si="150"/>
        <v>278.21741231699929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53.112283761959411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53.112283761959411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306.99999999999994</v>
      </c>
      <c r="DP150" s="17">
        <f>DO150*VLOOKUP('Données projet'!$B$14,Paramètres!$A$1:$I$89,3,0)*VLOOKUP('Données projet'!$B$14,Paramètres!$A$1:$I$89,5,0)</f>
        <v>258.61679999999996</v>
      </c>
      <c r="DQ150" s="13">
        <f t="shared" si="151"/>
        <v>62.427444141032439</v>
      </c>
      <c r="DR150" s="20">
        <f t="shared" si="124"/>
        <v>559.15205854563135</v>
      </c>
      <c r="DS150" s="59">
        <f t="shared" si="125"/>
        <v>852.48539187896472</v>
      </c>
      <c r="DT150" s="59">
        <f ca="1">AVERAGE(OFFSET($DS$3,0,0,'Données projet'!$E$14+1,1))-AVERAGE(OFFSET($H$3,0,0,'Données projet'!$E$14+1,1))</f>
        <v>411.72284844766</v>
      </c>
      <c r="DU150" s="59">
        <f t="shared" si="152"/>
        <v>261.95434270986397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49.449367640444983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49.449367640444983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636.99999999999977</v>
      </c>
      <c r="EK150" s="17">
        <f>EJ150*VLOOKUP('Données projet'!$B$15,Paramètres!$A$1:$I$89,3,0)*VLOOKUP('Données projet'!$B$15,Paramètres!$A$1:$I$89,5,0)</f>
        <v>356.08299999999991</v>
      </c>
      <c r="EL150" s="13">
        <f t="shared" si="153"/>
        <v>82.813805255716545</v>
      </c>
      <c r="EM150" s="20">
        <f t="shared" si="127"/>
        <v>764.41193582037283</v>
      </c>
      <c r="EN150" s="59">
        <f t="shared" si="128"/>
        <v>1057.7452691537062</v>
      </c>
      <c r="EO150" s="59">
        <f ca="1">AVERAGE(OFFSET($EN$3,0,0,'Données projet'!$E$15+1,1))-AVERAGE(OFFSET($H$3,0,0,'Données projet'!$E$15+1,1))</f>
        <v>443.34220761968419</v>
      </c>
      <c r="EP150" s="59">
        <f t="shared" si="154"/>
        <v>546.58234447298014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17.448419585817248</v>
      </c>
      <c r="EW150" s="21">
        <f>EXP(-LN(2)/25)*EW149+(1-EXP(-LN(2)/25))/(LN(2)/25)*Calculateur!ER150*Calculateur!ET150*VLOOKUP('Données projet'!$B$15,Paramètres!$A$1:$I$89,3,0)*0.475*44/12</f>
        <v>0.8557814644801458</v>
      </c>
      <c r="EX150" s="21">
        <f>EXP(-LN(2)/2)*EX149+(1-EXP(-LN(2)/2))/(LN(2)/2)*ER150*EU150*VLOOKUP('Données projet'!$B$15,Paramètres!$A$1:$I$89,3,0)*0.475*44/12</f>
        <v>1.4822155713362578E-17</v>
      </c>
      <c r="EY150" s="22">
        <f t="shared" si="129"/>
        <v>18.304201050297394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224.00000000000006</v>
      </c>
      <c r="O151" s="13">
        <f>N151*VLOOKUP('Données projet'!$B$9,Paramètres!$A$1:$I$89,3,0)*VLOOKUP('Données projet'!$B$9,Paramètres!$A$1:$I$89,5,0)</f>
        <v>195.68640000000008</v>
      </c>
      <c r="P151" s="13">
        <f t="shared" si="141"/>
        <v>48.794969360985156</v>
      </c>
      <c r="Q151" s="20">
        <f t="shared" si="108"/>
        <v>425.8050516370493</v>
      </c>
      <c r="R151" s="59">
        <f t="shared" si="109"/>
        <v>719.13838497038262</v>
      </c>
      <c r="S151" s="59">
        <f ca="1">AVERAGE(OFFSET($R$3,0,0,'Données projet'!$E$9+1,1))-AVERAGE(OFFSET($H$3,0,0,'Données projet'!$E$9+1,1))</f>
        <v>304.32767345253382</v>
      </c>
      <c r="T151" s="59">
        <f t="shared" si="142"/>
        <v>427.16091343339173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11.030768105425111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11.030768105425111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367.99999999999972</v>
      </c>
      <c r="AJ151" s="13">
        <f>AI151*VLOOKUP('Données projet'!$B$10,Paramètres!$A$1:$I$89,3,0)*VLOOKUP('Données projet'!$B$10,Paramètres!$A$1:$I$89,5,0)</f>
        <v>292.78079999999977</v>
      </c>
      <c r="AK151" s="13">
        <f t="shared" si="143"/>
        <v>69.660903052386217</v>
      </c>
      <c r="AL151" s="20">
        <f t="shared" si="112"/>
        <v>631.25263281623893</v>
      </c>
      <c r="AM151" s="59">
        <f t="shared" si="113"/>
        <v>924.58596614957219</v>
      </c>
      <c r="AN151" s="59">
        <f ca="1">AVERAGE(OFFSET($AM$3,0,0,'Données projet'!$E$10+1,1))-AVERAGE(OFFSET($H$3,0,0,'Données projet'!$E$10+1,1))</f>
        <v>405.40026823646758</v>
      </c>
      <c r="AO151" s="59">
        <f t="shared" si="144"/>
        <v>393.0787141050053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16.03071303606529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16.03071303606529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739.99999999999966</v>
      </c>
      <c r="BE151" s="13">
        <f>BD151*VLOOKUP('Données projet'!$B$11,Paramètres!$A$1:$I$89,3,0)*VLOOKUP('Données projet'!$B$11,Paramètres!$A$1:$I$89,5,0)</f>
        <v>413.65999999999985</v>
      </c>
      <c r="BF151" s="13">
        <f t="shared" si="145"/>
        <v>94.540585122244352</v>
      </c>
      <c r="BG151" s="20">
        <f t="shared" si="115"/>
        <v>885.11601908790863</v>
      </c>
      <c r="BH151" s="59">
        <f t="shared" si="116"/>
        <v>1178.4493524212419</v>
      </c>
      <c r="BI151" s="59">
        <f ca="1">AVERAGE(OFFSET($BH$3,0,0,'Données projet'!$E$11+1,1))-AVERAGE(OFFSET($H$3,0,0,'Données projet'!$E$11+1,1))</f>
        <v>555.15881087162279</v>
      </c>
      <c r="BJ151" s="59">
        <f t="shared" si="146"/>
        <v>668.20427590250733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21.616121592546698</v>
      </c>
      <c r="BQ151" s="21">
        <f>EXP(-LN(2)/25)*BQ150+(1-EXP(-LN(2)/25))/(LN(2)/25)*Calculateur!BL151*Calculateur!BN151*VLOOKUP('Données projet'!$B$11,Paramètres!$A$1:$I$89,3,0)*0.475*44/12</f>
        <v>2.1924433960564627</v>
      </c>
      <c r="BR151" s="21">
        <f>EXP(-LN(2)/2)*BR150+(1-EXP(-LN(2)/2))/(LN(2)/2)*BL151*BO151*VLOOKUP('Données projet'!$B$11,Paramètres!$A$1:$I$89,3,0)*0.475*44/12</f>
        <v>1.4753534622097018E-18</v>
      </c>
      <c r="BS151" s="22">
        <f t="shared" si="117"/>
        <v>23.808564988603159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367.99999999999972</v>
      </c>
      <c r="BZ151" s="13">
        <f>BY151*VLOOKUP('Données projet'!$B$12,Paramètres!$A$1:$I$89,3,0)*VLOOKUP('Données projet'!$B$12,Paramètres!$A$1:$I$89,5,0)</f>
        <v>241.11359999999982</v>
      </c>
      <c r="CA151" s="13">
        <f t="shared" si="147"/>
        <v>58.6790623558988</v>
      </c>
      <c r="CB151" s="20">
        <f t="shared" si="118"/>
        <v>522.13888693652348</v>
      </c>
      <c r="CC151" s="59">
        <f t="shared" si="119"/>
        <v>815.47222026985673</v>
      </c>
      <c r="CD151" s="59">
        <f ca="1">AVERAGE(OFFSET($CC$3,0,0,'Données projet'!$E$12+1,1))-AVERAGE(OFFSET($H$3,0,0,'Données projet'!$E$12+1,1))</f>
        <v>340.49092994349405</v>
      </c>
      <c r="CE151" s="59">
        <f t="shared" si="148"/>
        <v>331.54434271908832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10.710864869823865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10.710864869823865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306.99999999999994</v>
      </c>
      <c r="CU151" s="17">
        <f>CT151*VLOOKUP('Données projet'!$B$13,Paramètres!$A$1:$I$89,3,0)*VLOOKUP('Données projet'!$B$13,Paramètres!$A$1:$I$89,5,0)</f>
        <v>277.77359999999993</v>
      </c>
      <c r="CV151" s="13">
        <f t="shared" si="149"/>
        <v>66.496288176842356</v>
      </c>
      <c r="CW151" s="20">
        <f t="shared" si="121"/>
        <v>599.60338857466706</v>
      </c>
      <c r="CX151" s="59">
        <f t="shared" si="122"/>
        <v>892.93672190800044</v>
      </c>
      <c r="CY151" s="59">
        <f ca="1">AVERAGE(OFFSET($CX$3,0,0,'Données projet'!$E$13+1,1))-AVERAGE(OFFSET($H$3,0,0,'Données projet'!$E$13+1,1))</f>
        <v>439.19854273764042</v>
      </c>
      <c r="CZ151" s="59">
        <f t="shared" si="150"/>
        <v>278.21741231699929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52.070784272681713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52.070784272681713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306.99999999999994</v>
      </c>
      <c r="DP151" s="17">
        <f>DO151*VLOOKUP('Données projet'!$B$14,Paramètres!$A$1:$I$89,3,0)*VLOOKUP('Données projet'!$B$14,Paramètres!$A$1:$I$89,5,0)</f>
        <v>258.61679999999996</v>
      </c>
      <c r="DQ151" s="13">
        <f t="shared" si="151"/>
        <v>62.427444141032439</v>
      </c>
      <c r="DR151" s="20">
        <f t="shared" si="124"/>
        <v>559.15205854563135</v>
      </c>
      <c r="DS151" s="59">
        <f t="shared" si="125"/>
        <v>852.48539187896472</v>
      </c>
      <c r="DT151" s="59">
        <f ca="1">AVERAGE(OFFSET($DS$3,0,0,'Données projet'!$E$14+1,1))-AVERAGE(OFFSET($H$3,0,0,'Données projet'!$E$14+1,1))</f>
        <v>411.72284844766</v>
      </c>
      <c r="DU151" s="59">
        <f t="shared" si="152"/>
        <v>261.95434270986397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48.47969570215195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48.47969570215195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636.99999999999977</v>
      </c>
      <c r="EK151" s="17">
        <f>EJ151*VLOOKUP('Données projet'!$B$15,Paramètres!$A$1:$I$89,3,0)*VLOOKUP('Données projet'!$B$15,Paramètres!$A$1:$I$89,5,0)</f>
        <v>356.08299999999991</v>
      </c>
      <c r="EL151" s="13">
        <f t="shared" si="153"/>
        <v>82.813805255716545</v>
      </c>
      <c r="EM151" s="20">
        <f t="shared" si="127"/>
        <v>764.41193582037283</v>
      </c>
      <c r="EN151" s="59">
        <f t="shared" si="128"/>
        <v>1057.7452691537062</v>
      </c>
      <c r="EO151" s="59">
        <f ca="1">AVERAGE(OFFSET($EN$3,0,0,'Données projet'!$E$15+1,1))-AVERAGE(OFFSET($H$3,0,0,'Données projet'!$E$15+1,1))</f>
        <v>443.34220761968419</v>
      </c>
      <c r="EP151" s="59">
        <f t="shared" si="154"/>
        <v>546.58234447298014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17.106266720224461</v>
      </c>
      <c r="EW151" s="21">
        <f>EXP(-LN(2)/25)*EW150+(1-EXP(-LN(2)/25))/(LN(2)/25)*Calculateur!ER151*Calculateur!ET151*VLOOKUP('Données projet'!$B$15,Paramètres!$A$1:$I$89,3,0)*0.475*44/12</f>
        <v>0.83238007533034486</v>
      </c>
      <c r="EX151" s="21">
        <f>EXP(-LN(2)/2)*EX150+(1-EXP(-LN(2)/2))/(LN(2)/2)*ER151*EU151*VLOOKUP('Données projet'!$B$15,Paramètres!$A$1:$I$89,3,0)*0.475*44/12</f>
        <v>1.0480846816721608E-17</v>
      </c>
      <c r="EY151" s="22">
        <f t="shared" si="129"/>
        <v>17.938646795554806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224.00000000000006</v>
      </c>
      <c r="O152" s="13">
        <f>N152*VLOOKUP('Données projet'!$B$9,Paramètres!$A$1:$I$89,3,0)*VLOOKUP('Données projet'!$B$9,Paramètres!$A$1:$I$89,5,0)</f>
        <v>195.68640000000008</v>
      </c>
      <c r="P152" s="13">
        <f t="shared" si="141"/>
        <v>48.794969360985156</v>
      </c>
      <c r="Q152" s="20">
        <f t="shared" si="108"/>
        <v>425.8050516370493</v>
      </c>
      <c r="R152" s="59">
        <f t="shared" si="109"/>
        <v>719.13838497038262</v>
      </c>
      <c r="S152" s="59">
        <f ca="1">AVERAGE(OFFSET($R$3,0,0,'Données projet'!$E$9+1,1))-AVERAGE(OFFSET($H$3,0,0,'Données projet'!$E$9+1,1))</f>
        <v>304.32767345253382</v>
      </c>
      <c r="T152" s="59">
        <f t="shared" si="142"/>
        <v>427.16091343339173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10.814461470981923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10.814461470981923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367.99999999999972</v>
      </c>
      <c r="AJ152" s="13">
        <f>AI152*VLOOKUP('Données projet'!$B$10,Paramètres!$A$1:$I$89,3,0)*VLOOKUP('Données projet'!$B$10,Paramètres!$A$1:$I$89,5,0)</f>
        <v>292.78079999999977</v>
      </c>
      <c r="AK152" s="13">
        <f t="shared" si="143"/>
        <v>69.660903052386217</v>
      </c>
      <c r="AL152" s="20">
        <f t="shared" si="112"/>
        <v>631.25263281623893</v>
      </c>
      <c r="AM152" s="59">
        <f t="shared" si="113"/>
        <v>924.58596614957219</v>
      </c>
      <c r="AN152" s="59">
        <f ca="1">AVERAGE(OFFSET($AM$3,0,0,'Données projet'!$E$10+1,1))-AVERAGE(OFFSET($H$3,0,0,'Données projet'!$E$10+1,1))</f>
        <v>405.40026823646758</v>
      </c>
      <c r="AO152" s="59">
        <f t="shared" si="144"/>
        <v>393.0787141050053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15.716360531197527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15.716360531197527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739.99999999999966</v>
      </c>
      <c r="BE152" s="13">
        <f>BD152*VLOOKUP('Données projet'!$B$11,Paramètres!$A$1:$I$89,3,0)*VLOOKUP('Données projet'!$B$11,Paramètres!$A$1:$I$89,5,0)</f>
        <v>413.65999999999985</v>
      </c>
      <c r="BF152" s="13">
        <f t="shared" si="145"/>
        <v>94.540585122244352</v>
      </c>
      <c r="BG152" s="20">
        <f t="shared" si="115"/>
        <v>885.11601908790863</v>
      </c>
      <c r="BH152" s="59">
        <f t="shared" si="116"/>
        <v>1178.4493524212419</v>
      </c>
      <c r="BI152" s="59">
        <f ca="1">AVERAGE(OFFSET($BH$3,0,0,'Données projet'!$E$11+1,1))-AVERAGE(OFFSET($H$3,0,0,'Données projet'!$E$11+1,1))</f>
        <v>555.15881087162279</v>
      </c>
      <c r="BJ152" s="59">
        <f t="shared" si="146"/>
        <v>668.20427590250733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21.192242632649165</v>
      </c>
      <c r="BQ152" s="21">
        <f>EXP(-LN(2)/25)*BQ151+(1-EXP(-LN(2)/25))/(LN(2)/25)*Calculateur!BL152*Calculateur!BN152*VLOOKUP('Données projet'!$B$11,Paramètres!$A$1:$I$89,3,0)*0.475*44/12</f>
        <v>2.1324909160957115</v>
      </c>
      <c r="BR152" s="21">
        <f>EXP(-LN(2)/2)*BR151+(1-EXP(-LN(2)/2))/(LN(2)/2)*BL152*BO152*VLOOKUP('Données projet'!$B$11,Paramètres!$A$1:$I$89,3,0)*0.475*44/12</f>
        <v>1.0432324377755309E-18</v>
      </c>
      <c r="BS152" s="22">
        <f t="shared" si="117"/>
        <v>23.324733548744877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367.99999999999972</v>
      </c>
      <c r="BZ152" s="13">
        <f>BY152*VLOOKUP('Données projet'!$B$12,Paramètres!$A$1:$I$89,3,0)*VLOOKUP('Données projet'!$B$12,Paramètres!$A$1:$I$89,5,0)</f>
        <v>241.11359999999982</v>
      </c>
      <c r="CA152" s="13">
        <f t="shared" si="147"/>
        <v>58.6790623558988</v>
      </c>
      <c r="CB152" s="20">
        <f t="shared" si="118"/>
        <v>522.13888693652348</v>
      </c>
      <c r="CC152" s="59">
        <f t="shared" si="119"/>
        <v>815.47222026985673</v>
      </c>
      <c r="CD152" s="59">
        <f ca="1">AVERAGE(OFFSET($CC$3,0,0,'Données projet'!$E$12+1,1))-AVERAGE(OFFSET($H$3,0,0,'Données projet'!$E$12+1,1))</f>
        <v>340.49092994349405</v>
      </c>
      <c r="CE152" s="59">
        <f t="shared" si="148"/>
        <v>331.54434271908832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10.500831342709111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10.500831342709111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306.99999999999994</v>
      </c>
      <c r="CU152" s="17">
        <f>CT152*VLOOKUP('Données projet'!$B$13,Paramètres!$A$1:$I$89,3,0)*VLOOKUP('Données projet'!$B$13,Paramètres!$A$1:$I$89,5,0)</f>
        <v>277.77359999999993</v>
      </c>
      <c r="CV152" s="13">
        <f t="shared" si="149"/>
        <v>66.496288176842356</v>
      </c>
      <c r="CW152" s="20">
        <f t="shared" si="121"/>
        <v>599.60338857466706</v>
      </c>
      <c r="CX152" s="59">
        <f t="shared" si="122"/>
        <v>892.93672190800044</v>
      </c>
      <c r="CY152" s="59">
        <f ca="1">AVERAGE(OFFSET($CX$3,0,0,'Données projet'!$E$13+1,1))-AVERAGE(OFFSET($H$3,0,0,'Données projet'!$E$13+1,1))</f>
        <v>439.19854273764042</v>
      </c>
      <c r="CZ152" s="59">
        <f t="shared" si="150"/>
        <v>278.21741231699929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51.049707953136789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51.049707953136789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306.99999999999994</v>
      </c>
      <c r="DP152" s="17">
        <f>DO152*VLOOKUP('Données projet'!$B$14,Paramètres!$A$1:$I$89,3,0)*VLOOKUP('Données projet'!$B$14,Paramètres!$A$1:$I$89,5,0)</f>
        <v>258.61679999999996</v>
      </c>
      <c r="DQ152" s="13">
        <f t="shared" si="151"/>
        <v>62.427444141032439</v>
      </c>
      <c r="DR152" s="20">
        <f t="shared" si="124"/>
        <v>559.15205854563135</v>
      </c>
      <c r="DS152" s="59">
        <f t="shared" si="125"/>
        <v>852.48539187896472</v>
      </c>
      <c r="DT152" s="59">
        <f ca="1">AVERAGE(OFFSET($DS$3,0,0,'Données projet'!$E$14+1,1))-AVERAGE(OFFSET($H$3,0,0,'Données projet'!$E$14+1,1))</f>
        <v>411.72284844766</v>
      </c>
      <c r="DU152" s="59">
        <f t="shared" si="152"/>
        <v>261.95434270986397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47.529038439127362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47.529038439127362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636.99999999999977</v>
      </c>
      <c r="EK152" s="17">
        <f>EJ152*VLOOKUP('Données projet'!$B$15,Paramètres!$A$1:$I$89,3,0)*VLOOKUP('Données projet'!$B$15,Paramètres!$A$1:$I$89,5,0)</f>
        <v>356.08299999999991</v>
      </c>
      <c r="EL152" s="13">
        <f t="shared" si="153"/>
        <v>82.813805255716545</v>
      </c>
      <c r="EM152" s="20">
        <f t="shared" si="127"/>
        <v>764.41193582037283</v>
      </c>
      <c r="EN152" s="59">
        <f t="shared" si="128"/>
        <v>1057.7452691537062</v>
      </c>
      <c r="EO152" s="59">
        <f ca="1">AVERAGE(OFFSET($EN$3,0,0,'Données projet'!$E$15+1,1))-AVERAGE(OFFSET($H$3,0,0,'Données projet'!$E$15+1,1))</f>
        <v>443.34220761968419</v>
      </c>
      <c r="EP152" s="59">
        <f t="shared" si="154"/>
        <v>546.58234447298014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16.770823263633307</v>
      </c>
      <c r="EW152" s="21">
        <f>EXP(-LN(2)/25)*EW151+(1-EXP(-LN(2)/25))/(LN(2)/25)*Calculateur!ER152*Calculateur!ET152*VLOOKUP('Données projet'!$B$15,Paramètres!$A$1:$I$89,3,0)*0.475*44/12</f>
        <v>0.80961859839747086</v>
      </c>
      <c r="EX152" s="21">
        <f>EXP(-LN(2)/2)*EX151+(1-EXP(-LN(2)/2))/(LN(2)/2)*ER152*EU152*VLOOKUP('Données projet'!$B$15,Paramètres!$A$1:$I$89,3,0)*0.475*44/12</f>
        <v>7.4110778566812889E-18</v>
      </c>
      <c r="EY152" s="22">
        <f t="shared" si="129"/>
        <v>17.580441862030778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224.00000000000006</v>
      </c>
      <c r="O153" s="13">
        <f>N153*VLOOKUP('Données projet'!$B$9,Paramètres!$A$1:$I$89,3,0)*VLOOKUP('Données projet'!$B$9,Paramètres!$A$1:$I$89,5,0)</f>
        <v>195.68640000000008</v>
      </c>
      <c r="P153" s="13">
        <f t="shared" si="141"/>
        <v>48.794969360985156</v>
      </c>
      <c r="Q153" s="20">
        <f t="shared" si="108"/>
        <v>425.8050516370493</v>
      </c>
      <c r="R153" s="59">
        <f t="shared" si="109"/>
        <v>719.13838497038262</v>
      </c>
      <c r="S153" s="59">
        <f ca="1">AVERAGE(OFFSET($R$3,0,0,'Données projet'!$E$9+1,1))-AVERAGE(OFFSET($H$3,0,0,'Données projet'!$E$9+1,1))</f>
        <v>304.32767345253382</v>
      </c>
      <c r="T153" s="59">
        <f t="shared" si="142"/>
        <v>427.16091343339173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10.602396477706147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10.602396477706147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367.99999999999972</v>
      </c>
      <c r="AJ153" s="13">
        <f>AI153*VLOOKUP('Données projet'!$B$10,Paramètres!$A$1:$I$89,3,0)*VLOOKUP('Données projet'!$B$10,Paramètres!$A$1:$I$89,5,0)</f>
        <v>292.78079999999977</v>
      </c>
      <c r="AK153" s="13">
        <f t="shared" si="143"/>
        <v>69.660903052386217</v>
      </c>
      <c r="AL153" s="20">
        <f t="shared" si="112"/>
        <v>631.25263281623893</v>
      </c>
      <c r="AM153" s="59">
        <f t="shared" si="113"/>
        <v>924.58596614957219</v>
      </c>
      <c r="AN153" s="59">
        <f ca="1">AVERAGE(OFFSET($AM$3,0,0,'Données projet'!$E$10+1,1))-AVERAGE(OFFSET($H$3,0,0,'Données projet'!$E$10+1,1))</f>
        <v>405.40026823646758</v>
      </c>
      <c r="AO153" s="59">
        <f t="shared" si="144"/>
        <v>393.0787141050053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15.408172287214125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15.408172287214125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739.99999999999966</v>
      </c>
      <c r="BE153" s="13">
        <f>BD153*VLOOKUP('Données projet'!$B$11,Paramètres!$A$1:$I$89,3,0)*VLOOKUP('Données projet'!$B$11,Paramètres!$A$1:$I$89,5,0)</f>
        <v>413.65999999999985</v>
      </c>
      <c r="BF153" s="13">
        <f t="shared" si="145"/>
        <v>94.540585122244352</v>
      </c>
      <c r="BG153" s="20">
        <f t="shared" si="115"/>
        <v>885.11601908790863</v>
      </c>
      <c r="BH153" s="59">
        <f t="shared" si="116"/>
        <v>1178.4493524212419</v>
      </c>
      <c r="BI153" s="59">
        <f ca="1">AVERAGE(OFFSET($BH$3,0,0,'Données projet'!$E$11+1,1))-AVERAGE(OFFSET($H$3,0,0,'Données projet'!$E$11+1,1))</f>
        <v>555.15881087162279</v>
      </c>
      <c r="BJ153" s="59">
        <f t="shared" si="146"/>
        <v>668.20427590250733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20.776675680614584</v>
      </c>
      <c r="BQ153" s="21">
        <f>EXP(-LN(2)/25)*BQ152+(1-EXP(-LN(2)/25))/(LN(2)/25)*Calculateur!BL153*Calculateur!BN153*VLOOKUP('Données projet'!$B$11,Paramètres!$A$1:$I$89,3,0)*0.475*44/12</f>
        <v>2.074177839852251</v>
      </c>
      <c r="BR153" s="21">
        <f>EXP(-LN(2)/2)*BR152+(1-EXP(-LN(2)/2))/(LN(2)/2)*BL153*BO153*VLOOKUP('Données projet'!$B$11,Paramètres!$A$1:$I$89,3,0)*0.475*44/12</f>
        <v>7.3767673110485088E-19</v>
      </c>
      <c r="BS153" s="22">
        <f t="shared" si="117"/>
        <v>22.850853520466835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367.99999999999972</v>
      </c>
      <c r="BZ153" s="13">
        <f>BY153*VLOOKUP('Données projet'!$B$12,Paramètres!$A$1:$I$89,3,0)*VLOOKUP('Données projet'!$B$12,Paramètres!$A$1:$I$89,5,0)</f>
        <v>241.11359999999982</v>
      </c>
      <c r="CA153" s="13">
        <f t="shared" si="147"/>
        <v>58.6790623558988</v>
      </c>
      <c r="CB153" s="20">
        <f t="shared" si="118"/>
        <v>522.13888693652348</v>
      </c>
      <c r="CC153" s="59">
        <f t="shared" si="119"/>
        <v>815.47222026985673</v>
      </c>
      <c r="CD153" s="59">
        <f ca="1">AVERAGE(OFFSET($CC$3,0,0,'Données projet'!$E$12+1,1))-AVERAGE(OFFSET($H$3,0,0,'Données projet'!$E$12+1,1))</f>
        <v>340.49092994349405</v>
      </c>
      <c r="CE153" s="59">
        <f t="shared" si="148"/>
        <v>331.54434271908832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10.294916444953275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10.294916444953275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306.99999999999994</v>
      </c>
      <c r="CU153" s="17">
        <f>CT153*VLOOKUP('Données projet'!$B$13,Paramètres!$A$1:$I$89,3,0)*VLOOKUP('Données projet'!$B$13,Paramètres!$A$1:$I$89,5,0)</f>
        <v>277.77359999999993</v>
      </c>
      <c r="CV153" s="13">
        <f t="shared" si="149"/>
        <v>66.496288176842356</v>
      </c>
      <c r="CW153" s="20">
        <f t="shared" si="121"/>
        <v>599.60338857466706</v>
      </c>
      <c r="CX153" s="59">
        <f t="shared" si="122"/>
        <v>892.93672190800044</v>
      </c>
      <c r="CY153" s="59">
        <f ca="1">AVERAGE(OFFSET($CX$3,0,0,'Données projet'!$E$13+1,1))-AVERAGE(OFFSET($H$3,0,0,'Données projet'!$E$13+1,1))</f>
        <v>439.19854273764042</v>
      </c>
      <c r="CZ153" s="59">
        <f t="shared" si="150"/>
        <v>278.21741231699929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50.048654317423079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50.048654317423079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306.99999999999994</v>
      </c>
      <c r="DP153" s="17">
        <f>DO153*VLOOKUP('Données projet'!$B$14,Paramètres!$A$1:$I$89,3,0)*VLOOKUP('Données projet'!$B$14,Paramètres!$A$1:$I$89,5,0)</f>
        <v>258.61679999999996</v>
      </c>
      <c r="DQ153" s="13">
        <f t="shared" si="151"/>
        <v>62.427444141032439</v>
      </c>
      <c r="DR153" s="20">
        <f t="shared" si="124"/>
        <v>559.15205854563135</v>
      </c>
      <c r="DS153" s="59">
        <f t="shared" si="125"/>
        <v>852.48539187896472</v>
      </c>
      <c r="DT153" s="59">
        <f ca="1">AVERAGE(OFFSET($DS$3,0,0,'Données projet'!$E$14+1,1))-AVERAGE(OFFSET($H$3,0,0,'Données projet'!$E$14+1,1))</f>
        <v>411.72284844766</v>
      </c>
      <c r="DU153" s="59">
        <f t="shared" si="152"/>
        <v>261.95434270986397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46.59702298518701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46.59702298518701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636.99999999999977</v>
      </c>
      <c r="EK153" s="17">
        <f>EJ153*VLOOKUP('Données projet'!$B$15,Paramètres!$A$1:$I$89,3,0)*VLOOKUP('Données projet'!$B$15,Paramètres!$A$1:$I$89,5,0)</f>
        <v>356.08299999999991</v>
      </c>
      <c r="EL153" s="13">
        <f t="shared" si="153"/>
        <v>82.813805255716545</v>
      </c>
      <c r="EM153" s="20">
        <f t="shared" si="127"/>
        <v>764.41193582037283</v>
      </c>
      <c r="EN153" s="59">
        <f t="shared" si="128"/>
        <v>1057.7452691537062</v>
      </c>
      <c r="EO153" s="59">
        <f ca="1">AVERAGE(OFFSET($EN$3,0,0,'Données projet'!$E$15+1,1))-AVERAGE(OFFSET($H$3,0,0,'Données projet'!$E$15+1,1))</f>
        <v>443.34220761968419</v>
      </c>
      <c r="EP153" s="59">
        <f t="shared" si="154"/>
        <v>546.58234447298014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16.4419576486256</v>
      </c>
      <c r="EW153" s="21">
        <f>EXP(-LN(2)/25)*EW152+(1-EXP(-LN(2)/25))/(LN(2)/25)*Calculateur!ER153*Calculateur!ET153*VLOOKUP('Données projet'!$B$15,Paramètres!$A$1:$I$89,3,0)*0.475*44/12</f>
        <v>0.78747953524830039</v>
      </c>
      <c r="EX153" s="21">
        <f>EXP(-LN(2)/2)*EX152+(1-EXP(-LN(2)/2))/(LN(2)/2)*ER153*EU153*VLOOKUP('Données projet'!$B$15,Paramètres!$A$1:$I$89,3,0)*0.475*44/12</f>
        <v>5.2404234083608039E-18</v>
      </c>
      <c r="EY153" s="22">
        <f t="shared" si="129"/>
        <v>17.229437183873902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224.00000000000006</v>
      </c>
      <c r="O154" s="13">
        <f>N154*VLOOKUP('Données projet'!$B$9,Paramètres!$A$1:$I$89,3,0)*VLOOKUP('Données projet'!$B$9,Paramètres!$A$1:$I$89,5,0)</f>
        <v>195.68640000000008</v>
      </c>
      <c r="P154" s="13">
        <f t="shared" si="141"/>
        <v>48.794969360985156</v>
      </c>
      <c r="Q154" s="20">
        <f t="shared" ref="Q154:Q203" si="162">(O154+P154)*0.475*44/12</f>
        <v>425.8050516370493</v>
      </c>
      <c r="R154" s="59">
        <f t="shared" si="109"/>
        <v>719.13838497038262</v>
      </c>
      <c r="S154" s="59">
        <f ca="1">AVERAGE(OFFSET($R$3,0,0,'Données projet'!$E$9+1,1))-AVERAGE(OFFSET($H$3,0,0,'Données projet'!$E$9+1,1))</f>
        <v>304.32767345253382</v>
      </c>
      <c r="T154" s="59">
        <f t="shared" si="142"/>
        <v>427.16091343339173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10.394489949601635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10.394489949601635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367.99999999999972</v>
      </c>
      <c r="AJ154" s="13">
        <f>AI154*VLOOKUP('Données projet'!$B$10,Paramètres!$A$1:$I$89,3,0)*VLOOKUP('Données projet'!$B$10,Paramètres!$A$1:$I$89,5,0)</f>
        <v>292.78079999999977</v>
      </c>
      <c r="AK154" s="13">
        <f t="shared" ref="AK154:AK203" si="164">EXP(-1.0587+0.8836*LN(AJ154)+0.284)</f>
        <v>69.660903052386217</v>
      </c>
      <c r="AL154" s="20">
        <f t="shared" ref="AL154:AL203" si="165">(AJ154+AK154)*0.475*44/12</f>
        <v>631.25263281623893</v>
      </c>
      <c r="AM154" s="59">
        <f t="shared" si="113"/>
        <v>924.58596614957219</v>
      </c>
      <c r="AN154" s="59">
        <f ca="1">AVERAGE(OFFSET($AM$3,0,0,'Données projet'!$E$10+1,1))-AVERAGE(OFFSET($H$3,0,0,'Données projet'!$E$10+1,1))</f>
        <v>405.40026823646758</v>
      </c>
      <c r="AO154" s="59">
        <f t="shared" si="144"/>
        <v>393.0787141050053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15.10602742671897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15.10602742671897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739.99999999999966</v>
      </c>
      <c r="BE154" s="13">
        <f>BD154*VLOOKUP('Données projet'!$B$11,Paramètres!$A$1:$I$89,3,0)*VLOOKUP('Données projet'!$B$11,Paramètres!$A$1:$I$89,5,0)</f>
        <v>413.65999999999985</v>
      </c>
      <c r="BF154" s="13">
        <f t="shared" ref="BF154:BF203" si="167">EXP(-1.0587+0.8836*LN(BE154)+0.284)</f>
        <v>94.540585122244352</v>
      </c>
      <c r="BG154" s="20">
        <f t="shared" ref="BG154:BG203" si="168">(BE154+BF154)*0.475*44/12</f>
        <v>885.11601908790863</v>
      </c>
      <c r="BH154" s="59">
        <f t="shared" si="116"/>
        <v>1178.4493524212419</v>
      </c>
      <c r="BI154" s="59">
        <f ca="1">AVERAGE(OFFSET($BH$3,0,0,'Données projet'!$E$11+1,1))-AVERAGE(OFFSET($H$3,0,0,'Données projet'!$E$11+1,1))</f>
        <v>555.15881087162279</v>
      </c>
      <c r="BJ154" s="59">
        <f t="shared" si="146"/>
        <v>668.20427590250733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20.369257743038588</v>
      </c>
      <c r="BQ154" s="21">
        <f>EXP(-LN(2)/25)*BQ153+(1-EXP(-LN(2)/25))/(LN(2)/25)*Calculateur!BL154*Calculateur!BN154*VLOOKUP('Données projet'!$B$11,Paramètres!$A$1:$I$89,3,0)*0.475*44/12</f>
        <v>2.017459337745219</v>
      </c>
      <c r="BR154" s="21">
        <f>EXP(-LN(2)/2)*BR153+(1-EXP(-LN(2)/2))/(LN(2)/2)*BL154*BO154*VLOOKUP('Données projet'!$B$11,Paramètres!$A$1:$I$89,3,0)*0.475*44/12</f>
        <v>5.2161621888776544E-19</v>
      </c>
      <c r="BS154" s="22">
        <f t="shared" ref="BS154:BS203" si="169">SUM(BP154:BR154)</f>
        <v>22.386717080783807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367.99999999999972</v>
      </c>
      <c r="BZ154" s="13">
        <f>BY154*VLOOKUP('Données projet'!$B$12,Paramètres!$A$1:$I$89,3,0)*VLOOKUP('Données projet'!$B$12,Paramètres!$A$1:$I$89,5,0)</f>
        <v>241.11359999999982</v>
      </c>
      <c r="CA154" s="13">
        <f t="shared" ref="CA154:CA203" si="170">EXP(-1.0587+0.8836*LN(BZ154)+0.284)</f>
        <v>58.6790623558988</v>
      </c>
      <c r="CB154" s="20">
        <f t="shared" ref="CB154:CB203" si="171">(BZ154+CA154)*0.475*44/12</f>
        <v>522.13888693652348</v>
      </c>
      <c r="CC154" s="59">
        <f t="shared" si="119"/>
        <v>815.47222026985673</v>
      </c>
      <c r="CD154" s="59">
        <f ca="1">AVERAGE(OFFSET($CC$3,0,0,'Données projet'!$E$12+1,1))-AVERAGE(OFFSET($H$3,0,0,'Données projet'!$E$12+1,1))</f>
        <v>340.49092994349405</v>
      </c>
      <c r="CE154" s="59">
        <f t="shared" si="148"/>
        <v>331.54434271908832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10.093039412746744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10.093039412746744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306.99999999999994</v>
      </c>
      <c r="CU154" s="17">
        <f>CT154*VLOOKUP('Données projet'!$B$13,Paramètres!$A$1:$I$89,3,0)*VLOOKUP('Données projet'!$B$13,Paramètres!$A$1:$I$89,5,0)</f>
        <v>277.77359999999993</v>
      </c>
      <c r="CV154" s="13">
        <f t="shared" ref="CV154:CV203" si="173">EXP(-1.0587+0.8836*LN(CU154)+0.284)</f>
        <v>66.496288176842356</v>
      </c>
      <c r="CW154" s="20">
        <f t="shared" ref="CW154:CW203" si="174">(CU154+CV154)*0.475*44/12</f>
        <v>599.60338857466706</v>
      </c>
      <c r="CX154" s="59">
        <f t="shared" si="122"/>
        <v>892.93672190800044</v>
      </c>
      <c r="CY154" s="59">
        <f ca="1">AVERAGE(OFFSET($CX$3,0,0,'Données projet'!$E$13+1,1))-AVERAGE(OFFSET($H$3,0,0,'Données projet'!$E$13+1,1))</f>
        <v>439.19854273764042</v>
      </c>
      <c r="CZ154" s="59">
        <f t="shared" si="150"/>
        <v>278.21741231699929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49.067230732923285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49.067230732923285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306.99999999999994</v>
      </c>
      <c r="DP154" s="17">
        <f>DO154*VLOOKUP('Données projet'!$B$14,Paramètres!$A$1:$I$89,3,0)*VLOOKUP('Données projet'!$B$14,Paramètres!$A$1:$I$89,5,0)</f>
        <v>258.61679999999996</v>
      </c>
      <c r="DQ154" s="13">
        <f t="shared" ref="DQ154:DQ203" si="176">EXP(-1.0587+0.8836*LN(DP154)+0.284)</f>
        <v>62.427444141032439</v>
      </c>
      <c r="DR154" s="20">
        <f t="shared" ref="DR154:DR203" si="177">(DP154+DQ154)*0.475*44/12</f>
        <v>559.15205854563135</v>
      </c>
      <c r="DS154" s="59">
        <f t="shared" si="125"/>
        <v>852.48539187896472</v>
      </c>
      <c r="DT154" s="59">
        <f ca="1">AVERAGE(OFFSET($DS$3,0,0,'Données projet'!$E$14+1,1))-AVERAGE(OFFSET($H$3,0,0,'Données projet'!$E$14+1,1))</f>
        <v>411.72284844766</v>
      </c>
      <c r="DU154" s="59">
        <f t="shared" si="152"/>
        <v>261.95434270986397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45.683283785825132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45.683283785825132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636.99999999999977</v>
      </c>
      <c r="EK154" s="17">
        <f>EJ154*VLOOKUP('Données projet'!$B$15,Paramètres!$A$1:$I$89,3,0)*VLOOKUP('Données projet'!$B$15,Paramètres!$A$1:$I$89,5,0)</f>
        <v>356.08299999999991</v>
      </c>
      <c r="EL154" s="13">
        <f t="shared" ref="EL154:EL203" si="179">EXP(-1.0587+0.8836*LN(EK154)+0.284)</f>
        <v>82.813805255716545</v>
      </c>
      <c r="EM154" s="20">
        <f t="shared" ref="EM154:EM203" si="180">(EK154+EL154)*0.475*44/12</f>
        <v>764.41193582037283</v>
      </c>
      <c r="EN154" s="59">
        <f t="shared" si="128"/>
        <v>1057.7452691537062</v>
      </c>
      <c r="EO154" s="59">
        <f ca="1">AVERAGE(OFFSET($EN$3,0,0,'Données projet'!$E$15+1,1))-AVERAGE(OFFSET($H$3,0,0,'Données projet'!$E$15+1,1))</f>
        <v>443.34220761968419</v>
      </c>
      <c r="EP154" s="59">
        <f t="shared" si="154"/>
        <v>546.58234447298014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16.119540887739976</v>
      </c>
      <c r="EW154" s="21">
        <f>EXP(-LN(2)/25)*EW153+(1-EXP(-LN(2)/25))/(LN(2)/25)*Calculateur!ER154*Calculateur!ET154*VLOOKUP('Données projet'!$B$15,Paramètres!$A$1:$I$89,3,0)*0.475*44/12</f>
        <v>0.76594586594518665</v>
      </c>
      <c r="EX154" s="21">
        <f>EXP(-LN(2)/2)*EX153+(1-EXP(-LN(2)/2))/(LN(2)/2)*ER154*EU154*VLOOKUP('Données projet'!$B$15,Paramètres!$A$1:$I$89,3,0)*0.475*44/12</f>
        <v>3.7055389283406445E-18</v>
      </c>
      <c r="EY154" s="22">
        <f t="shared" ref="EY154:EY203" si="181">SUM(EV154:EX154)</f>
        <v>16.885486753685164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224.00000000000006</v>
      </c>
      <c r="O155" s="13">
        <f>N155*VLOOKUP('Données projet'!$B$9,Paramètres!$A$1:$I$89,3,0)*VLOOKUP('Données projet'!$B$9,Paramètres!$A$1:$I$89,5,0)</f>
        <v>195.68640000000008</v>
      </c>
      <c r="P155" s="13">
        <f t="shared" si="141"/>
        <v>48.794969360985156</v>
      </c>
      <c r="Q155" s="20">
        <f t="shared" si="162"/>
        <v>425.8050516370493</v>
      </c>
      <c r="R155" s="59">
        <f t="shared" si="109"/>
        <v>719.13838497038262</v>
      </c>
      <c r="S155" s="59">
        <f ca="1">AVERAGE(OFFSET($R$3,0,0,'Données projet'!$E$9+1,1))-AVERAGE(OFFSET($H$3,0,0,'Données projet'!$E$9+1,1))</f>
        <v>304.32767345253382</v>
      </c>
      <c r="T155" s="59">
        <f t="shared" si="142"/>
        <v>427.16091343339173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10.190660341702792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10.190660341702792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367.99999999999972</v>
      </c>
      <c r="AJ155" s="13">
        <f>AI155*VLOOKUP('Données projet'!$B$10,Paramètres!$A$1:$I$89,3,0)*VLOOKUP('Données projet'!$B$10,Paramètres!$A$1:$I$89,5,0)</f>
        <v>292.78079999999977</v>
      </c>
      <c r="AK155" s="13">
        <f t="shared" si="164"/>
        <v>69.660903052386217</v>
      </c>
      <c r="AL155" s="20">
        <f t="shared" si="165"/>
        <v>631.25263281623893</v>
      </c>
      <c r="AM155" s="59">
        <f t="shared" si="113"/>
        <v>924.58596614957219</v>
      </c>
      <c r="AN155" s="59">
        <f ca="1">AVERAGE(OFFSET($AM$3,0,0,'Données projet'!$E$10+1,1))-AVERAGE(OFFSET($H$3,0,0,'Données projet'!$E$10+1,1))</f>
        <v>405.40026823646758</v>
      </c>
      <c r="AO155" s="59">
        <f t="shared" si="144"/>
        <v>393.0787141050053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14.809807442647958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14.809807442647958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739.99999999999966</v>
      </c>
      <c r="BE155" s="13">
        <f>BD155*VLOOKUP('Données projet'!$B$11,Paramètres!$A$1:$I$89,3,0)*VLOOKUP('Données projet'!$B$11,Paramètres!$A$1:$I$89,5,0)</f>
        <v>413.65999999999985</v>
      </c>
      <c r="BF155" s="13">
        <f t="shared" si="167"/>
        <v>94.540585122244352</v>
      </c>
      <c r="BG155" s="20">
        <f t="shared" si="168"/>
        <v>885.11601908790863</v>
      </c>
      <c r="BH155" s="59">
        <f t="shared" si="116"/>
        <v>1178.4493524212419</v>
      </c>
      <c r="BI155" s="59">
        <f ca="1">AVERAGE(OFFSET($BH$3,0,0,'Données projet'!$E$11+1,1))-AVERAGE(OFFSET($H$3,0,0,'Données projet'!$E$11+1,1))</f>
        <v>555.15881087162279</v>
      </c>
      <c r="BJ155" s="59">
        <f t="shared" si="146"/>
        <v>668.20427590250733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19.969829022718056</v>
      </c>
      <c r="BQ155" s="21">
        <f>EXP(-LN(2)/25)*BQ154+(1-EXP(-LN(2)/25))/(LN(2)/25)*Calculateur!BL155*Calculateur!BN155*VLOOKUP('Données projet'!$B$11,Paramètres!$A$1:$I$89,3,0)*0.475*44/12</f>
        <v>1.9622918060610004</v>
      </c>
      <c r="BR155" s="21">
        <f>EXP(-LN(2)/2)*BR154+(1-EXP(-LN(2)/2))/(LN(2)/2)*BL155*BO155*VLOOKUP('Données projet'!$B$11,Paramètres!$A$1:$I$89,3,0)*0.475*44/12</f>
        <v>3.6883836555242544E-19</v>
      </c>
      <c r="BS155" s="22">
        <f t="shared" si="169"/>
        <v>21.932120828779055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367.99999999999972</v>
      </c>
      <c r="BZ155" s="13">
        <f>BY155*VLOOKUP('Données projet'!$B$12,Paramètres!$A$1:$I$89,3,0)*VLOOKUP('Données projet'!$B$12,Paramètres!$A$1:$I$89,5,0)</f>
        <v>241.11359999999982</v>
      </c>
      <c r="CA155" s="13">
        <f t="shared" si="170"/>
        <v>58.6790623558988</v>
      </c>
      <c r="CB155" s="20">
        <f t="shared" si="171"/>
        <v>522.13888693652348</v>
      </c>
      <c r="CC155" s="59">
        <f t="shared" si="119"/>
        <v>815.47222026985673</v>
      </c>
      <c r="CD155" s="59">
        <f ca="1">AVERAGE(OFFSET($CC$3,0,0,'Données projet'!$E$12+1,1))-AVERAGE(OFFSET($H$3,0,0,'Données projet'!$E$12+1,1))</f>
        <v>340.49092994349405</v>
      </c>
      <c r="CE155" s="59">
        <f t="shared" si="148"/>
        <v>331.54434271908832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9.8951210660089544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9.8951210660089544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306.99999999999994</v>
      </c>
      <c r="CU155" s="17">
        <f>CT155*VLOOKUP('Données projet'!$B$13,Paramètres!$A$1:$I$89,3,0)*VLOOKUP('Données projet'!$B$13,Paramètres!$A$1:$I$89,5,0)</f>
        <v>277.77359999999993</v>
      </c>
      <c r="CV155" s="13">
        <f t="shared" si="173"/>
        <v>66.496288176842356</v>
      </c>
      <c r="CW155" s="20">
        <f t="shared" si="174"/>
        <v>599.60338857466706</v>
      </c>
      <c r="CX155" s="59">
        <f t="shared" si="122"/>
        <v>892.93672190800044</v>
      </c>
      <c r="CY155" s="59">
        <f ca="1">AVERAGE(OFFSET($CX$3,0,0,'Données projet'!$E$13+1,1))-AVERAGE(OFFSET($H$3,0,0,'Données projet'!$E$13+1,1))</f>
        <v>439.19854273764042</v>
      </c>
      <c r="CZ155" s="59">
        <f t="shared" si="150"/>
        <v>278.21741231699929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48.105052266306259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48.105052266306259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306.99999999999994</v>
      </c>
      <c r="DP155" s="17">
        <f>DO155*VLOOKUP('Données projet'!$B$14,Paramètres!$A$1:$I$89,3,0)*VLOOKUP('Données projet'!$B$14,Paramètres!$A$1:$I$89,5,0)</f>
        <v>258.61679999999996</v>
      </c>
      <c r="DQ155" s="13">
        <f t="shared" si="176"/>
        <v>62.427444141032439</v>
      </c>
      <c r="DR155" s="20">
        <f t="shared" si="177"/>
        <v>559.15205854563135</v>
      </c>
      <c r="DS155" s="59">
        <f t="shared" si="125"/>
        <v>852.48539187896472</v>
      </c>
      <c r="DT155" s="59">
        <f ca="1">AVERAGE(OFFSET($DS$3,0,0,'Données projet'!$E$14+1,1))-AVERAGE(OFFSET($H$3,0,0,'Données projet'!$E$14+1,1))</f>
        <v>411.72284844766</v>
      </c>
      <c r="DU155" s="59">
        <f t="shared" si="152"/>
        <v>261.95434270986397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44.787462454836863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44.787462454836863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636.99999999999977</v>
      </c>
      <c r="EK155" s="17">
        <f>EJ155*VLOOKUP('Données projet'!$B$15,Paramètres!$A$1:$I$89,3,0)*VLOOKUP('Données projet'!$B$15,Paramètres!$A$1:$I$89,5,0)</f>
        <v>356.08299999999991</v>
      </c>
      <c r="EL155" s="13">
        <f t="shared" si="179"/>
        <v>82.813805255716545</v>
      </c>
      <c r="EM155" s="20">
        <f t="shared" si="180"/>
        <v>764.41193582037283</v>
      </c>
      <c r="EN155" s="59">
        <f t="shared" si="128"/>
        <v>1057.7452691537062</v>
      </c>
      <c r="EO155" s="59">
        <f ca="1">AVERAGE(OFFSET($EN$3,0,0,'Données projet'!$E$15+1,1))-AVERAGE(OFFSET($H$3,0,0,'Données projet'!$E$15+1,1))</f>
        <v>443.34220761968419</v>
      </c>
      <c r="EP155" s="59">
        <f t="shared" si="154"/>
        <v>546.58234447298014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15.803446522880513</v>
      </c>
      <c r="EW155" s="21">
        <f>EXP(-LN(2)/25)*EW154+(1-EXP(-LN(2)/25))/(LN(2)/25)*Calculateur!ER155*Calculateur!ET155*VLOOKUP('Données projet'!$B$15,Paramètres!$A$1:$I$89,3,0)*0.475*44/12</f>
        <v>0.74500103596157308</v>
      </c>
      <c r="EX155" s="21">
        <f>EXP(-LN(2)/2)*EX154+(1-EXP(-LN(2)/2))/(LN(2)/2)*ER155*EU155*VLOOKUP('Données projet'!$B$15,Paramètres!$A$1:$I$89,3,0)*0.475*44/12</f>
        <v>2.6202117041804019E-18</v>
      </c>
      <c r="EY155" s="22">
        <f t="shared" si="181"/>
        <v>16.548447558842085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224.00000000000006</v>
      </c>
      <c r="O156" s="13">
        <f>N156*VLOOKUP('Données projet'!$B$9,Paramètres!$A$1:$I$89,3,0)*VLOOKUP('Données projet'!$B$9,Paramètres!$A$1:$I$89,5,0)</f>
        <v>195.68640000000008</v>
      </c>
      <c r="P156" s="13">
        <f t="shared" si="141"/>
        <v>48.794969360985156</v>
      </c>
      <c r="Q156" s="20">
        <f t="shared" si="162"/>
        <v>425.8050516370493</v>
      </c>
      <c r="R156" s="59">
        <f t="shared" si="109"/>
        <v>719.13838497038262</v>
      </c>
      <c r="S156" s="59">
        <f ca="1">AVERAGE(OFFSET($R$3,0,0,'Données projet'!$E$9+1,1))-AVERAGE(OFFSET($H$3,0,0,'Données projet'!$E$9+1,1))</f>
        <v>304.32767345253382</v>
      </c>
      <c r="T156" s="59">
        <f t="shared" si="142"/>
        <v>427.16091343339173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9.9908277080910608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9.9908277080910608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367.99999999999972</v>
      </c>
      <c r="AJ156" s="13">
        <f>AI156*VLOOKUP('Données projet'!$B$10,Paramètres!$A$1:$I$89,3,0)*VLOOKUP('Données projet'!$B$10,Paramètres!$A$1:$I$89,5,0)</f>
        <v>292.78079999999977</v>
      </c>
      <c r="AK156" s="13">
        <f t="shared" si="164"/>
        <v>69.660903052386217</v>
      </c>
      <c r="AL156" s="20">
        <f t="shared" si="165"/>
        <v>631.25263281623893</v>
      </c>
      <c r="AM156" s="59">
        <f t="shared" si="113"/>
        <v>924.58596614957219</v>
      </c>
      <c r="AN156" s="59">
        <f ca="1">AVERAGE(OFFSET($AM$3,0,0,'Données projet'!$E$10+1,1))-AVERAGE(OFFSET($H$3,0,0,'Données projet'!$E$10+1,1))</f>
        <v>405.40026823646758</v>
      </c>
      <c r="AO156" s="59">
        <f t="shared" si="144"/>
        <v>393.0787141050053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14.519396151788229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14.519396151788229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739.99999999999966</v>
      </c>
      <c r="BE156" s="13">
        <f>BD156*VLOOKUP('Données projet'!$B$11,Paramètres!$A$1:$I$89,3,0)*VLOOKUP('Données projet'!$B$11,Paramètres!$A$1:$I$89,5,0)</f>
        <v>413.65999999999985</v>
      </c>
      <c r="BF156" s="13">
        <f t="shared" si="167"/>
        <v>94.540585122244352</v>
      </c>
      <c r="BG156" s="20">
        <f t="shared" si="168"/>
        <v>885.11601908790863</v>
      </c>
      <c r="BH156" s="59">
        <f t="shared" si="116"/>
        <v>1178.4493524212419</v>
      </c>
      <c r="BI156" s="59">
        <f ca="1">AVERAGE(OFFSET($BH$3,0,0,'Données projet'!$E$11+1,1))-AVERAGE(OFFSET($H$3,0,0,'Données projet'!$E$11+1,1))</f>
        <v>555.15881087162279</v>
      </c>
      <c r="BJ156" s="59">
        <f t="shared" si="146"/>
        <v>668.20427590250733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19.578232855975546</v>
      </c>
      <c r="BQ156" s="21">
        <f>EXP(-LN(2)/25)*BQ155+(1-EXP(-LN(2)/25))/(LN(2)/25)*Calculateur!BL156*Calculateur!BN156*VLOOKUP('Données projet'!$B$11,Paramètres!$A$1:$I$89,3,0)*0.475*44/12</f>
        <v>1.9086328334318212</v>
      </c>
      <c r="BR156" s="21">
        <f>EXP(-LN(2)/2)*BR155+(1-EXP(-LN(2)/2))/(LN(2)/2)*BL156*BO156*VLOOKUP('Données projet'!$B$11,Paramètres!$A$1:$I$89,3,0)*0.475*44/12</f>
        <v>2.6080810944388272E-19</v>
      </c>
      <c r="BS156" s="22">
        <f t="shared" si="169"/>
        <v>21.486865689407367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367.99999999999972</v>
      </c>
      <c r="BZ156" s="13">
        <f>BY156*VLOOKUP('Données projet'!$B$12,Paramètres!$A$1:$I$89,3,0)*VLOOKUP('Données projet'!$B$12,Paramètres!$A$1:$I$89,5,0)</f>
        <v>241.11359999999982</v>
      </c>
      <c r="CA156" s="13">
        <f t="shared" si="170"/>
        <v>58.6790623558988</v>
      </c>
      <c r="CB156" s="20">
        <f t="shared" si="171"/>
        <v>522.13888693652348</v>
      </c>
      <c r="CC156" s="59">
        <f t="shared" si="119"/>
        <v>815.47222026985673</v>
      </c>
      <c r="CD156" s="59">
        <f ca="1">AVERAGE(OFFSET($CC$3,0,0,'Données projet'!$E$12+1,1))-AVERAGE(OFFSET($H$3,0,0,'Données projet'!$E$12+1,1))</f>
        <v>340.49092994349405</v>
      </c>
      <c r="CE156" s="59">
        <f t="shared" si="148"/>
        <v>331.54434271908832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9.7010837773324194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9.7010837773324194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306.99999999999994</v>
      </c>
      <c r="CU156" s="17">
        <f>CT156*VLOOKUP('Données projet'!$B$13,Paramètres!$A$1:$I$89,3,0)*VLOOKUP('Données projet'!$B$13,Paramètres!$A$1:$I$89,5,0)</f>
        <v>277.77359999999993</v>
      </c>
      <c r="CV156" s="13">
        <f t="shared" si="173"/>
        <v>66.496288176842356</v>
      </c>
      <c r="CW156" s="20">
        <f t="shared" si="174"/>
        <v>599.60338857466706</v>
      </c>
      <c r="CX156" s="59">
        <f t="shared" si="122"/>
        <v>892.93672190800044</v>
      </c>
      <c r="CY156" s="59">
        <f ca="1">AVERAGE(OFFSET($CX$3,0,0,'Données projet'!$E$13+1,1))-AVERAGE(OFFSET($H$3,0,0,'Données projet'!$E$13+1,1))</f>
        <v>439.19854273764042</v>
      </c>
      <c r="CZ156" s="59">
        <f t="shared" si="150"/>
        <v>278.21741231699929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47.161741532548675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47.161741532548675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306.99999999999994</v>
      </c>
      <c r="DP156" s="17">
        <f>DO156*VLOOKUP('Données projet'!$B$14,Paramètres!$A$1:$I$89,3,0)*VLOOKUP('Données projet'!$B$14,Paramètres!$A$1:$I$89,5,0)</f>
        <v>258.61679999999996</v>
      </c>
      <c r="DQ156" s="13">
        <f t="shared" si="176"/>
        <v>62.427444141032439</v>
      </c>
      <c r="DR156" s="20">
        <f t="shared" si="177"/>
        <v>559.15205854563135</v>
      </c>
      <c r="DS156" s="59">
        <f t="shared" si="125"/>
        <v>852.48539187896472</v>
      </c>
      <c r="DT156" s="59">
        <f ca="1">AVERAGE(OFFSET($DS$3,0,0,'Données projet'!$E$14+1,1))-AVERAGE(OFFSET($H$3,0,0,'Données projet'!$E$14+1,1))</f>
        <v>411.72284844766</v>
      </c>
      <c r="DU156" s="59">
        <f t="shared" si="152"/>
        <v>261.95434270986397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43.909207633752217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43.909207633752217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636.99999999999977</v>
      </c>
      <c r="EK156" s="17">
        <f>EJ156*VLOOKUP('Données projet'!$B$15,Paramètres!$A$1:$I$89,3,0)*VLOOKUP('Données projet'!$B$15,Paramètres!$A$1:$I$89,5,0)</f>
        <v>356.08299999999991</v>
      </c>
      <c r="EL156" s="13">
        <f t="shared" si="179"/>
        <v>82.813805255716545</v>
      </c>
      <c r="EM156" s="20">
        <f t="shared" si="180"/>
        <v>764.41193582037283</v>
      </c>
      <c r="EN156" s="59">
        <f t="shared" si="128"/>
        <v>1057.7452691537062</v>
      </c>
      <c r="EO156" s="59">
        <f ca="1">AVERAGE(OFFSET($EN$3,0,0,'Données projet'!$E$15+1,1))-AVERAGE(OFFSET($H$3,0,0,'Données projet'!$E$15+1,1))</f>
        <v>443.34220761968419</v>
      </c>
      <c r="EP156" s="59">
        <f t="shared" si="154"/>
        <v>546.58234447298014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15.493550575717418</v>
      </c>
      <c r="EW156" s="21">
        <f>EXP(-LN(2)/25)*EW155+(1-EXP(-LN(2)/25))/(LN(2)/25)*Calculateur!ER156*Calculateur!ET156*VLOOKUP('Données projet'!$B$15,Paramètres!$A$1:$I$89,3,0)*0.475*44/12</f>
        <v>0.72462894345530215</v>
      </c>
      <c r="EX156" s="21">
        <f>EXP(-LN(2)/2)*EX155+(1-EXP(-LN(2)/2))/(LN(2)/2)*ER156*EU156*VLOOKUP('Données projet'!$B$15,Paramètres!$A$1:$I$89,3,0)*0.475*44/12</f>
        <v>1.8527694641703222E-18</v>
      </c>
      <c r="EY156" s="22">
        <f t="shared" si="181"/>
        <v>16.218179519172718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224.00000000000006</v>
      </c>
      <c r="O157" s="13">
        <f>N157*VLOOKUP('Données projet'!$B$9,Paramètres!$A$1:$I$89,3,0)*VLOOKUP('Données projet'!$B$9,Paramètres!$A$1:$I$89,5,0)</f>
        <v>195.68640000000008</v>
      </c>
      <c r="P157" s="13">
        <f t="shared" si="141"/>
        <v>48.794969360985156</v>
      </c>
      <c r="Q157" s="20">
        <f t="shared" si="162"/>
        <v>425.8050516370493</v>
      </c>
      <c r="R157" s="59">
        <f t="shared" si="109"/>
        <v>719.13838497038262</v>
      </c>
      <c r="S157" s="59">
        <f ca="1">AVERAGE(OFFSET($R$3,0,0,'Données projet'!$E$9+1,1))-AVERAGE(OFFSET($H$3,0,0,'Données projet'!$E$9+1,1))</f>
        <v>304.32767345253382</v>
      </c>
      <c r="T157" s="59">
        <f t="shared" si="142"/>
        <v>427.16091343339173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9.794913670538584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9.794913670538584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367.99999999999972</v>
      </c>
      <c r="AJ157" s="13">
        <f>AI157*VLOOKUP('Données projet'!$B$10,Paramètres!$A$1:$I$89,3,0)*VLOOKUP('Données projet'!$B$10,Paramètres!$A$1:$I$89,5,0)</f>
        <v>292.78079999999977</v>
      </c>
      <c r="AK157" s="13">
        <f t="shared" si="164"/>
        <v>69.660903052386217</v>
      </c>
      <c r="AL157" s="20">
        <f t="shared" si="165"/>
        <v>631.25263281623893</v>
      </c>
      <c r="AM157" s="59">
        <f t="shared" si="113"/>
        <v>924.58596614957219</v>
      </c>
      <c r="AN157" s="59">
        <f ca="1">AVERAGE(OFFSET($AM$3,0,0,'Données projet'!$E$10+1,1))-AVERAGE(OFFSET($H$3,0,0,'Données projet'!$E$10+1,1))</f>
        <v>405.40026823646758</v>
      </c>
      <c r="AO157" s="59">
        <f t="shared" si="144"/>
        <v>393.0787141050053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14.234679649208861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14.234679649208861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739.99999999999966</v>
      </c>
      <c r="BE157" s="13">
        <f>BD157*VLOOKUP('Données projet'!$B$11,Paramètres!$A$1:$I$89,3,0)*VLOOKUP('Données projet'!$B$11,Paramètres!$A$1:$I$89,5,0)</f>
        <v>413.65999999999985</v>
      </c>
      <c r="BF157" s="13">
        <f t="shared" si="167"/>
        <v>94.540585122244352</v>
      </c>
      <c r="BG157" s="20">
        <f t="shared" si="168"/>
        <v>885.11601908790863</v>
      </c>
      <c r="BH157" s="59">
        <f t="shared" si="116"/>
        <v>1178.4493524212419</v>
      </c>
      <c r="BI157" s="59">
        <f ca="1">AVERAGE(OFFSET($BH$3,0,0,'Données projet'!$E$11+1,1))-AVERAGE(OFFSET($H$3,0,0,'Données projet'!$E$11+1,1))</f>
        <v>555.15881087162279</v>
      </c>
      <c r="BJ157" s="59">
        <f t="shared" si="146"/>
        <v>668.20427590250733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19.194315651212779</v>
      </c>
      <c r="BQ157" s="21">
        <f>EXP(-LN(2)/25)*BQ156+(1-EXP(-LN(2)/25))/(LN(2)/25)*Calculateur!BL157*Calculateur!BN157*VLOOKUP('Données projet'!$B$11,Paramètres!$A$1:$I$89,3,0)*0.475*44/12</f>
        <v>1.8564411682309896</v>
      </c>
      <c r="BR157" s="21">
        <f>EXP(-LN(2)/2)*BR156+(1-EXP(-LN(2)/2))/(LN(2)/2)*BL157*BO157*VLOOKUP('Données projet'!$B$11,Paramètres!$A$1:$I$89,3,0)*0.475*44/12</f>
        <v>1.8441918277621272E-19</v>
      </c>
      <c r="BS157" s="22">
        <f t="shared" si="169"/>
        <v>21.05075681944377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367.99999999999972</v>
      </c>
      <c r="BZ157" s="13">
        <f>BY157*VLOOKUP('Données projet'!$B$12,Paramètres!$A$1:$I$89,3,0)*VLOOKUP('Données projet'!$B$12,Paramètres!$A$1:$I$89,5,0)</f>
        <v>241.11359999999982</v>
      </c>
      <c r="CA157" s="13">
        <f t="shared" si="170"/>
        <v>58.6790623558988</v>
      </c>
      <c r="CB157" s="20">
        <f t="shared" si="171"/>
        <v>522.13888693652348</v>
      </c>
      <c r="CC157" s="59">
        <f t="shared" si="119"/>
        <v>815.47222026985673</v>
      </c>
      <c r="CD157" s="59">
        <f ca="1">AVERAGE(OFFSET($CC$3,0,0,'Données projet'!$E$12+1,1))-AVERAGE(OFFSET($H$3,0,0,'Données projet'!$E$12+1,1))</f>
        <v>340.49092994349405</v>
      </c>
      <c r="CE157" s="59">
        <f t="shared" si="148"/>
        <v>331.54434271908832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9.5108514415357721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9.5108514415357721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306.99999999999994</v>
      </c>
      <c r="CU157" s="17">
        <f>CT157*VLOOKUP('Données projet'!$B$13,Paramètres!$A$1:$I$89,3,0)*VLOOKUP('Données projet'!$B$13,Paramètres!$A$1:$I$89,5,0)</f>
        <v>277.77359999999993</v>
      </c>
      <c r="CV157" s="13">
        <f t="shared" si="173"/>
        <v>66.496288176842356</v>
      </c>
      <c r="CW157" s="20">
        <f t="shared" si="174"/>
        <v>599.60338857466706</v>
      </c>
      <c r="CX157" s="59">
        <f t="shared" si="122"/>
        <v>892.93672190800044</v>
      </c>
      <c r="CY157" s="59">
        <f ca="1">AVERAGE(OFFSET($CX$3,0,0,'Données projet'!$E$13+1,1))-AVERAGE(OFFSET($H$3,0,0,'Données projet'!$E$13+1,1))</f>
        <v>439.19854273764042</v>
      </c>
      <c r="CZ157" s="59">
        <f t="shared" si="150"/>
        <v>278.21741231699929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46.236928546917341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46.236928546917341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306.99999999999994</v>
      </c>
      <c r="DP157" s="17">
        <f>DO157*VLOOKUP('Données projet'!$B$14,Paramètres!$A$1:$I$89,3,0)*VLOOKUP('Données projet'!$B$14,Paramètres!$A$1:$I$89,5,0)</f>
        <v>258.61679999999996</v>
      </c>
      <c r="DQ157" s="13">
        <f t="shared" si="176"/>
        <v>62.427444141032439</v>
      </c>
      <c r="DR157" s="20">
        <f t="shared" si="177"/>
        <v>559.15205854563135</v>
      </c>
      <c r="DS157" s="59">
        <f t="shared" si="125"/>
        <v>852.48539187896472</v>
      </c>
      <c r="DT157" s="59">
        <f ca="1">AVERAGE(OFFSET($DS$3,0,0,'Données projet'!$E$14+1,1))-AVERAGE(OFFSET($H$3,0,0,'Données projet'!$E$14+1,1))</f>
        <v>411.72284844766</v>
      </c>
      <c r="DU157" s="59">
        <f t="shared" si="152"/>
        <v>261.95434270986397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43.048174854026492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43.048174854026492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636.99999999999977</v>
      </c>
      <c r="EK157" s="17">
        <f>EJ157*VLOOKUP('Données projet'!$B$15,Paramètres!$A$1:$I$89,3,0)*VLOOKUP('Données projet'!$B$15,Paramètres!$A$1:$I$89,5,0)</f>
        <v>356.08299999999991</v>
      </c>
      <c r="EL157" s="13">
        <f t="shared" si="179"/>
        <v>82.813805255716545</v>
      </c>
      <c r="EM157" s="20">
        <f t="shared" si="180"/>
        <v>764.41193582037283</v>
      </c>
      <c r="EN157" s="59">
        <f t="shared" si="128"/>
        <v>1057.7452691537062</v>
      </c>
      <c r="EO157" s="59">
        <f ca="1">AVERAGE(OFFSET($EN$3,0,0,'Données projet'!$E$15+1,1))-AVERAGE(OFFSET($H$3,0,0,'Données projet'!$E$15+1,1))</f>
        <v>443.34220761968419</v>
      </c>
      <c r="EP157" s="59">
        <f t="shared" si="154"/>
        <v>546.58234447298014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15.189731499060327</v>
      </c>
      <c r="EW157" s="21">
        <f>EXP(-LN(2)/25)*EW156+(1-EXP(-LN(2)/25))/(LN(2)/25)*Calculateur!ER157*Calculateur!ET157*VLOOKUP('Données projet'!$B$15,Paramètres!$A$1:$I$89,3,0)*0.475*44/12</f>
        <v>0.70481392688993694</v>
      </c>
      <c r="EX157" s="21">
        <f>EXP(-LN(2)/2)*EX156+(1-EXP(-LN(2)/2))/(LN(2)/2)*ER157*EU157*VLOOKUP('Données projet'!$B$15,Paramètres!$A$1:$I$89,3,0)*0.475*44/12</f>
        <v>1.310105852090201E-18</v>
      </c>
      <c r="EY157" s="22">
        <f t="shared" si="181"/>
        <v>15.894545425950264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224.00000000000006</v>
      </c>
      <c r="O158" s="13">
        <f>N158*VLOOKUP('Données projet'!$B$9,Paramètres!$A$1:$I$89,3,0)*VLOOKUP('Données projet'!$B$9,Paramètres!$A$1:$I$89,5,0)</f>
        <v>195.68640000000008</v>
      </c>
      <c r="P158" s="13">
        <f t="shared" si="141"/>
        <v>48.794969360985156</v>
      </c>
      <c r="Q158" s="20">
        <f t="shared" si="162"/>
        <v>425.8050516370493</v>
      </c>
      <c r="R158" s="59">
        <f t="shared" si="109"/>
        <v>719.13838497038262</v>
      </c>
      <c r="S158" s="59">
        <f ca="1">AVERAGE(OFFSET($R$3,0,0,'Données projet'!$E$9+1,1))-AVERAGE(OFFSET($H$3,0,0,'Données projet'!$E$9+1,1))</f>
        <v>304.32767345253382</v>
      </c>
      <c r="T158" s="59">
        <f t="shared" si="142"/>
        <v>427.16091343339173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9.6028413877667482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9.6028413877667482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367.99999999999972</v>
      </c>
      <c r="AJ158" s="13">
        <f>AI158*VLOOKUP('Données projet'!$B$10,Paramètres!$A$1:$I$89,3,0)*VLOOKUP('Données projet'!$B$10,Paramètres!$A$1:$I$89,5,0)</f>
        <v>292.78079999999977</v>
      </c>
      <c r="AK158" s="13">
        <f t="shared" si="164"/>
        <v>69.660903052386217</v>
      </c>
      <c r="AL158" s="20">
        <f t="shared" si="165"/>
        <v>631.25263281623893</v>
      </c>
      <c r="AM158" s="59">
        <f t="shared" si="113"/>
        <v>924.58596614957219</v>
      </c>
      <c r="AN158" s="59">
        <f ca="1">AVERAGE(OFFSET($AM$3,0,0,'Données projet'!$E$10+1,1))-AVERAGE(OFFSET($H$3,0,0,'Données projet'!$E$10+1,1))</f>
        <v>405.40026823646758</v>
      </c>
      <c r="AO158" s="59">
        <f t="shared" si="144"/>
        <v>393.0787141050053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13.955546263585155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13.955546263585155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739.99999999999966</v>
      </c>
      <c r="BE158" s="13">
        <f>BD158*VLOOKUP('Données projet'!$B$11,Paramètres!$A$1:$I$89,3,0)*VLOOKUP('Données projet'!$B$11,Paramètres!$A$1:$I$89,5,0)</f>
        <v>413.65999999999985</v>
      </c>
      <c r="BF158" s="13">
        <f t="shared" si="167"/>
        <v>94.540585122244352</v>
      </c>
      <c r="BG158" s="20">
        <f t="shared" si="168"/>
        <v>885.11601908790863</v>
      </c>
      <c r="BH158" s="59">
        <f t="shared" si="116"/>
        <v>1178.4493524212419</v>
      </c>
      <c r="BI158" s="59">
        <f ca="1">AVERAGE(OFFSET($BH$3,0,0,'Données projet'!$E$11+1,1))-AVERAGE(OFFSET($H$3,0,0,'Données projet'!$E$11+1,1))</f>
        <v>555.15881087162279</v>
      </c>
      <c r="BJ158" s="59">
        <f t="shared" si="146"/>
        <v>668.20427590250733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18.817926828669037</v>
      </c>
      <c r="BQ158" s="21">
        <f>EXP(-LN(2)/25)*BQ157+(1-EXP(-LN(2)/25))/(LN(2)/25)*Calculateur!BL158*Calculateur!BN158*VLOOKUP('Données projet'!$B$11,Paramètres!$A$1:$I$89,3,0)*0.475*44/12</f>
        <v>1.8056766868597152</v>
      </c>
      <c r="BR158" s="21">
        <f>EXP(-LN(2)/2)*BR157+(1-EXP(-LN(2)/2))/(LN(2)/2)*BL158*BO158*VLOOKUP('Données projet'!$B$11,Paramètres!$A$1:$I$89,3,0)*0.475*44/12</f>
        <v>1.3040405472194136E-19</v>
      </c>
      <c r="BS158" s="22">
        <f t="shared" si="169"/>
        <v>20.623603515528753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367.99999999999972</v>
      </c>
      <c r="BZ158" s="13">
        <f>BY158*VLOOKUP('Données projet'!$B$12,Paramètres!$A$1:$I$89,3,0)*VLOOKUP('Données projet'!$B$12,Paramètres!$A$1:$I$89,5,0)</f>
        <v>241.11359999999982</v>
      </c>
      <c r="CA158" s="13">
        <f t="shared" si="170"/>
        <v>58.6790623558988</v>
      </c>
      <c r="CB158" s="20">
        <f t="shared" si="171"/>
        <v>522.13888693652348</v>
      </c>
      <c r="CC158" s="59">
        <f t="shared" si="119"/>
        <v>815.47222026985673</v>
      </c>
      <c r="CD158" s="59">
        <f ca="1">AVERAGE(OFFSET($CC$3,0,0,'Données projet'!$E$12+1,1))-AVERAGE(OFFSET($H$3,0,0,'Données projet'!$E$12+1,1))</f>
        <v>340.49092994349405</v>
      </c>
      <c r="CE158" s="59">
        <f t="shared" si="148"/>
        <v>331.54434271908832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9.3243494458138283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9.3243494458138283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306.99999999999994</v>
      </c>
      <c r="CU158" s="17">
        <f>CT158*VLOOKUP('Données projet'!$B$13,Paramètres!$A$1:$I$89,3,0)*VLOOKUP('Données projet'!$B$13,Paramètres!$A$1:$I$89,5,0)</f>
        <v>277.77359999999993</v>
      </c>
      <c r="CV158" s="13">
        <f t="shared" si="173"/>
        <v>66.496288176842356</v>
      </c>
      <c r="CW158" s="20">
        <f t="shared" si="174"/>
        <v>599.60338857466706</v>
      </c>
      <c r="CX158" s="59">
        <f t="shared" si="122"/>
        <v>892.93672190800044</v>
      </c>
      <c r="CY158" s="59">
        <f ca="1">AVERAGE(OFFSET($CX$3,0,0,'Données projet'!$E$13+1,1))-AVERAGE(OFFSET($H$3,0,0,'Données projet'!$E$13+1,1))</f>
        <v>439.19854273764042</v>
      </c>
      <c r="CZ158" s="59">
        <f t="shared" si="150"/>
        <v>278.21741231699929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45.330250579854017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45.330250579854017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306.99999999999994</v>
      </c>
      <c r="DP158" s="17">
        <f>DO158*VLOOKUP('Données projet'!$B$14,Paramètres!$A$1:$I$89,3,0)*VLOOKUP('Données projet'!$B$14,Paramètres!$A$1:$I$89,5,0)</f>
        <v>258.61679999999996</v>
      </c>
      <c r="DQ158" s="13">
        <f t="shared" si="176"/>
        <v>62.427444141032439</v>
      </c>
      <c r="DR158" s="20">
        <f t="shared" si="177"/>
        <v>559.15205854563135</v>
      </c>
      <c r="DS158" s="59">
        <f t="shared" si="125"/>
        <v>852.48539187896472</v>
      </c>
      <c r="DT158" s="59">
        <f ca="1">AVERAGE(OFFSET($DS$3,0,0,'Données projet'!$E$14+1,1))-AVERAGE(OFFSET($H$3,0,0,'Données projet'!$E$14+1,1))</f>
        <v>411.72284844766</v>
      </c>
      <c r="DU158" s="59">
        <f t="shared" si="152"/>
        <v>261.95434270986397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42.204026401933049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42.204026401933049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636.99999999999977</v>
      </c>
      <c r="EK158" s="17">
        <f>EJ158*VLOOKUP('Données projet'!$B$15,Paramètres!$A$1:$I$89,3,0)*VLOOKUP('Données projet'!$B$15,Paramètres!$A$1:$I$89,5,0)</f>
        <v>356.08299999999991</v>
      </c>
      <c r="EL158" s="13">
        <f t="shared" si="179"/>
        <v>82.813805255716545</v>
      </c>
      <c r="EM158" s="20">
        <f t="shared" si="180"/>
        <v>764.41193582037283</v>
      </c>
      <c r="EN158" s="59">
        <f t="shared" si="128"/>
        <v>1057.7452691537062</v>
      </c>
      <c r="EO158" s="59">
        <f ca="1">AVERAGE(OFFSET($EN$3,0,0,'Données projet'!$E$15+1,1))-AVERAGE(OFFSET($H$3,0,0,'Données projet'!$E$15+1,1))</f>
        <v>443.34220761968419</v>
      </c>
      <c r="EP158" s="59">
        <f t="shared" si="154"/>
        <v>546.58234447298014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14.891870129185143</v>
      </c>
      <c r="EW158" s="21">
        <f>EXP(-LN(2)/25)*EW157+(1-EXP(-LN(2)/25))/(LN(2)/25)*Calculateur!ER158*Calculateur!ET158*VLOOKUP('Données projet'!$B$15,Paramètres!$A$1:$I$89,3,0)*0.475*44/12</f>
        <v>0.68554075299457806</v>
      </c>
      <c r="EX158" s="21">
        <f>EXP(-LN(2)/2)*EX157+(1-EXP(-LN(2)/2))/(LN(2)/2)*ER158*EU158*VLOOKUP('Données projet'!$B$15,Paramètres!$A$1:$I$89,3,0)*0.475*44/12</f>
        <v>9.2638473208516112E-19</v>
      </c>
      <c r="EY158" s="22">
        <f t="shared" si="181"/>
        <v>15.577410882179722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224.00000000000006</v>
      </c>
      <c r="O159" s="13">
        <f>N159*VLOOKUP('Données projet'!$B$9,Paramètres!$A$1:$I$89,3,0)*VLOOKUP('Données projet'!$B$9,Paramètres!$A$1:$I$89,5,0)</f>
        <v>195.68640000000008</v>
      </c>
      <c r="P159" s="13">
        <f t="shared" si="141"/>
        <v>48.794969360985156</v>
      </c>
      <c r="Q159" s="20">
        <f t="shared" si="162"/>
        <v>425.8050516370493</v>
      </c>
      <c r="R159" s="59">
        <f t="shared" si="109"/>
        <v>719.13838497038262</v>
      </c>
      <c r="S159" s="59">
        <f ca="1">AVERAGE(OFFSET($R$3,0,0,'Données projet'!$E$9+1,1))-AVERAGE(OFFSET($H$3,0,0,'Données projet'!$E$9+1,1))</f>
        <v>304.32767345253382</v>
      </c>
      <c r="T159" s="59">
        <f t="shared" si="142"/>
        <v>427.16091343339173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9.4145355253075422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9.4145355253075422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367.99999999999972</v>
      </c>
      <c r="AJ159" s="13">
        <f>AI159*VLOOKUP('Données projet'!$B$10,Paramètres!$A$1:$I$89,3,0)*VLOOKUP('Données projet'!$B$10,Paramètres!$A$1:$I$89,5,0)</f>
        <v>292.78079999999977</v>
      </c>
      <c r="AK159" s="13">
        <f t="shared" si="164"/>
        <v>69.660903052386217</v>
      </c>
      <c r="AL159" s="20">
        <f t="shared" si="165"/>
        <v>631.25263281623893</v>
      </c>
      <c r="AM159" s="59">
        <f t="shared" si="113"/>
        <v>924.58596614957219</v>
      </c>
      <c r="AN159" s="59">
        <f ca="1">AVERAGE(OFFSET($AM$3,0,0,'Données projet'!$E$10+1,1))-AVERAGE(OFFSET($H$3,0,0,'Données projet'!$E$10+1,1))</f>
        <v>405.40026823646758</v>
      </c>
      <c r="AO159" s="59">
        <f t="shared" si="144"/>
        <v>393.0787141050053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13.681886513398977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13.681886513398977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739.99999999999966</v>
      </c>
      <c r="BE159" s="13">
        <f>BD159*VLOOKUP('Données projet'!$B$11,Paramètres!$A$1:$I$89,3,0)*VLOOKUP('Données projet'!$B$11,Paramètres!$A$1:$I$89,5,0)</f>
        <v>413.65999999999985</v>
      </c>
      <c r="BF159" s="13">
        <f t="shared" si="167"/>
        <v>94.540585122244352</v>
      </c>
      <c r="BG159" s="20">
        <f t="shared" si="168"/>
        <v>885.11601908790863</v>
      </c>
      <c r="BH159" s="59">
        <f t="shared" si="116"/>
        <v>1178.4493524212419</v>
      </c>
      <c r="BI159" s="59">
        <f ca="1">AVERAGE(OFFSET($BH$3,0,0,'Données projet'!$E$11+1,1))-AVERAGE(OFFSET($H$3,0,0,'Données projet'!$E$11+1,1))</f>
        <v>555.15881087162279</v>
      </c>
      <c r="BJ159" s="59">
        <f t="shared" si="146"/>
        <v>668.20427590250733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18.448918761360865</v>
      </c>
      <c r="BQ159" s="21">
        <f>EXP(-LN(2)/25)*BQ158+(1-EXP(-LN(2)/25))/(LN(2)/25)*Calculateur!BL159*Calculateur!BN159*VLOOKUP('Données projet'!$B$11,Paramètres!$A$1:$I$89,3,0)*0.475*44/12</f>
        <v>1.7563003629011262</v>
      </c>
      <c r="BR159" s="21">
        <f>EXP(-LN(2)/2)*BR158+(1-EXP(-LN(2)/2))/(LN(2)/2)*BL159*BO159*VLOOKUP('Données projet'!$B$11,Paramètres!$A$1:$I$89,3,0)*0.475*44/12</f>
        <v>9.220959138810636E-20</v>
      </c>
      <c r="BS159" s="22">
        <f t="shared" si="169"/>
        <v>20.205219124261991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367.99999999999972</v>
      </c>
      <c r="BZ159" s="13">
        <f>BY159*VLOOKUP('Données projet'!$B$12,Paramètres!$A$1:$I$89,3,0)*VLOOKUP('Données projet'!$B$12,Paramètres!$A$1:$I$89,5,0)</f>
        <v>241.11359999999982</v>
      </c>
      <c r="CA159" s="13">
        <f t="shared" si="170"/>
        <v>58.6790623558988</v>
      </c>
      <c r="CB159" s="20">
        <f t="shared" si="171"/>
        <v>522.13888693652348</v>
      </c>
      <c r="CC159" s="59">
        <f t="shared" si="119"/>
        <v>815.47222026985673</v>
      </c>
      <c r="CD159" s="59">
        <f ca="1">AVERAGE(OFFSET($CC$3,0,0,'Données projet'!$E$12+1,1))-AVERAGE(OFFSET($H$3,0,0,'Données projet'!$E$12+1,1))</f>
        <v>340.49092994349405</v>
      </c>
      <c r="CE159" s="59">
        <f t="shared" si="148"/>
        <v>331.54434271908832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9.1415046404730074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9.1415046404730074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306.99999999999994</v>
      </c>
      <c r="CU159" s="17">
        <f>CT159*VLOOKUP('Données projet'!$B$13,Paramètres!$A$1:$I$89,3,0)*VLOOKUP('Données projet'!$B$13,Paramètres!$A$1:$I$89,5,0)</f>
        <v>277.77359999999993</v>
      </c>
      <c r="CV159" s="13">
        <f t="shared" si="173"/>
        <v>66.496288176842356</v>
      </c>
      <c r="CW159" s="20">
        <f t="shared" si="174"/>
        <v>599.60338857466706</v>
      </c>
      <c r="CX159" s="59">
        <f t="shared" si="122"/>
        <v>892.93672190800044</v>
      </c>
      <c r="CY159" s="59">
        <f ca="1">AVERAGE(OFFSET($CX$3,0,0,'Données projet'!$E$13+1,1))-AVERAGE(OFFSET($H$3,0,0,'Données projet'!$E$13+1,1))</f>
        <v>439.19854273764042</v>
      </c>
      <c r="CZ159" s="59">
        <f t="shared" si="150"/>
        <v>278.21741231699929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44.441352014705849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44.441352014705849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306.99999999999994</v>
      </c>
      <c r="DP159" s="17">
        <f>DO159*VLOOKUP('Données projet'!$B$14,Paramètres!$A$1:$I$89,3,0)*VLOOKUP('Données projet'!$B$14,Paramètres!$A$1:$I$89,5,0)</f>
        <v>258.61679999999996</v>
      </c>
      <c r="DQ159" s="13">
        <f t="shared" si="176"/>
        <v>62.427444141032439</v>
      </c>
      <c r="DR159" s="20">
        <f t="shared" si="177"/>
        <v>559.15205854563135</v>
      </c>
      <c r="DS159" s="59">
        <f t="shared" si="125"/>
        <v>852.48539187896472</v>
      </c>
      <c r="DT159" s="59">
        <f ca="1">AVERAGE(OFFSET($DS$3,0,0,'Données projet'!$E$14+1,1))-AVERAGE(OFFSET($H$3,0,0,'Données projet'!$E$14+1,1))</f>
        <v>411.72284844766</v>
      </c>
      <c r="DU159" s="59">
        <f t="shared" si="152"/>
        <v>261.95434270986397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41.376431186105442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41.376431186105442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636.99999999999977</v>
      </c>
      <c r="EK159" s="17">
        <f>EJ159*VLOOKUP('Données projet'!$B$15,Paramètres!$A$1:$I$89,3,0)*VLOOKUP('Données projet'!$B$15,Paramètres!$A$1:$I$89,5,0)</f>
        <v>356.08299999999991</v>
      </c>
      <c r="EL159" s="13">
        <f t="shared" si="179"/>
        <v>82.813805255716545</v>
      </c>
      <c r="EM159" s="20">
        <f t="shared" si="180"/>
        <v>764.41193582037283</v>
      </c>
      <c r="EN159" s="59">
        <f t="shared" si="128"/>
        <v>1057.7452691537062</v>
      </c>
      <c r="EO159" s="59">
        <f ca="1">AVERAGE(OFFSET($EN$3,0,0,'Données projet'!$E$15+1,1))-AVERAGE(OFFSET($H$3,0,0,'Données projet'!$E$15+1,1))</f>
        <v>443.34220761968419</v>
      </c>
      <c r="EP159" s="59">
        <f t="shared" si="154"/>
        <v>546.58234447298014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14.599849639095716</v>
      </c>
      <c r="EW159" s="21">
        <f>EXP(-LN(2)/25)*EW158+(1-EXP(-LN(2)/25))/(LN(2)/25)*Calculateur!ER159*Calculateur!ET159*VLOOKUP('Données projet'!$B$15,Paramètres!$A$1:$I$89,3,0)*0.475*44/12</f>
        <v>0.66679460505291999</v>
      </c>
      <c r="EX159" s="21">
        <f>EXP(-LN(2)/2)*EX158+(1-EXP(-LN(2)/2))/(LN(2)/2)*ER159*EU159*VLOOKUP('Données projet'!$B$15,Paramètres!$A$1:$I$89,3,0)*0.475*44/12</f>
        <v>6.5505292604510048E-19</v>
      </c>
      <c r="EY159" s="22">
        <f t="shared" si="181"/>
        <v>15.266644244148635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224.00000000000006</v>
      </c>
      <c r="O160" s="13">
        <f>N160*VLOOKUP('Données projet'!$B$9,Paramètres!$A$1:$I$89,3,0)*VLOOKUP('Données projet'!$B$9,Paramètres!$A$1:$I$89,5,0)</f>
        <v>195.68640000000008</v>
      </c>
      <c r="P160" s="13">
        <f t="shared" si="141"/>
        <v>48.794969360985156</v>
      </c>
      <c r="Q160" s="20">
        <f t="shared" si="162"/>
        <v>425.8050516370493</v>
      </c>
      <c r="R160" s="59">
        <f t="shared" si="109"/>
        <v>719.13838497038262</v>
      </c>
      <c r="S160" s="59">
        <f ca="1">AVERAGE(OFFSET($R$3,0,0,'Données projet'!$E$9+1,1))-AVERAGE(OFFSET($H$3,0,0,'Données projet'!$E$9+1,1))</f>
        <v>304.32767345253382</v>
      </c>
      <c r="T160" s="59">
        <f t="shared" si="142"/>
        <v>427.16091343339173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9.2299222259559262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9.2299222259559262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367.99999999999972</v>
      </c>
      <c r="AJ160" s="13">
        <f>AI160*VLOOKUP('Données projet'!$B$10,Paramètres!$A$1:$I$89,3,0)*VLOOKUP('Données projet'!$B$10,Paramètres!$A$1:$I$89,5,0)</f>
        <v>292.78079999999977</v>
      </c>
      <c r="AK160" s="13">
        <f t="shared" si="164"/>
        <v>69.660903052386217</v>
      </c>
      <c r="AL160" s="20">
        <f t="shared" si="165"/>
        <v>631.25263281623893</v>
      </c>
      <c r="AM160" s="59">
        <f t="shared" si="113"/>
        <v>924.58596614957219</v>
      </c>
      <c r="AN160" s="59">
        <f ca="1">AVERAGE(OFFSET($AM$3,0,0,'Données projet'!$E$10+1,1))-AVERAGE(OFFSET($H$3,0,0,'Données projet'!$E$10+1,1))</f>
        <v>405.40026823646758</v>
      </c>
      <c r="AO160" s="59">
        <f t="shared" si="144"/>
        <v>393.0787141050053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13.413593063997984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13.413593063997984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739.99999999999966</v>
      </c>
      <c r="BE160" s="13">
        <f>BD160*VLOOKUP('Données projet'!$B$11,Paramètres!$A$1:$I$89,3,0)*VLOOKUP('Données projet'!$B$11,Paramètres!$A$1:$I$89,5,0)</f>
        <v>413.65999999999985</v>
      </c>
      <c r="BF160" s="13">
        <f t="shared" si="167"/>
        <v>94.540585122244352</v>
      </c>
      <c r="BG160" s="20">
        <f t="shared" si="168"/>
        <v>885.11601908790863</v>
      </c>
      <c r="BH160" s="59">
        <f t="shared" si="116"/>
        <v>1178.4493524212419</v>
      </c>
      <c r="BI160" s="59">
        <f ca="1">AVERAGE(OFFSET($BH$3,0,0,'Données projet'!$E$11+1,1))-AVERAGE(OFFSET($H$3,0,0,'Données projet'!$E$11+1,1))</f>
        <v>555.15881087162279</v>
      </c>
      <c r="BJ160" s="59">
        <f t="shared" si="146"/>
        <v>668.20427590250733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18.087146717179909</v>
      </c>
      <c r="BQ160" s="21">
        <f>EXP(-LN(2)/25)*BQ159+(1-EXP(-LN(2)/25))/(LN(2)/25)*Calculateur!BL160*Calculateur!BN160*VLOOKUP('Données projet'!$B$11,Paramètres!$A$1:$I$89,3,0)*0.475*44/12</f>
        <v>1.7082742371177728</v>
      </c>
      <c r="BR160" s="21">
        <f>EXP(-LN(2)/2)*BR159+(1-EXP(-LN(2)/2))/(LN(2)/2)*BL160*BO160*VLOOKUP('Données projet'!$B$11,Paramètres!$A$1:$I$89,3,0)*0.475*44/12</f>
        <v>6.520202736097068E-20</v>
      </c>
      <c r="BS160" s="22">
        <f t="shared" si="169"/>
        <v>19.795420954297683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367.99999999999972</v>
      </c>
      <c r="BZ160" s="13">
        <f>BY160*VLOOKUP('Données projet'!$B$12,Paramètres!$A$1:$I$89,3,0)*VLOOKUP('Données projet'!$B$12,Paramètres!$A$1:$I$89,5,0)</f>
        <v>241.11359999999982</v>
      </c>
      <c r="CA160" s="13">
        <f t="shared" si="170"/>
        <v>58.6790623558988</v>
      </c>
      <c r="CB160" s="20">
        <f t="shared" si="171"/>
        <v>522.13888693652348</v>
      </c>
      <c r="CC160" s="59">
        <f t="shared" si="119"/>
        <v>815.47222026985673</v>
      </c>
      <c r="CD160" s="59">
        <f ca="1">AVERAGE(OFFSET($CC$3,0,0,'Données projet'!$E$12+1,1))-AVERAGE(OFFSET($H$3,0,0,'Données projet'!$E$12+1,1))</f>
        <v>340.49092994349405</v>
      </c>
      <c r="CE160" s="59">
        <f t="shared" si="148"/>
        <v>331.54434271908832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8.9622453102406006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8.9622453102406006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306.99999999999994</v>
      </c>
      <c r="CU160" s="17">
        <f>CT160*VLOOKUP('Données projet'!$B$13,Paramètres!$A$1:$I$89,3,0)*VLOOKUP('Données projet'!$B$13,Paramètres!$A$1:$I$89,5,0)</f>
        <v>277.77359999999993</v>
      </c>
      <c r="CV160" s="13">
        <f t="shared" si="173"/>
        <v>66.496288176842356</v>
      </c>
      <c r="CW160" s="20">
        <f t="shared" si="174"/>
        <v>599.60338857466706</v>
      </c>
      <c r="CX160" s="59">
        <f t="shared" si="122"/>
        <v>892.93672190800044</v>
      </c>
      <c r="CY160" s="59">
        <f ca="1">AVERAGE(OFFSET($CX$3,0,0,'Données projet'!$E$13+1,1))-AVERAGE(OFFSET($H$3,0,0,'Données projet'!$E$13+1,1))</f>
        <v>439.19854273764042</v>
      </c>
      <c r="CZ160" s="59">
        <f t="shared" si="150"/>
        <v>278.21741231699929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43.569884208245647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43.569884208245647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306.99999999999994</v>
      </c>
      <c r="DP160" s="17">
        <f>DO160*VLOOKUP('Données projet'!$B$14,Paramètres!$A$1:$I$89,3,0)*VLOOKUP('Données projet'!$B$14,Paramètres!$A$1:$I$89,5,0)</f>
        <v>258.61679999999996</v>
      </c>
      <c r="DQ160" s="13">
        <f t="shared" si="176"/>
        <v>62.427444141032439</v>
      </c>
      <c r="DR160" s="20">
        <f t="shared" si="177"/>
        <v>559.15205854563135</v>
      </c>
      <c r="DS160" s="59">
        <f t="shared" si="125"/>
        <v>852.48539187896472</v>
      </c>
      <c r="DT160" s="59">
        <f ca="1">AVERAGE(OFFSET($DS$3,0,0,'Données projet'!$E$14+1,1))-AVERAGE(OFFSET($H$3,0,0,'Données projet'!$E$14+1,1))</f>
        <v>411.72284844766</v>
      </c>
      <c r="DU160" s="59">
        <f t="shared" si="152"/>
        <v>261.95434270986397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40.56506460767698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40.56506460767698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636.99999999999977</v>
      </c>
      <c r="EK160" s="17">
        <f>EJ160*VLOOKUP('Données projet'!$B$15,Paramètres!$A$1:$I$89,3,0)*VLOOKUP('Données projet'!$B$15,Paramètres!$A$1:$I$89,5,0)</f>
        <v>356.08299999999991</v>
      </c>
      <c r="EL160" s="13">
        <f t="shared" si="179"/>
        <v>82.813805255716545</v>
      </c>
      <c r="EM160" s="20">
        <f t="shared" si="180"/>
        <v>764.41193582037283</v>
      </c>
      <c r="EN160" s="59">
        <f t="shared" si="128"/>
        <v>1057.7452691537062</v>
      </c>
      <c r="EO160" s="59">
        <f ca="1">AVERAGE(OFFSET($EN$3,0,0,'Données projet'!$E$15+1,1))-AVERAGE(OFFSET($H$3,0,0,'Données projet'!$E$15+1,1))</f>
        <v>443.34220761968419</v>
      </c>
      <c r="EP160" s="59">
        <f t="shared" si="154"/>
        <v>546.58234447298014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14.313555492702029</v>
      </c>
      <c r="EW160" s="21">
        <f>EXP(-LN(2)/25)*EW159+(1-EXP(-LN(2)/25))/(LN(2)/25)*Calculateur!ER160*Calculateur!ET160*VLOOKUP('Données projet'!$B$15,Paramètres!$A$1:$I$89,3,0)*0.475*44/12</f>
        <v>0.64856107151254361</v>
      </c>
      <c r="EX160" s="21">
        <f>EXP(-LN(2)/2)*EX159+(1-EXP(-LN(2)/2))/(LN(2)/2)*ER160*EU160*VLOOKUP('Données projet'!$B$15,Paramètres!$A$1:$I$89,3,0)*0.475*44/12</f>
        <v>4.6319236604258056E-19</v>
      </c>
      <c r="EY160" s="22">
        <f t="shared" si="181"/>
        <v>14.962116564214574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224.00000000000006</v>
      </c>
      <c r="O161" s="13">
        <f>N161*VLOOKUP('Données projet'!$B$9,Paramètres!$A$1:$I$89,3,0)*VLOOKUP('Données projet'!$B$9,Paramètres!$A$1:$I$89,5,0)</f>
        <v>195.68640000000008</v>
      </c>
      <c r="P161" s="13">
        <f t="shared" si="141"/>
        <v>48.794969360985156</v>
      </c>
      <c r="Q161" s="20">
        <f t="shared" si="162"/>
        <v>425.8050516370493</v>
      </c>
      <c r="R161" s="59">
        <f t="shared" si="109"/>
        <v>719.13838497038262</v>
      </c>
      <c r="S161" s="59">
        <f ca="1">AVERAGE(OFFSET($R$3,0,0,'Données projet'!$E$9+1,1))-AVERAGE(OFFSET($H$3,0,0,'Données projet'!$E$9+1,1))</f>
        <v>304.32767345253382</v>
      </c>
      <c r="T161" s="59">
        <f t="shared" si="142"/>
        <v>427.16091343339173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9.0489290808016012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9.0489290808016012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367.99999999999972</v>
      </c>
      <c r="AJ161" s="13">
        <f>AI161*VLOOKUP('Données projet'!$B$10,Paramètres!$A$1:$I$89,3,0)*VLOOKUP('Données projet'!$B$10,Paramètres!$A$1:$I$89,5,0)</f>
        <v>292.78079999999977</v>
      </c>
      <c r="AK161" s="13">
        <f t="shared" si="164"/>
        <v>69.660903052386217</v>
      </c>
      <c r="AL161" s="20">
        <f t="shared" si="165"/>
        <v>631.25263281623893</v>
      </c>
      <c r="AM161" s="59">
        <f t="shared" si="113"/>
        <v>924.58596614957219</v>
      </c>
      <c r="AN161" s="59">
        <f ca="1">AVERAGE(OFFSET($AM$3,0,0,'Données projet'!$E$10+1,1))-AVERAGE(OFFSET($H$3,0,0,'Données projet'!$E$10+1,1))</f>
        <v>405.40026823646758</v>
      </c>
      <c r="AO161" s="59">
        <f t="shared" si="144"/>
        <v>393.0787141050053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13.150560685496899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13.150560685496899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739.99999999999966</v>
      </c>
      <c r="BE161" s="13">
        <f>BD161*VLOOKUP('Données projet'!$B$11,Paramètres!$A$1:$I$89,3,0)*VLOOKUP('Données projet'!$B$11,Paramètres!$A$1:$I$89,5,0)</f>
        <v>413.65999999999985</v>
      </c>
      <c r="BF161" s="13">
        <f t="shared" si="167"/>
        <v>94.540585122244352</v>
      </c>
      <c r="BG161" s="20">
        <f t="shared" si="168"/>
        <v>885.11601908790863</v>
      </c>
      <c r="BH161" s="59">
        <f t="shared" si="116"/>
        <v>1178.4493524212419</v>
      </c>
      <c r="BI161" s="59">
        <f ca="1">AVERAGE(OFFSET($BH$3,0,0,'Données projet'!$E$11+1,1))-AVERAGE(OFFSET($H$3,0,0,'Données projet'!$E$11+1,1))</f>
        <v>555.15881087162279</v>
      </c>
      <c r="BJ161" s="59">
        <f t="shared" si="146"/>
        <v>668.20427590250733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17.732468802126181</v>
      </c>
      <c r="BQ161" s="21">
        <f>EXP(-LN(2)/25)*BQ160+(1-EXP(-LN(2)/25))/(LN(2)/25)*Calculateur!BL161*Calculateur!BN161*VLOOKUP('Données projet'!$B$11,Paramètres!$A$1:$I$89,3,0)*0.475*44/12</f>
        <v>1.6615613882695495</v>
      </c>
      <c r="BR161" s="21">
        <f>EXP(-LN(2)/2)*BR160+(1-EXP(-LN(2)/2))/(LN(2)/2)*BL161*BO161*VLOOKUP('Données projet'!$B$11,Paramètres!$A$1:$I$89,3,0)*0.475*44/12</f>
        <v>4.610479569405318E-20</v>
      </c>
      <c r="BS161" s="22">
        <f t="shared" si="169"/>
        <v>19.394030190395732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367.99999999999972</v>
      </c>
      <c r="BZ161" s="13">
        <f>BY161*VLOOKUP('Données projet'!$B$12,Paramètres!$A$1:$I$89,3,0)*VLOOKUP('Données projet'!$B$12,Paramètres!$A$1:$I$89,5,0)</f>
        <v>241.11359999999982</v>
      </c>
      <c r="CA161" s="13">
        <f t="shared" si="170"/>
        <v>58.6790623558988</v>
      </c>
      <c r="CB161" s="20">
        <f t="shared" si="171"/>
        <v>522.13888693652348</v>
      </c>
      <c r="CC161" s="59">
        <f t="shared" si="119"/>
        <v>815.47222026985673</v>
      </c>
      <c r="CD161" s="59">
        <f ca="1">AVERAGE(OFFSET($CC$3,0,0,'Données projet'!$E$12+1,1))-AVERAGE(OFFSET($H$3,0,0,'Données projet'!$E$12+1,1))</f>
        <v>340.49092994349405</v>
      </c>
      <c r="CE161" s="59">
        <f t="shared" si="148"/>
        <v>331.54434271908832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8.786501146136656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8.786501146136656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306.99999999999994</v>
      </c>
      <c r="CU161" s="17">
        <f>CT161*VLOOKUP('Données projet'!$B$13,Paramètres!$A$1:$I$89,3,0)*VLOOKUP('Données projet'!$B$13,Paramètres!$A$1:$I$89,5,0)</f>
        <v>277.77359999999993</v>
      </c>
      <c r="CV161" s="13">
        <f t="shared" si="173"/>
        <v>66.496288176842356</v>
      </c>
      <c r="CW161" s="20">
        <f t="shared" si="174"/>
        <v>599.60338857466706</v>
      </c>
      <c r="CX161" s="59">
        <f t="shared" si="122"/>
        <v>892.93672190800044</v>
      </c>
      <c r="CY161" s="59">
        <f ca="1">AVERAGE(OFFSET($CX$3,0,0,'Données projet'!$E$13+1,1))-AVERAGE(OFFSET($H$3,0,0,'Données projet'!$E$13+1,1))</f>
        <v>439.19854273764042</v>
      </c>
      <c r="CZ161" s="59">
        <f t="shared" si="150"/>
        <v>278.21741231699929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42.715505353927256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42.715505353927256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306.99999999999994</v>
      </c>
      <c r="DP161" s="17">
        <f>DO161*VLOOKUP('Données projet'!$B$14,Paramètres!$A$1:$I$89,3,0)*VLOOKUP('Données projet'!$B$14,Paramètres!$A$1:$I$89,5,0)</f>
        <v>258.61679999999996</v>
      </c>
      <c r="DQ161" s="13">
        <f t="shared" si="176"/>
        <v>62.427444141032439</v>
      </c>
      <c r="DR161" s="20">
        <f t="shared" si="177"/>
        <v>559.15205854563135</v>
      </c>
      <c r="DS161" s="59">
        <f t="shared" si="125"/>
        <v>852.48539187896472</v>
      </c>
      <c r="DT161" s="59">
        <f ca="1">AVERAGE(OFFSET($DS$3,0,0,'Données projet'!$E$14+1,1))-AVERAGE(OFFSET($H$3,0,0,'Données projet'!$E$14+1,1))</f>
        <v>411.72284844766</v>
      </c>
      <c r="DU161" s="59">
        <f t="shared" si="152"/>
        <v>261.95434270986397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39.769608432966749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39.769608432966749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636.99999999999977</v>
      </c>
      <c r="EK161" s="17">
        <f>EJ161*VLOOKUP('Données projet'!$B$15,Paramètres!$A$1:$I$89,3,0)*VLOOKUP('Données projet'!$B$15,Paramètres!$A$1:$I$89,5,0)</f>
        <v>356.08299999999991</v>
      </c>
      <c r="EL161" s="13">
        <f t="shared" si="179"/>
        <v>82.813805255716545</v>
      </c>
      <c r="EM161" s="20">
        <f t="shared" si="180"/>
        <v>764.41193582037283</v>
      </c>
      <c r="EN161" s="59">
        <f t="shared" si="128"/>
        <v>1057.7452691537062</v>
      </c>
      <c r="EO161" s="59">
        <f ca="1">AVERAGE(OFFSET($EN$3,0,0,'Données projet'!$E$15+1,1))-AVERAGE(OFFSET($H$3,0,0,'Données projet'!$E$15+1,1))</f>
        <v>443.34220761968419</v>
      </c>
      <c r="EP161" s="59">
        <f t="shared" si="154"/>
        <v>546.58234447298014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14.032875399896938</v>
      </c>
      <c r="EW161" s="21">
        <f>EXP(-LN(2)/25)*EW160+(1-EXP(-LN(2)/25))/(LN(2)/25)*Calculateur!ER161*Calculateur!ET161*VLOOKUP('Données projet'!$B$15,Paramètres!$A$1:$I$89,3,0)*0.475*44/12</f>
        <v>0.63082613490568862</v>
      </c>
      <c r="EX161" s="21">
        <f>EXP(-LN(2)/2)*EX160+(1-EXP(-LN(2)/2))/(LN(2)/2)*ER161*EU161*VLOOKUP('Données projet'!$B$15,Paramètres!$A$1:$I$89,3,0)*0.475*44/12</f>
        <v>3.2752646302255024E-19</v>
      </c>
      <c r="EY161" s="22">
        <f t="shared" si="181"/>
        <v>14.663701534802627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224.00000000000006</v>
      </c>
      <c r="O162" s="13">
        <f>N162*VLOOKUP('Données projet'!$B$9,Paramètres!$A$1:$I$89,3,0)*VLOOKUP('Données projet'!$B$9,Paramètres!$A$1:$I$89,5,0)</f>
        <v>195.68640000000008</v>
      </c>
      <c r="P162" s="13">
        <f t="shared" si="141"/>
        <v>48.794969360985156</v>
      </c>
      <c r="Q162" s="20">
        <f t="shared" si="162"/>
        <v>425.8050516370493</v>
      </c>
      <c r="R162" s="59">
        <f t="shared" si="109"/>
        <v>719.13838497038262</v>
      </c>
      <c r="S162" s="59">
        <f ca="1">AVERAGE(OFFSET($R$3,0,0,'Données projet'!$E$9+1,1))-AVERAGE(OFFSET($H$3,0,0,'Données projet'!$E$9+1,1))</f>
        <v>304.32767345253382</v>
      </c>
      <c r="T162" s="59">
        <f t="shared" si="142"/>
        <v>427.16091343339173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8.8714851008288349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8.8714851008288349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367.99999999999972</v>
      </c>
      <c r="AJ162" s="13">
        <f>AI162*VLOOKUP('Données projet'!$B$10,Paramètres!$A$1:$I$89,3,0)*VLOOKUP('Données projet'!$B$10,Paramètres!$A$1:$I$89,5,0)</f>
        <v>292.78079999999977</v>
      </c>
      <c r="AK162" s="13">
        <f t="shared" si="164"/>
        <v>69.660903052386217</v>
      </c>
      <c r="AL162" s="20">
        <f t="shared" si="165"/>
        <v>631.25263281623893</v>
      </c>
      <c r="AM162" s="59">
        <f t="shared" si="113"/>
        <v>924.58596614957219</v>
      </c>
      <c r="AN162" s="59">
        <f ca="1">AVERAGE(OFFSET($AM$3,0,0,'Données projet'!$E$10+1,1))-AVERAGE(OFFSET($H$3,0,0,'Données projet'!$E$10+1,1))</f>
        <v>405.40026823646758</v>
      </c>
      <c r="AO162" s="59">
        <f t="shared" si="144"/>
        <v>393.0787141050053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12.89268621150431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12.89268621150431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739.99999999999966</v>
      </c>
      <c r="BE162" s="13">
        <f>BD162*VLOOKUP('Données projet'!$B$11,Paramètres!$A$1:$I$89,3,0)*VLOOKUP('Données projet'!$B$11,Paramètres!$A$1:$I$89,5,0)</f>
        <v>413.65999999999985</v>
      </c>
      <c r="BF162" s="13">
        <f t="shared" si="167"/>
        <v>94.540585122244352</v>
      </c>
      <c r="BG162" s="20">
        <f t="shared" si="168"/>
        <v>885.11601908790863</v>
      </c>
      <c r="BH162" s="59">
        <f t="shared" si="116"/>
        <v>1178.4493524212419</v>
      </c>
      <c r="BI162" s="59">
        <f ca="1">AVERAGE(OFFSET($BH$3,0,0,'Données projet'!$E$11+1,1))-AVERAGE(OFFSET($H$3,0,0,'Données projet'!$E$11+1,1))</f>
        <v>555.15881087162279</v>
      </c>
      <c r="BJ162" s="59">
        <f t="shared" si="146"/>
        <v>668.20427590250733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17.384745904654491</v>
      </c>
      <c r="BQ162" s="21">
        <f>EXP(-LN(2)/25)*BQ161+(1-EXP(-LN(2)/25))/(LN(2)/25)*Calculateur!BL162*Calculateur!BN162*VLOOKUP('Données projet'!$B$11,Paramètres!$A$1:$I$89,3,0)*0.475*44/12</f>
        <v>1.6161259047296028</v>
      </c>
      <c r="BR162" s="21">
        <f>EXP(-LN(2)/2)*BR161+(1-EXP(-LN(2)/2))/(LN(2)/2)*BL162*BO162*VLOOKUP('Données projet'!$B$11,Paramètres!$A$1:$I$89,3,0)*0.475*44/12</f>
        <v>3.260101368048534E-20</v>
      </c>
      <c r="BS162" s="22">
        <f t="shared" si="169"/>
        <v>19.000871809384094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367.99999999999972</v>
      </c>
      <c r="BZ162" s="13">
        <f>BY162*VLOOKUP('Données projet'!$B$12,Paramètres!$A$1:$I$89,3,0)*VLOOKUP('Données projet'!$B$12,Paramètres!$A$1:$I$89,5,0)</f>
        <v>241.11359999999982</v>
      </c>
      <c r="CA162" s="13">
        <f t="shared" si="170"/>
        <v>58.6790623558988</v>
      </c>
      <c r="CB162" s="20">
        <f t="shared" si="171"/>
        <v>522.13888693652348</v>
      </c>
      <c r="CC162" s="59">
        <f t="shared" si="119"/>
        <v>815.47222026985673</v>
      </c>
      <c r="CD162" s="59">
        <f ca="1">AVERAGE(OFFSET($CC$3,0,0,'Données projet'!$E$12+1,1))-AVERAGE(OFFSET($H$3,0,0,'Données projet'!$E$12+1,1))</f>
        <v>340.49092994349405</v>
      </c>
      <c r="CE162" s="59">
        <f t="shared" si="148"/>
        <v>331.54434271908832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8.614203217897435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8.614203217897435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306.99999999999994</v>
      </c>
      <c r="CU162" s="17">
        <f>CT162*VLOOKUP('Données projet'!$B$13,Paramètres!$A$1:$I$89,3,0)*VLOOKUP('Données projet'!$B$13,Paramètres!$A$1:$I$89,5,0)</f>
        <v>277.77359999999993</v>
      </c>
      <c r="CV162" s="13">
        <f t="shared" si="173"/>
        <v>66.496288176842356</v>
      </c>
      <c r="CW162" s="20">
        <f t="shared" si="174"/>
        <v>599.60338857466706</v>
      </c>
      <c r="CX162" s="59">
        <f t="shared" si="122"/>
        <v>892.93672190800044</v>
      </c>
      <c r="CY162" s="59">
        <f ca="1">AVERAGE(OFFSET($CX$3,0,0,'Données projet'!$E$13+1,1))-AVERAGE(OFFSET($H$3,0,0,'Données projet'!$E$13+1,1))</f>
        <v>439.19854273764042</v>
      </c>
      <c r="CZ162" s="59">
        <f t="shared" si="150"/>
        <v>278.21741231699929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41.877880347822398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41.877880347822398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306.99999999999994</v>
      </c>
      <c r="DP162" s="17">
        <f>DO162*VLOOKUP('Données projet'!$B$14,Paramètres!$A$1:$I$89,3,0)*VLOOKUP('Données projet'!$B$14,Paramètres!$A$1:$I$89,5,0)</f>
        <v>258.61679999999996</v>
      </c>
      <c r="DQ162" s="13">
        <f t="shared" si="176"/>
        <v>62.427444141032439</v>
      </c>
      <c r="DR162" s="20">
        <f t="shared" si="177"/>
        <v>559.15205854563135</v>
      </c>
      <c r="DS162" s="59">
        <f t="shared" si="125"/>
        <v>852.48539187896472</v>
      </c>
      <c r="DT162" s="59">
        <f ca="1">AVERAGE(OFFSET($DS$3,0,0,'Données projet'!$E$14+1,1))-AVERAGE(OFFSET($H$3,0,0,'Données projet'!$E$14+1,1))</f>
        <v>411.72284844766</v>
      </c>
      <c r="DU162" s="59">
        <f t="shared" si="152"/>
        <v>261.95434270986397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38.989750668662225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38.989750668662225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636.99999999999977</v>
      </c>
      <c r="EK162" s="17">
        <f>EJ162*VLOOKUP('Données projet'!$B$15,Paramètres!$A$1:$I$89,3,0)*VLOOKUP('Données projet'!$B$15,Paramètres!$A$1:$I$89,5,0)</f>
        <v>356.08299999999991</v>
      </c>
      <c r="EL162" s="13">
        <f t="shared" si="179"/>
        <v>82.813805255716545</v>
      </c>
      <c r="EM162" s="20">
        <f t="shared" si="180"/>
        <v>764.41193582037283</v>
      </c>
      <c r="EN162" s="59">
        <f t="shared" si="128"/>
        <v>1057.7452691537062</v>
      </c>
      <c r="EO162" s="59">
        <f ca="1">AVERAGE(OFFSET($EN$3,0,0,'Données projet'!$E$15+1,1))-AVERAGE(OFFSET($H$3,0,0,'Données projet'!$E$15+1,1))</f>
        <v>443.34220761968419</v>
      </c>
      <c r="EP162" s="59">
        <f t="shared" si="154"/>
        <v>546.58234447298014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13.757699272513801</v>
      </c>
      <c r="EW162" s="21">
        <f>EXP(-LN(2)/25)*EW161+(1-EXP(-LN(2)/25))/(LN(2)/25)*Calculateur!ER162*Calculateur!ET162*VLOOKUP('Données projet'!$B$15,Paramètres!$A$1:$I$89,3,0)*0.475*44/12</f>
        <v>0.61357616107298785</v>
      </c>
      <c r="EX162" s="21">
        <f>EXP(-LN(2)/2)*EX161+(1-EXP(-LN(2)/2))/(LN(2)/2)*ER162*EU162*VLOOKUP('Données projet'!$B$15,Paramètres!$A$1:$I$89,3,0)*0.475*44/12</f>
        <v>2.3159618302129028E-19</v>
      </c>
      <c r="EY162" s="22">
        <f t="shared" si="181"/>
        <v>14.371275433586788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224.00000000000006</v>
      </c>
      <c r="O163" s="13">
        <f>N163*VLOOKUP('Données projet'!$B$9,Paramètres!$A$1:$I$89,3,0)*VLOOKUP('Données projet'!$B$9,Paramètres!$A$1:$I$89,5,0)</f>
        <v>195.68640000000008</v>
      </c>
      <c r="P163" s="13">
        <f t="shared" si="141"/>
        <v>48.794969360985156</v>
      </c>
      <c r="Q163" s="20">
        <f t="shared" si="162"/>
        <v>425.8050516370493</v>
      </c>
      <c r="R163" s="59">
        <f t="shared" si="109"/>
        <v>719.13838497038262</v>
      </c>
      <c r="S163" s="59">
        <f ca="1">AVERAGE(OFFSET($R$3,0,0,'Données projet'!$E$9+1,1))-AVERAGE(OFFSET($H$3,0,0,'Données projet'!$E$9+1,1))</f>
        <v>304.32767345253382</v>
      </c>
      <c r="T163" s="59">
        <f t="shared" si="142"/>
        <v>427.16091343339173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8.697520689073194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8.697520689073194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367.99999999999972</v>
      </c>
      <c r="AJ163" s="13">
        <f>AI163*VLOOKUP('Données projet'!$B$10,Paramètres!$A$1:$I$89,3,0)*VLOOKUP('Données projet'!$B$10,Paramètres!$A$1:$I$89,5,0)</f>
        <v>292.78079999999977</v>
      </c>
      <c r="AK163" s="13">
        <f t="shared" si="164"/>
        <v>69.660903052386217</v>
      </c>
      <c r="AL163" s="20">
        <f t="shared" si="165"/>
        <v>631.25263281623893</v>
      </c>
      <c r="AM163" s="59">
        <f t="shared" si="113"/>
        <v>924.58596614957219</v>
      </c>
      <c r="AN163" s="59">
        <f ca="1">AVERAGE(OFFSET($AM$3,0,0,'Données projet'!$E$10+1,1))-AVERAGE(OFFSET($H$3,0,0,'Données projet'!$E$10+1,1))</f>
        <v>405.40026823646758</v>
      </c>
      <c r="AO163" s="59">
        <f t="shared" si="144"/>
        <v>393.0787141050053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12.639868498658817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12.639868498658817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739.99999999999966</v>
      </c>
      <c r="BE163" s="13">
        <f>BD163*VLOOKUP('Données projet'!$B$11,Paramètres!$A$1:$I$89,3,0)*VLOOKUP('Données projet'!$B$11,Paramètres!$A$1:$I$89,5,0)</f>
        <v>413.65999999999985</v>
      </c>
      <c r="BF163" s="13">
        <f t="shared" si="167"/>
        <v>94.540585122244352</v>
      </c>
      <c r="BG163" s="20">
        <f t="shared" si="168"/>
        <v>885.11601908790863</v>
      </c>
      <c r="BH163" s="59">
        <f t="shared" si="116"/>
        <v>1178.4493524212419</v>
      </c>
      <c r="BI163" s="59">
        <f ca="1">AVERAGE(OFFSET($BH$3,0,0,'Données projet'!$E$11+1,1))-AVERAGE(OFFSET($H$3,0,0,'Données projet'!$E$11+1,1))</f>
        <v>555.15881087162279</v>
      </c>
      <c r="BJ163" s="59">
        <f t="shared" si="146"/>
        <v>668.20427590250733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17.043841641112195</v>
      </c>
      <c r="BQ163" s="21">
        <f>EXP(-LN(2)/25)*BQ162+(1-EXP(-LN(2)/25))/(LN(2)/25)*Calculateur!BL163*Calculateur!BN163*VLOOKUP('Données projet'!$B$11,Paramètres!$A$1:$I$89,3,0)*0.475*44/12</f>
        <v>1.5719328568764042</v>
      </c>
      <c r="BR163" s="21">
        <f>EXP(-LN(2)/2)*BR162+(1-EXP(-LN(2)/2))/(LN(2)/2)*BL163*BO163*VLOOKUP('Données projet'!$B$11,Paramètres!$A$1:$I$89,3,0)*0.475*44/12</f>
        <v>2.305239784702659E-20</v>
      </c>
      <c r="BS163" s="22">
        <f t="shared" si="169"/>
        <v>18.6157744979886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367.99999999999972</v>
      </c>
      <c r="BZ163" s="13">
        <f>BY163*VLOOKUP('Données projet'!$B$12,Paramètres!$A$1:$I$89,3,0)*VLOOKUP('Données projet'!$B$12,Paramètres!$A$1:$I$89,5,0)</f>
        <v>241.11359999999982</v>
      </c>
      <c r="CA163" s="13">
        <f t="shared" si="170"/>
        <v>58.6790623558988</v>
      </c>
      <c r="CB163" s="20">
        <f t="shared" si="171"/>
        <v>522.13888693652348</v>
      </c>
      <c r="CC163" s="59">
        <f t="shared" si="119"/>
        <v>815.47222026985673</v>
      </c>
      <c r="CD163" s="59">
        <f ca="1">AVERAGE(OFFSET($CC$3,0,0,'Données projet'!$E$12+1,1))-AVERAGE(OFFSET($H$3,0,0,'Données projet'!$E$12+1,1))</f>
        <v>340.49092994349405</v>
      </c>
      <c r="CE163" s="59">
        <f t="shared" si="148"/>
        <v>331.54434271908832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8.4452839469396253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8.4452839469396253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306.99999999999994</v>
      </c>
      <c r="CU163" s="17">
        <f>CT163*VLOOKUP('Données projet'!$B$13,Paramètres!$A$1:$I$89,3,0)*VLOOKUP('Données projet'!$B$13,Paramètres!$A$1:$I$89,5,0)</f>
        <v>277.77359999999993</v>
      </c>
      <c r="CV163" s="13">
        <f t="shared" si="173"/>
        <v>66.496288176842356</v>
      </c>
      <c r="CW163" s="20">
        <f t="shared" si="174"/>
        <v>599.60338857466706</v>
      </c>
      <c r="CX163" s="59">
        <f t="shared" si="122"/>
        <v>892.93672190800044</v>
      </c>
      <c r="CY163" s="59">
        <f ca="1">AVERAGE(OFFSET($CX$3,0,0,'Données projet'!$E$13+1,1))-AVERAGE(OFFSET($H$3,0,0,'Données projet'!$E$13+1,1))</f>
        <v>439.19854273764042</v>
      </c>
      <c r="CZ163" s="59">
        <f t="shared" si="150"/>
        <v>278.21741231699929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41.056680657186455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41.056680657186455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306.99999999999994</v>
      </c>
      <c r="DP163" s="17">
        <f>DO163*VLOOKUP('Données projet'!$B$14,Paramètres!$A$1:$I$89,3,0)*VLOOKUP('Données projet'!$B$14,Paramètres!$A$1:$I$89,5,0)</f>
        <v>258.61679999999996</v>
      </c>
      <c r="DQ163" s="13">
        <f t="shared" si="176"/>
        <v>62.427444141032439</v>
      </c>
      <c r="DR163" s="20">
        <f t="shared" si="177"/>
        <v>559.15205854563135</v>
      </c>
      <c r="DS163" s="59">
        <f t="shared" si="125"/>
        <v>852.48539187896472</v>
      </c>
      <c r="DT163" s="59">
        <f ca="1">AVERAGE(OFFSET($DS$3,0,0,'Données projet'!$E$14+1,1))-AVERAGE(OFFSET($H$3,0,0,'Données projet'!$E$14+1,1))</f>
        <v>411.72284844766</v>
      </c>
      <c r="DU163" s="59">
        <f t="shared" si="152"/>
        <v>261.95434270986397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38.225185439449447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38.225185439449447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636.99999999999977</v>
      </c>
      <c r="EK163" s="17">
        <f>EJ163*VLOOKUP('Données projet'!$B$15,Paramètres!$A$1:$I$89,3,0)*VLOOKUP('Données projet'!$B$15,Paramètres!$A$1:$I$89,5,0)</f>
        <v>356.08299999999991</v>
      </c>
      <c r="EL163" s="13">
        <f t="shared" si="179"/>
        <v>82.813805255716545</v>
      </c>
      <c r="EM163" s="20">
        <f t="shared" si="180"/>
        <v>764.41193582037283</v>
      </c>
      <c r="EN163" s="59">
        <f t="shared" si="128"/>
        <v>1057.7452691537062</v>
      </c>
      <c r="EO163" s="59">
        <f ca="1">AVERAGE(OFFSET($EN$3,0,0,'Données projet'!$E$15+1,1))-AVERAGE(OFFSET($H$3,0,0,'Données projet'!$E$15+1,1))</f>
        <v>443.34220761968419</v>
      </c>
      <c r="EP163" s="59">
        <f t="shared" si="154"/>
        <v>546.58234447298014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13.487919181147783</v>
      </c>
      <c r="EW163" s="21">
        <f>EXP(-LN(2)/25)*EW162+(1-EXP(-LN(2)/25))/(LN(2)/25)*Calculateur!ER163*Calculateur!ET163*VLOOKUP('Données projet'!$B$15,Paramètres!$A$1:$I$89,3,0)*0.475*44/12</f>
        <v>0.596797888681879</v>
      </c>
      <c r="EX163" s="21">
        <f>EXP(-LN(2)/2)*EX162+(1-EXP(-LN(2)/2))/(LN(2)/2)*ER163*EU163*VLOOKUP('Données projet'!$B$15,Paramètres!$A$1:$I$89,3,0)*0.475*44/12</f>
        <v>1.6376323151127512E-19</v>
      </c>
      <c r="EY163" s="22">
        <f t="shared" si="181"/>
        <v>14.084717069829662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224.00000000000006</v>
      </c>
      <c r="O164" s="13">
        <f>N164*VLOOKUP('Données projet'!$B$9,Paramètres!$A$1:$I$89,3,0)*VLOOKUP('Données projet'!$B$9,Paramètres!$A$1:$I$89,5,0)</f>
        <v>195.68640000000008</v>
      </c>
      <c r="P164" s="13">
        <f t="shared" si="141"/>
        <v>48.794969360985156</v>
      </c>
      <c r="Q164" s="20">
        <f t="shared" si="162"/>
        <v>425.8050516370493</v>
      </c>
      <c r="R164" s="59">
        <f t="shared" si="109"/>
        <v>719.13838497038262</v>
      </c>
      <c r="S164" s="59">
        <f ca="1">AVERAGE(OFFSET($R$3,0,0,'Données projet'!$E$9+1,1))-AVERAGE(OFFSET($H$3,0,0,'Données projet'!$E$9+1,1))</f>
        <v>304.32767345253382</v>
      </c>
      <c r="T164" s="59">
        <f t="shared" si="142"/>
        <v>427.16091343339173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8.5269676133242669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8.5269676133242669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367.99999999999972</v>
      </c>
      <c r="AJ164" s="13">
        <f>AI164*VLOOKUP('Données projet'!$B$10,Paramètres!$A$1:$I$89,3,0)*VLOOKUP('Données projet'!$B$10,Paramètres!$A$1:$I$89,5,0)</f>
        <v>292.78079999999977</v>
      </c>
      <c r="AK164" s="13">
        <f t="shared" si="164"/>
        <v>69.660903052386217</v>
      </c>
      <c r="AL164" s="20">
        <f t="shared" si="165"/>
        <v>631.25263281623893</v>
      </c>
      <c r="AM164" s="59">
        <f t="shared" si="113"/>
        <v>924.58596614957219</v>
      </c>
      <c r="AN164" s="59">
        <f ca="1">AVERAGE(OFFSET($AM$3,0,0,'Données projet'!$E$10+1,1))-AVERAGE(OFFSET($H$3,0,0,'Données projet'!$E$10+1,1))</f>
        <v>405.40026823646758</v>
      </c>
      <c r="AO164" s="59">
        <f t="shared" si="144"/>
        <v>393.0787141050053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12.392008386958647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12.392008386958647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739.99999999999966</v>
      </c>
      <c r="BE164" s="13">
        <f>BD164*VLOOKUP('Données projet'!$B$11,Paramètres!$A$1:$I$89,3,0)*VLOOKUP('Données projet'!$B$11,Paramètres!$A$1:$I$89,5,0)</f>
        <v>413.65999999999985</v>
      </c>
      <c r="BF164" s="13">
        <f t="shared" si="167"/>
        <v>94.540585122244352</v>
      </c>
      <c r="BG164" s="20">
        <f t="shared" si="168"/>
        <v>885.11601908790863</v>
      </c>
      <c r="BH164" s="59">
        <f t="shared" si="116"/>
        <v>1178.4493524212419</v>
      </c>
      <c r="BI164" s="59">
        <f ca="1">AVERAGE(OFFSET($BH$3,0,0,'Données projet'!$E$11+1,1))-AVERAGE(OFFSET($H$3,0,0,'Données projet'!$E$11+1,1))</f>
        <v>555.15881087162279</v>
      </c>
      <c r="BJ164" s="59">
        <f t="shared" si="146"/>
        <v>668.20427590250733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16.709622302246895</v>
      </c>
      <c r="BQ164" s="21">
        <f>EXP(-LN(2)/25)*BQ163+(1-EXP(-LN(2)/25))/(LN(2)/25)*Calculateur!BL164*Calculateur!BN164*VLOOKUP('Données projet'!$B$11,Paramètres!$A$1:$I$89,3,0)*0.475*44/12</f>
        <v>1.5289482702407626</v>
      </c>
      <c r="BR164" s="21">
        <f>EXP(-LN(2)/2)*BR163+(1-EXP(-LN(2)/2))/(LN(2)/2)*BL164*BO164*VLOOKUP('Données projet'!$B$11,Paramètres!$A$1:$I$89,3,0)*0.475*44/12</f>
        <v>1.630050684024267E-20</v>
      </c>
      <c r="BS164" s="22">
        <f t="shared" si="169"/>
        <v>18.238570572487657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367.99999999999972</v>
      </c>
      <c r="BZ164" s="13">
        <f>BY164*VLOOKUP('Données projet'!$B$12,Paramètres!$A$1:$I$89,3,0)*VLOOKUP('Données projet'!$B$12,Paramètres!$A$1:$I$89,5,0)</f>
        <v>241.11359999999982</v>
      </c>
      <c r="CA164" s="13">
        <f t="shared" si="170"/>
        <v>58.6790623558988</v>
      </c>
      <c r="CB164" s="20">
        <f t="shared" si="171"/>
        <v>522.13888693652348</v>
      </c>
      <c r="CC164" s="59">
        <f t="shared" si="119"/>
        <v>815.47222026985673</v>
      </c>
      <c r="CD164" s="59">
        <f ca="1">AVERAGE(OFFSET($CC$3,0,0,'Données projet'!$E$12+1,1))-AVERAGE(OFFSET($H$3,0,0,'Données projet'!$E$12+1,1))</f>
        <v>340.49092994349405</v>
      </c>
      <c r="CE164" s="59">
        <f t="shared" si="148"/>
        <v>331.54434271908832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8.2796770798547161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8.2796770798547161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306.99999999999994</v>
      </c>
      <c r="CU164" s="17">
        <f>CT164*VLOOKUP('Données projet'!$B$13,Paramètres!$A$1:$I$89,3,0)*VLOOKUP('Données projet'!$B$13,Paramètres!$A$1:$I$89,5,0)</f>
        <v>277.77359999999993</v>
      </c>
      <c r="CV164" s="13">
        <f t="shared" si="173"/>
        <v>66.496288176842356</v>
      </c>
      <c r="CW164" s="20">
        <f t="shared" si="174"/>
        <v>599.60338857466706</v>
      </c>
      <c r="CX164" s="59">
        <f t="shared" si="122"/>
        <v>892.93672190800044</v>
      </c>
      <c r="CY164" s="59">
        <f ca="1">AVERAGE(OFFSET($CX$3,0,0,'Données projet'!$E$13+1,1))-AVERAGE(OFFSET($H$3,0,0,'Données projet'!$E$13+1,1))</f>
        <v>439.19854273764042</v>
      </c>
      <c r="CZ164" s="59">
        <f t="shared" si="150"/>
        <v>278.21741231699929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40.25158419160153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40.25158419160153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306.99999999999994</v>
      </c>
      <c r="DP164" s="17">
        <f>DO164*VLOOKUP('Données projet'!$B$14,Paramètres!$A$1:$I$89,3,0)*VLOOKUP('Données projet'!$B$14,Paramètres!$A$1:$I$89,5,0)</f>
        <v>258.61679999999996</v>
      </c>
      <c r="DQ164" s="13">
        <f t="shared" si="176"/>
        <v>62.427444141032439</v>
      </c>
      <c r="DR164" s="20">
        <f t="shared" si="177"/>
        <v>559.15205854563135</v>
      </c>
      <c r="DS164" s="59">
        <f t="shared" si="125"/>
        <v>852.48539187896472</v>
      </c>
      <c r="DT164" s="59">
        <f ca="1">AVERAGE(OFFSET($DS$3,0,0,'Données projet'!$E$14+1,1))-AVERAGE(OFFSET($H$3,0,0,'Données projet'!$E$14+1,1))</f>
        <v>411.72284844766</v>
      </c>
      <c r="DU164" s="59">
        <f t="shared" si="152"/>
        <v>261.95434270986397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37.475612868042788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37.475612868042788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636.99999999999977</v>
      </c>
      <c r="EK164" s="17">
        <f>EJ164*VLOOKUP('Données projet'!$B$15,Paramètres!$A$1:$I$89,3,0)*VLOOKUP('Données projet'!$B$15,Paramètres!$A$1:$I$89,5,0)</f>
        <v>356.08299999999991</v>
      </c>
      <c r="EL164" s="13">
        <f t="shared" si="179"/>
        <v>82.813805255716545</v>
      </c>
      <c r="EM164" s="20">
        <f t="shared" si="180"/>
        <v>764.41193582037283</v>
      </c>
      <c r="EN164" s="59">
        <f t="shared" si="128"/>
        <v>1057.7452691537062</v>
      </c>
      <c r="EO164" s="59">
        <f ca="1">AVERAGE(OFFSET($EN$3,0,0,'Données projet'!$E$15+1,1))-AVERAGE(OFFSET($H$3,0,0,'Données projet'!$E$15+1,1))</f>
        <v>443.34220761968419</v>
      </c>
      <c r="EP164" s="59">
        <f t="shared" si="154"/>
        <v>546.58234447298014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13.223429312823844</v>
      </c>
      <c r="EW164" s="21">
        <f>EXP(-LN(2)/25)*EW163+(1-EXP(-LN(2)/25))/(LN(2)/25)*Calculateur!ER164*Calculateur!ET164*VLOOKUP('Données projet'!$B$15,Paramètres!$A$1:$I$89,3,0)*0.475*44/12</f>
        <v>0.58047841903163599</v>
      </c>
      <c r="EX164" s="21">
        <f>EXP(-LN(2)/2)*EX163+(1-EXP(-LN(2)/2))/(LN(2)/2)*ER164*EU164*VLOOKUP('Données projet'!$B$15,Paramètres!$A$1:$I$89,3,0)*0.475*44/12</f>
        <v>1.1579809151064514E-19</v>
      </c>
      <c r="EY164" s="22">
        <f t="shared" si="181"/>
        <v>13.80390773185548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224.00000000000006</v>
      </c>
      <c r="O165" s="13">
        <f>N165*VLOOKUP('Données projet'!$B$9,Paramètres!$A$1:$I$89,3,0)*VLOOKUP('Données projet'!$B$9,Paramètres!$A$1:$I$89,5,0)</f>
        <v>195.68640000000008</v>
      </c>
      <c r="P165" s="13">
        <f t="shared" si="141"/>
        <v>48.794969360985156</v>
      </c>
      <c r="Q165" s="20">
        <f t="shared" si="162"/>
        <v>425.8050516370493</v>
      </c>
      <c r="R165" s="59">
        <f t="shared" si="109"/>
        <v>719.13838497038262</v>
      </c>
      <c r="S165" s="59">
        <f ca="1">AVERAGE(OFFSET($R$3,0,0,'Données projet'!$E$9+1,1))-AVERAGE(OFFSET($H$3,0,0,'Données projet'!$E$9+1,1))</f>
        <v>304.32767345253382</v>
      </c>
      <c r="T165" s="59">
        <f t="shared" si="142"/>
        <v>427.16091343339173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8.3597589793636722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8.3597589793636722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367.99999999999972</v>
      </c>
      <c r="AJ165" s="13">
        <f>AI165*VLOOKUP('Données projet'!$B$10,Paramètres!$A$1:$I$89,3,0)*VLOOKUP('Données projet'!$B$10,Paramètres!$A$1:$I$89,5,0)</f>
        <v>292.78079999999977</v>
      </c>
      <c r="AK165" s="13">
        <f t="shared" si="164"/>
        <v>69.660903052386217</v>
      </c>
      <c r="AL165" s="20">
        <f t="shared" si="165"/>
        <v>631.25263281623893</v>
      </c>
      <c r="AM165" s="59">
        <f t="shared" si="113"/>
        <v>924.58596614957219</v>
      </c>
      <c r="AN165" s="59">
        <f ca="1">AVERAGE(OFFSET($AM$3,0,0,'Données projet'!$E$10+1,1))-AVERAGE(OFFSET($H$3,0,0,'Données projet'!$E$10+1,1))</f>
        <v>405.40026823646758</v>
      </c>
      <c r="AO165" s="59">
        <f t="shared" si="144"/>
        <v>393.0787141050053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12.149008660869177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12.149008660869177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739.99999999999966</v>
      </c>
      <c r="BE165" s="13">
        <f>BD165*VLOOKUP('Données projet'!$B$11,Paramètres!$A$1:$I$89,3,0)*VLOOKUP('Données projet'!$B$11,Paramètres!$A$1:$I$89,5,0)</f>
        <v>413.65999999999985</v>
      </c>
      <c r="BF165" s="13">
        <f t="shared" si="167"/>
        <v>94.540585122244352</v>
      </c>
      <c r="BG165" s="20">
        <f t="shared" si="168"/>
        <v>885.11601908790863</v>
      </c>
      <c r="BH165" s="59">
        <f t="shared" si="116"/>
        <v>1178.4493524212419</v>
      </c>
      <c r="BI165" s="59">
        <f ca="1">AVERAGE(OFFSET($BH$3,0,0,'Données projet'!$E$11+1,1))-AVERAGE(OFFSET($H$3,0,0,'Données projet'!$E$11+1,1))</f>
        <v>555.15881087162279</v>
      </c>
      <c r="BJ165" s="59">
        <f t="shared" si="146"/>
        <v>668.20427590250733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16.381956800763074</v>
      </c>
      <c r="BQ165" s="21">
        <f>EXP(-LN(2)/25)*BQ164+(1-EXP(-LN(2)/25))/(LN(2)/25)*Calculateur!BL165*Calculateur!BN165*VLOOKUP('Données projet'!$B$11,Paramètres!$A$1:$I$89,3,0)*0.475*44/12</f>
        <v>1.4871390993871338</v>
      </c>
      <c r="BR165" s="21">
        <f>EXP(-LN(2)/2)*BR164+(1-EXP(-LN(2)/2))/(LN(2)/2)*BL165*BO165*VLOOKUP('Données projet'!$B$11,Paramètres!$A$1:$I$89,3,0)*0.475*44/12</f>
        <v>1.1526198923513295E-20</v>
      </c>
      <c r="BS165" s="22">
        <f t="shared" si="169"/>
        <v>17.869095900150207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367.99999999999972</v>
      </c>
      <c r="BZ165" s="13">
        <f>BY165*VLOOKUP('Données projet'!$B$12,Paramètres!$A$1:$I$89,3,0)*VLOOKUP('Données projet'!$B$12,Paramètres!$A$1:$I$89,5,0)</f>
        <v>241.11359999999982</v>
      </c>
      <c r="CA165" s="13">
        <f t="shared" si="170"/>
        <v>58.6790623558988</v>
      </c>
      <c r="CB165" s="20">
        <f t="shared" si="171"/>
        <v>522.13888693652348</v>
      </c>
      <c r="CC165" s="59">
        <f t="shared" si="119"/>
        <v>815.47222026985673</v>
      </c>
      <c r="CD165" s="59">
        <f ca="1">AVERAGE(OFFSET($CC$3,0,0,'Données projet'!$E$12+1,1))-AVERAGE(OFFSET($H$3,0,0,'Données projet'!$E$12+1,1))</f>
        <v>340.49092994349405</v>
      </c>
      <c r="CE165" s="59">
        <f t="shared" si="148"/>
        <v>331.54434271908832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8.1173176624231278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8.1173176624231278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306.99999999999994</v>
      </c>
      <c r="CU165" s="17">
        <f>CT165*VLOOKUP('Données projet'!$B$13,Paramètres!$A$1:$I$89,3,0)*VLOOKUP('Données projet'!$B$13,Paramètres!$A$1:$I$89,5,0)</f>
        <v>277.77359999999993</v>
      </c>
      <c r="CV165" s="13">
        <f t="shared" si="173"/>
        <v>66.496288176842356</v>
      </c>
      <c r="CW165" s="20">
        <f t="shared" si="174"/>
        <v>599.60338857466706</v>
      </c>
      <c r="CX165" s="59">
        <f t="shared" si="122"/>
        <v>892.93672190800044</v>
      </c>
      <c r="CY165" s="59">
        <f ca="1">AVERAGE(OFFSET($CX$3,0,0,'Données projet'!$E$13+1,1))-AVERAGE(OFFSET($H$3,0,0,'Données projet'!$E$13+1,1))</f>
        <v>439.19854273764042</v>
      </c>
      <c r="CZ165" s="59">
        <f t="shared" si="150"/>
        <v>278.21741231699929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39.462275176646365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39.462275176646365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306.99999999999994</v>
      </c>
      <c r="DP165" s="17">
        <f>DO165*VLOOKUP('Données projet'!$B$14,Paramètres!$A$1:$I$89,3,0)*VLOOKUP('Données projet'!$B$14,Paramètres!$A$1:$I$89,5,0)</f>
        <v>258.61679999999996</v>
      </c>
      <c r="DQ165" s="13">
        <f t="shared" si="176"/>
        <v>62.427444141032439</v>
      </c>
      <c r="DR165" s="20">
        <f t="shared" si="177"/>
        <v>559.15205854563135</v>
      </c>
      <c r="DS165" s="59">
        <f t="shared" si="125"/>
        <v>852.48539187896472</v>
      </c>
      <c r="DT165" s="59">
        <f ca="1">AVERAGE(OFFSET($DS$3,0,0,'Données projet'!$E$14+1,1))-AVERAGE(OFFSET($H$3,0,0,'Données projet'!$E$14+1,1))</f>
        <v>411.72284844766</v>
      </c>
      <c r="DU165" s="59">
        <f t="shared" si="152"/>
        <v>261.95434270986397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36.740738957567288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36.740738957567288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636.99999999999977</v>
      </c>
      <c r="EK165" s="17">
        <f>EJ165*VLOOKUP('Données projet'!$B$15,Paramètres!$A$1:$I$89,3,0)*VLOOKUP('Données projet'!$B$15,Paramètres!$A$1:$I$89,5,0)</f>
        <v>356.08299999999991</v>
      </c>
      <c r="EL165" s="13">
        <f t="shared" si="179"/>
        <v>82.813805255716545</v>
      </c>
      <c r="EM165" s="20">
        <f t="shared" si="180"/>
        <v>764.41193582037283</v>
      </c>
      <c r="EN165" s="59">
        <f t="shared" si="128"/>
        <v>1057.7452691537062</v>
      </c>
      <c r="EO165" s="59">
        <f ca="1">AVERAGE(OFFSET($EN$3,0,0,'Données projet'!$E$15+1,1))-AVERAGE(OFFSET($H$3,0,0,'Données projet'!$E$15+1,1))</f>
        <v>443.34220761968419</v>
      </c>
      <c r="EP165" s="59">
        <f t="shared" si="154"/>
        <v>546.58234447298014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12.964125929494848</v>
      </c>
      <c r="EW165" s="21">
        <f>EXP(-LN(2)/25)*EW164+(1-EXP(-LN(2)/25))/(LN(2)/25)*Calculateur!ER165*Calculateur!ET165*VLOOKUP('Données projet'!$B$15,Paramètres!$A$1:$I$89,3,0)*0.475*44/12</f>
        <v>0.56460520613718257</v>
      </c>
      <c r="EX165" s="21">
        <f>EXP(-LN(2)/2)*EX164+(1-EXP(-LN(2)/2))/(LN(2)/2)*ER165*EU165*VLOOKUP('Données projet'!$B$15,Paramètres!$A$1:$I$89,3,0)*0.475*44/12</f>
        <v>8.188161575563756E-20</v>
      </c>
      <c r="EY165" s="22">
        <f t="shared" si="181"/>
        <v>13.528731135632031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224.00000000000006</v>
      </c>
      <c r="O166" s="13">
        <f>N166*VLOOKUP('Données projet'!$B$9,Paramètres!$A$1:$I$89,3,0)*VLOOKUP('Données projet'!$B$9,Paramètres!$A$1:$I$89,5,0)</f>
        <v>195.68640000000008</v>
      </c>
      <c r="P166" s="13">
        <f t="shared" si="141"/>
        <v>48.794969360985156</v>
      </c>
      <c r="Q166" s="20">
        <f t="shared" si="162"/>
        <v>425.8050516370493</v>
      </c>
      <c r="R166" s="59">
        <f t="shared" si="109"/>
        <v>719.13838497038262</v>
      </c>
      <c r="S166" s="59">
        <f ca="1">AVERAGE(OFFSET($R$3,0,0,'Données projet'!$E$9+1,1))-AVERAGE(OFFSET($H$3,0,0,'Données projet'!$E$9+1,1))</f>
        <v>304.32767345253382</v>
      </c>
      <c r="T166" s="59">
        <f t="shared" si="142"/>
        <v>427.16091343339173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8.1958292047278487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8.1958292047278487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367.99999999999972</v>
      </c>
      <c r="AJ166" s="13">
        <f>AI166*VLOOKUP('Données projet'!$B$10,Paramètres!$A$1:$I$89,3,0)*VLOOKUP('Données projet'!$B$10,Paramètres!$A$1:$I$89,5,0)</f>
        <v>292.78079999999977</v>
      </c>
      <c r="AK166" s="13">
        <f t="shared" si="164"/>
        <v>69.660903052386217</v>
      </c>
      <c r="AL166" s="20">
        <f t="shared" si="165"/>
        <v>631.25263281623893</v>
      </c>
      <c r="AM166" s="59">
        <f t="shared" si="113"/>
        <v>924.58596614957219</v>
      </c>
      <c r="AN166" s="59">
        <f ca="1">AVERAGE(OFFSET($AM$3,0,0,'Données projet'!$E$10+1,1))-AVERAGE(OFFSET($H$3,0,0,'Données projet'!$E$10+1,1))</f>
        <v>405.40026823646758</v>
      </c>
      <c r="AO166" s="59">
        <f t="shared" si="144"/>
        <v>393.0787141050053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11.910774011193123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11.910774011193123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739.99999999999966</v>
      </c>
      <c r="BE166" s="13">
        <f>BD166*VLOOKUP('Données projet'!$B$11,Paramètres!$A$1:$I$89,3,0)*VLOOKUP('Données projet'!$B$11,Paramètres!$A$1:$I$89,5,0)</f>
        <v>413.65999999999985</v>
      </c>
      <c r="BF166" s="13">
        <f t="shared" si="167"/>
        <v>94.540585122244352</v>
      </c>
      <c r="BG166" s="20">
        <f t="shared" si="168"/>
        <v>885.11601908790863</v>
      </c>
      <c r="BH166" s="59">
        <f t="shared" si="116"/>
        <v>1178.4493524212419</v>
      </c>
      <c r="BI166" s="59">
        <f ca="1">AVERAGE(OFFSET($BH$3,0,0,'Données projet'!$E$11+1,1))-AVERAGE(OFFSET($H$3,0,0,'Données projet'!$E$11+1,1))</f>
        <v>555.15881087162279</v>
      </c>
      <c r="BJ166" s="59">
        <f t="shared" si="146"/>
        <v>668.20427590250733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16.060716619907129</v>
      </c>
      <c r="BQ166" s="21">
        <f>EXP(-LN(2)/25)*BQ165+(1-EXP(-LN(2)/25))/(LN(2)/25)*Calculateur!BL166*Calculateur!BN166*VLOOKUP('Données projet'!$B$11,Paramètres!$A$1:$I$89,3,0)*0.475*44/12</f>
        <v>1.4464732025091462</v>
      </c>
      <c r="BR166" s="21">
        <f>EXP(-LN(2)/2)*BR165+(1-EXP(-LN(2)/2))/(LN(2)/2)*BL166*BO166*VLOOKUP('Données projet'!$B$11,Paramètres!$A$1:$I$89,3,0)*0.475*44/12</f>
        <v>8.150253420121335E-21</v>
      </c>
      <c r="BS166" s="22">
        <f t="shared" si="169"/>
        <v>17.507189822416276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367.99999999999972</v>
      </c>
      <c r="BZ166" s="13">
        <f>BY166*VLOOKUP('Données projet'!$B$12,Paramètres!$A$1:$I$89,3,0)*VLOOKUP('Données projet'!$B$12,Paramètres!$A$1:$I$89,5,0)</f>
        <v>241.11359999999982</v>
      </c>
      <c r="CA166" s="13">
        <f t="shared" si="170"/>
        <v>58.6790623558988</v>
      </c>
      <c r="CB166" s="20">
        <f t="shared" si="171"/>
        <v>522.13888693652348</v>
      </c>
      <c r="CC166" s="59">
        <f t="shared" si="119"/>
        <v>815.47222026985673</v>
      </c>
      <c r="CD166" s="59">
        <f ca="1">AVERAGE(OFFSET($CC$3,0,0,'Données projet'!$E$12+1,1))-AVERAGE(OFFSET($H$3,0,0,'Données projet'!$E$12+1,1))</f>
        <v>340.49092994349405</v>
      </c>
      <c r="CE166" s="59">
        <f t="shared" si="148"/>
        <v>331.54434271908832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7.9581420141379065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7.9581420141379065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306.99999999999994</v>
      </c>
      <c r="CU166" s="17">
        <f>CT166*VLOOKUP('Données projet'!$B$13,Paramètres!$A$1:$I$89,3,0)*VLOOKUP('Données projet'!$B$13,Paramètres!$A$1:$I$89,5,0)</f>
        <v>277.77359999999993</v>
      </c>
      <c r="CV166" s="13">
        <f t="shared" si="173"/>
        <v>66.496288176842356</v>
      </c>
      <c r="CW166" s="20">
        <f t="shared" si="174"/>
        <v>599.60338857466706</v>
      </c>
      <c r="CX166" s="59">
        <f t="shared" si="122"/>
        <v>892.93672190800044</v>
      </c>
      <c r="CY166" s="59">
        <f ca="1">AVERAGE(OFFSET($CX$3,0,0,'Données projet'!$E$13+1,1))-AVERAGE(OFFSET($H$3,0,0,'Données projet'!$E$13+1,1))</f>
        <v>439.19854273764042</v>
      </c>
      <c r="CZ166" s="59">
        <f t="shared" si="150"/>
        <v>278.21741231699929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38.688444030043513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38.688444030043513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306.99999999999994</v>
      </c>
      <c r="DP166" s="17">
        <f>DO166*VLOOKUP('Données projet'!$B$14,Paramètres!$A$1:$I$89,3,0)*VLOOKUP('Données projet'!$B$14,Paramètres!$A$1:$I$89,5,0)</f>
        <v>258.61679999999996</v>
      </c>
      <c r="DQ166" s="13">
        <f t="shared" si="176"/>
        <v>62.427444141032439</v>
      </c>
      <c r="DR166" s="20">
        <f t="shared" si="177"/>
        <v>559.15205854563135</v>
      </c>
      <c r="DS166" s="59">
        <f t="shared" si="125"/>
        <v>852.48539187896472</v>
      </c>
      <c r="DT166" s="59">
        <f ca="1">AVERAGE(OFFSET($DS$3,0,0,'Données projet'!$E$14+1,1))-AVERAGE(OFFSET($H$3,0,0,'Données projet'!$E$14+1,1))</f>
        <v>411.72284844766</v>
      </c>
      <c r="DU166" s="59">
        <f t="shared" si="152"/>
        <v>261.95434270986397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36.020275476247392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36.020275476247392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636.99999999999977</v>
      </c>
      <c r="EK166" s="17">
        <f>EJ166*VLOOKUP('Données projet'!$B$15,Paramètres!$A$1:$I$89,3,0)*VLOOKUP('Données projet'!$B$15,Paramètres!$A$1:$I$89,5,0)</f>
        <v>356.08299999999991</v>
      </c>
      <c r="EL166" s="13">
        <f t="shared" si="179"/>
        <v>82.813805255716545</v>
      </c>
      <c r="EM166" s="20">
        <f t="shared" si="180"/>
        <v>764.41193582037283</v>
      </c>
      <c r="EN166" s="59">
        <f t="shared" si="128"/>
        <v>1057.7452691537062</v>
      </c>
      <c r="EO166" s="59">
        <f ca="1">AVERAGE(OFFSET($EN$3,0,0,'Données projet'!$E$15+1,1))-AVERAGE(OFFSET($H$3,0,0,'Données projet'!$E$15+1,1))</f>
        <v>443.34220761968419</v>
      </c>
      <c r="EP166" s="59">
        <f t="shared" si="154"/>
        <v>546.58234447298014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12.709907327353486</v>
      </c>
      <c r="EW166" s="21">
        <f>EXP(-LN(2)/25)*EW165+(1-EXP(-LN(2)/25))/(LN(2)/25)*Calculateur!ER166*Calculateur!ET166*VLOOKUP('Données projet'!$B$15,Paramètres!$A$1:$I$89,3,0)*0.475*44/12</f>
        <v>0.54916604708406391</v>
      </c>
      <c r="EX166" s="21">
        <f>EXP(-LN(2)/2)*EX165+(1-EXP(-LN(2)/2))/(LN(2)/2)*ER166*EU166*VLOOKUP('Données projet'!$B$15,Paramètres!$A$1:$I$89,3,0)*0.475*44/12</f>
        <v>5.789904575532257E-20</v>
      </c>
      <c r="EY166" s="22">
        <f t="shared" si="181"/>
        <v>13.25907337443755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224.00000000000006</v>
      </c>
      <c r="O167" s="13">
        <f>N167*VLOOKUP('Données projet'!$B$9,Paramètres!$A$1:$I$89,3,0)*VLOOKUP('Données projet'!$B$9,Paramètres!$A$1:$I$89,5,0)</f>
        <v>195.68640000000008</v>
      </c>
      <c r="P167" s="13">
        <f t="shared" si="141"/>
        <v>48.794969360985156</v>
      </c>
      <c r="Q167" s="20">
        <f t="shared" si="162"/>
        <v>425.8050516370493</v>
      </c>
      <c r="R167" s="59">
        <f t="shared" si="109"/>
        <v>719.13838497038262</v>
      </c>
      <c r="S167" s="59">
        <f ca="1">AVERAGE(OFFSET($R$3,0,0,'Données projet'!$E$9+1,1))-AVERAGE(OFFSET($H$3,0,0,'Données projet'!$E$9+1,1))</f>
        <v>304.32767345253382</v>
      </c>
      <c r="T167" s="59">
        <f t="shared" si="142"/>
        <v>427.16091343339173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8.0351139929853446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8.0351139929853446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367.99999999999972</v>
      </c>
      <c r="AJ167" s="13">
        <f>AI167*VLOOKUP('Données projet'!$B$10,Paramètres!$A$1:$I$89,3,0)*VLOOKUP('Données projet'!$B$10,Paramètres!$A$1:$I$89,5,0)</f>
        <v>292.78079999999977</v>
      </c>
      <c r="AK167" s="13">
        <f t="shared" si="164"/>
        <v>69.660903052386217</v>
      </c>
      <c r="AL167" s="20">
        <f t="shared" si="165"/>
        <v>631.25263281623893</v>
      </c>
      <c r="AM167" s="59">
        <f t="shared" si="113"/>
        <v>924.58596614957219</v>
      </c>
      <c r="AN167" s="59">
        <f ca="1">AVERAGE(OFFSET($AM$3,0,0,'Données projet'!$E$10+1,1))-AVERAGE(OFFSET($H$3,0,0,'Données projet'!$E$10+1,1))</f>
        <v>405.40026823646758</v>
      </c>
      <c r="AO167" s="59">
        <f t="shared" si="144"/>
        <v>393.0787141050053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11.677210997688428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11.677210997688428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739.99999999999966</v>
      </c>
      <c r="BE167" s="13">
        <f>BD167*VLOOKUP('Données projet'!$B$11,Paramètres!$A$1:$I$89,3,0)*VLOOKUP('Données projet'!$B$11,Paramètres!$A$1:$I$89,5,0)</f>
        <v>413.65999999999985</v>
      </c>
      <c r="BF167" s="13">
        <f t="shared" si="167"/>
        <v>94.540585122244352</v>
      </c>
      <c r="BG167" s="20">
        <f t="shared" si="168"/>
        <v>885.11601908790863</v>
      </c>
      <c r="BH167" s="59">
        <f t="shared" si="116"/>
        <v>1178.4493524212419</v>
      </c>
      <c r="BI167" s="59">
        <f ca="1">AVERAGE(OFFSET($BH$3,0,0,'Données projet'!$E$11+1,1))-AVERAGE(OFFSET($H$3,0,0,'Données projet'!$E$11+1,1))</f>
        <v>555.15881087162279</v>
      </c>
      <c r="BJ167" s="59">
        <f t="shared" si="146"/>
        <v>668.20427590250733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15.745775763060607</v>
      </c>
      <c r="BQ167" s="21">
        <f>EXP(-LN(2)/25)*BQ166+(1-EXP(-LN(2)/25))/(LN(2)/25)*Calculateur!BL167*Calculateur!BN167*VLOOKUP('Données projet'!$B$11,Paramètres!$A$1:$I$89,3,0)*0.475*44/12</f>
        <v>1.406919316719814</v>
      </c>
      <c r="BR167" s="21">
        <f>EXP(-LN(2)/2)*BR166+(1-EXP(-LN(2)/2))/(LN(2)/2)*BL167*BO167*VLOOKUP('Données projet'!$B$11,Paramètres!$A$1:$I$89,3,0)*0.475*44/12</f>
        <v>5.7630994617566475E-21</v>
      </c>
      <c r="BS167" s="22">
        <f t="shared" si="169"/>
        <v>17.152695079780422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367.99999999999972</v>
      </c>
      <c r="BZ167" s="13">
        <f>BY167*VLOOKUP('Données projet'!$B$12,Paramètres!$A$1:$I$89,3,0)*VLOOKUP('Données projet'!$B$12,Paramètres!$A$1:$I$89,5,0)</f>
        <v>241.11359999999982</v>
      </c>
      <c r="CA167" s="13">
        <f t="shared" si="170"/>
        <v>58.6790623558988</v>
      </c>
      <c r="CB167" s="20">
        <f t="shared" si="171"/>
        <v>522.13888693652348</v>
      </c>
      <c r="CC167" s="59">
        <f t="shared" si="119"/>
        <v>815.47222026985673</v>
      </c>
      <c r="CD167" s="59">
        <f ca="1">AVERAGE(OFFSET($CC$3,0,0,'Données projet'!$E$12+1,1))-AVERAGE(OFFSET($H$3,0,0,'Données projet'!$E$12+1,1))</f>
        <v>340.49092994349405</v>
      </c>
      <c r="CE167" s="59">
        <f t="shared" si="148"/>
        <v>331.54434271908832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7.8020877032279996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7.8020877032279996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306.99999999999994</v>
      </c>
      <c r="CU167" s="17">
        <f>CT167*VLOOKUP('Données projet'!$B$13,Paramètres!$A$1:$I$89,3,0)*VLOOKUP('Données projet'!$B$13,Paramètres!$A$1:$I$89,5,0)</f>
        <v>277.77359999999993</v>
      </c>
      <c r="CV167" s="13">
        <f t="shared" si="173"/>
        <v>66.496288176842356</v>
      </c>
      <c r="CW167" s="20">
        <f t="shared" si="174"/>
        <v>599.60338857466706</v>
      </c>
      <c r="CX167" s="59">
        <f t="shared" si="122"/>
        <v>892.93672190800044</v>
      </c>
      <c r="CY167" s="59">
        <f ca="1">AVERAGE(OFFSET($CX$3,0,0,'Données projet'!$E$13+1,1))-AVERAGE(OFFSET($H$3,0,0,'Données projet'!$E$13+1,1))</f>
        <v>439.19854273764042</v>
      </c>
      <c r="CZ167" s="59">
        <f t="shared" si="150"/>
        <v>278.21741231699929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37.929787240235143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37.929787240235143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306.99999999999994</v>
      </c>
      <c r="DP167" s="17">
        <f>DO167*VLOOKUP('Données projet'!$B$14,Paramètres!$A$1:$I$89,3,0)*VLOOKUP('Données projet'!$B$14,Paramètres!$A$1:$I$89,5,0)</f>
        <v>258.61679999999996</v>
      </c>
      <c r="DQ167" s="13">
        <f t="shared" si="176"/>
        <v>62.427444141032439</v>
      </c>
      <c r="DR167" s="20">
        <f t="shared" si="177"/>
        <v>559.15205854563135</v>
      </c>
      <c r="DS167" s="59">
        <f t="shared" si="125"/>
        <v>852.48539187896472</v>
      </c>
      <c r="DT167" s="59">
        <f ca="1">AVERAGE(OFFSET($DS$3,0,0,'Données projet'!$E$14+1,1))-AVERAGE(OFFSET($H$3,0,0,'Données projet'!$E$14+1,1))</f>
        <v>411.72284844766</v>
      </c>
      <c r="DU167" s="59">
        <f t="shared" si="152"/>
        <v>261.95434270986397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35.313939844356845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35.313939844356845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636.99999999999977</v>
      </c>
      <c r="EK167" s="17">
        <f>EJ167*VLOOKUP('Données projet'!$B$15,Paramètres!$A$1:$I$89,3,0)*VLOOKUP('Données projet'!$B$15,Paramètres!$A$1:$I$89,5,0)</f>
        <v>356.08299999999991</v>
      </c>
      <c r="EL167" s="13">
        <f t="shared" si="179"/>
        <v>82.813805255716545</v>
      </c>
      <c r="EM167" s="20">
        <f t="shared" si="180"/>
        <v>764.41193582037283</v>
      </c>
      <c r="EN167" s="59">
        <f t="shared" si="128"/>
        <v>1057.7452691537062</v>
      </c>
      <c r="EO167" s="59">
        <f ca="1">AVERAGE(OFFSET($EN$3,0,0,'Données projet'!$E$15+1,1))-AVERAGE(OFFSET($H$3,0,0,'Données projet'!$E$15+1,1))</f>
        <v>443.34220761968419</v>
      </c>
      <c r="EP167" s="59">
        <f t="shared" si="154"/>
        <v>546.58234447298014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12.46067379694208</v>
      </c>
      <c r="EW167" s="21">
        <f>EXP(-LN(2)/25)*EW166+(1-EXP(-LN(2)/25))/(LN(2)/25)*Calculateur!ER167*Calculateur!ET167*VLOOKUP('Données projet'!$B$15,Paramètres!$A$1:$I$89,3,0)*0.475*44/12</f>
        <v>0.53414907264716294</v>
      </c>
      <c r="EX167" s="21">
        <f>EXP(-LN(2)/2)*EX166+(1-EXP(-LN(2)/2))/(LN(2)/2)*ER167*EU167*VLOOKUP('Données projet'!$B$15,Paramètres!$A$1:$I$89,3,0)*0.475*44/12</f>
        <v>4.094080787781878E-20</v>
      </c>
      <c r="EY167" s="22">
        <f t="shared" si="181"/>
        <v>12.994822869589242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224.00000000000006</v>
      </c>
      <c r="O168" s="13">
        <f>N168*VLOOKUP('Données projet'!$B$9,Paramètres!$A$1:$I$89,3,0)*VLOOKUP('Données projet'!$B$9,Paramètres!$A$1:$I$89,5,0)</f>
        <v>195.68640000000008</v>
      </c>
      <c r="P168" s="13">
        <f t="shared" si="141"/>
        <v>48.794969360985156</v>
      </c>
      <c r="Q168" s="20">
        <f t="shared" si="162"/>
        <v>425.8050516370493</v>
      </c>
      <c r="R168" s="59">
        <f t="shared" si="109"/>
        <v>719.13838497038262</v>
      </c>
      <c r="S168" s="59">
        <f ca="1">AVERAGE(OFFSET($R$3,0,0,'Données projet'!$E$9+1,1))-AVERAGE(OFFSET($H$3,0,0,'Données projet'!$E$9+1,1))</f>
        <v>304.32767345253382</v>
      </c>
      <c r="T168" s="59">
        <f t="shared" si="142"/>
        <v>427.16091343339173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7.8775503085185106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7.8775503085185106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367.99999999999972</v>
      </c>
      <c r="AJ168" s="13">
        <f>AI168*VLOOKUP('Données projet'!$B$10,Paramètres!$A$1:$I$89,3,0)*VLOOKUP('Données projet'!$B$10,Paramètres!$A$1:$I$89,5,0)</f>
        <v>292.78079999999977</v>
      </c>
      <c r="AK168" s="13">
        <f t="shared" si="164"/>
        <v>69.660903052386217</v>
      </c>
      <c r="AL168" s="20">
        <f t="shared" si="165"/>
        <v>631.25263281623893</v>
      </c>
      <c r="AM168" s="59">
        <f t="shared" si="113"/>
        <v>924.58596614957219</v>
      </c>
      <c r="AN168" s="59">
        <f ca="1">AVERAGE(OFFSET($AM$3,0,0,'Données projet'!$E$10+1,1))-AVERAGE(OFFSET($H$3,0,0,'Données projet'!$E$10+1,1))</f>
        <v>405.40026823646758</v>
      </c>
      <c r="AO168" s="59">
        <f t="shared" si="144"/>
        <v>393.0787141050053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11.44822801241919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11.44822801241919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739.99999999999966</v>
      </c>
      <c r="BE168" s="13">
        <f>BD168*VLOOKUP('Données projet'!$B$11,Paramètres!$A$1:$I$89,3,0)*VLOOKUP('Données projet'!$B$11,Paramètres!$A$1:$I$89,5,0)</f>
        <v>413.65999999999985</v>
      </c>
      <c r="BF168" s="13">
        <f t="shared" si="167"/>
        <v>94.540585122244352</v>
      </c>
      <c r="BG168" s="20">
        <f t="shared" si="168"/>
        <v>885.11601908790863</v>
      </c>
      <c r="BH168" s="59">
        <f t="shared" si="116"/>
        <v>1178.4493524212419</v>
      </c>
      <c r="BI168" s="59">
        <f ca="1">AVERAGE(OFFSET($BH$3,0,0,'Données projet'!$E$11+1,1))-AVERAGE(OFFSET($H$3,0,0,'Données projet'!$E$11+1,1))</f>
        <v>555.15881087162279</v>
      </c>
      <c r="BJ168" s="59">
        <f t="shared" si="146"/>
        <v>668.20427590250733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15.43701070432189</v>
      </c>
      <c r="BQ168" s="21">
        <f>EXP(-LN(2)/25)*BQ167+(1-EXP(-LN(2)/25))/(LN(2)/25)*Calculateur!BL168*Calculateur!BN168*VLOOKUP('Données projet'!$B$11,Paramètres!$A$1:$I$89,3,0)*0.475*44/12</f>
        <v>1.3684470340174393</v>
      </c>
      <c r="BR168" s="21">
        <f>EXP(-LN(2)/2)*BR167+(1-EXP(-LN(2)/2))/(LN(2)/2)*BL168*BO168*VLOOKUP('Données projet'!$B$11,Paramètres!$A$1:$I$89,3,0)*0.475*44/12</f>
        <v>4.0751267100606675E-21</v>
      </c>
      <c r="BS168" s="22">
        <f t="shared" si="169"/>
        <v>16.805457738339328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367.99999999999972</v>
      </c>
      <c r="BZ168" s="13">
        <f>BY168*VLOOKUP('Données projet'!$B$12,Paramètres!$A$1:$I$89,3,0)*VLOOKUP('Données projet'!$B$12,Paramètres!$A$1:$I$89,5,0)</f>
        <v>241.11359999999982</v>
      </c>
      <c r="CA168" s="13">
        <f t="shared" si="170"/>
        <v>58.6790623558988</v>
      </c>
      <c r="CB168" s="20">
        <f t="shared" si="171"/>
        <v>522.13888693652348</v>
      </c>
      <c r="CC168" s="59">
        <f t="shared" si="119"/>
        <v>815.47222026985673</v>
      </c>
      <c r="CD168" s="59">
        <f ca="1">AVERAGE(OFFSET($CC$3,0,0,'Données projet'!$E$12+1,1))-AVERAGE(OFFSET($H$3,0,0,'Données projet'!$E$12+1,1))</f>
        <v>340.49092994349405</v>
      </c>
      <c r="CE168" s="59">
        <f t="shared" si="148"/>
        <v>331.54434271908832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7.649093522171305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7.649093522171305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306.99999999999994</v>
      </c>
      <c r="CU168" s="17">
        <f>CT168*VLOOKUP('Données projet'!$B$13,Paramètres!$A$1:$I$89,3,0)*VLOOKUP('Données projet'!$B$13,Paramètres!$A$1:$I$89,5,0)</f>
        <v>277.77359999999993</v>
      </c>
      <c r="CV168" s="13">
        <f t="shared" si="173"/>
        <v>66.496288176842356</v>
      </c>
      <c r="CW168" s="20">
        <f t="shared" si="174"/>
        <v>599.60338857466706</v>
      </c>
      <c r="CX168" s="59">
        <f t="shared" si="122"/>
        <v>892.93672190800044</v>
      </c>
      <c r="CY168" s="59">
        <f ca="1">AVERAGE(OFFSET($CX$3,0,0,'Données projet'!$E$13+1,1))-AVERAGE(OFFSET($H$3,0,0,'Données projet'!$E$13+1,1))</f>
        <v>439.19854273764042</v>
      </c>
      <c r="CZ168" s="59">
        <f t="shared" si="150"/>
        <v>278.21741231699929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37.186007247339965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37.186007247339965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306.99999999999994</v>
      </c>
      <c r="DP168" s="17">
        <f>DO168*VLOOKUP('Données projet'!$B$14,Paramètres!$A$1:$I$89,3,0)*VLOOKUP('Données projet'!$B$14,Paramètres!$A$1:$I$89,5,0)</f>
        <v>258.61679999999996</v>
      </c>
      <c r="DQ168" s="13">
        <f t="shared" si="176"/>
        <v>62.427444141032439</v>
      </c>
      <c r="DR168" s="20">
        <f t="shared" si="177"/>
        <v>559.15205854563135</v>
      </c>
      <c r="DS168" s="59">
        <f t="shared" si="125"/>
        <v>852.48539187896472</v>
      </c>
      <c r="DT168" s="59">
        <f ca="1">AVERAGE(OFFSET($DS$3,0,0,'Données projet'!$E$14+1,1))-AVERAGE(OFFSET($H$3,0,0,'Données projet'!$E$14+1,1))</f>
        <v>411.72284844766</v>
      </c>
      <c r="DU168" s="59">
        <f t="shared" si="152"/>
        <v>261.95434270986397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34.621455023385472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34.621455023385472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636.99999999999977</v>
      </c>
      <c r="EK168" s="17">
        <f>EJ168*VLOOKUP('Données projet'!$B$15,Paramètres!$A$1:$I$89,3,0)*VLOOKUP('Données projet'!$B$15,Paramètres!$A$1:$I$89,5,0)</f>
        <v>356.08299999999991</v>
      </c>
      <c r="EL168" s="13">
        <f t="shared" si="179"/>
        <v>82.813805255716545</v>
      </c>
      <c r="EM168" s="20">
        <f t="shared" si="180"/>
        <v>764.41193582037283</v>
      </c>
      <c r="EN168" s="59">
        <f t="shared" si="128"/>
        <v>1057.7452691537062</v>
      </c>
      <c r="EO168" s="59">
        <f ca="1">AVERAGE(OFFSET($EN$3,0,0,'Données projet'!$E$15+1,1))-AVERAGE(OFFSET($H$3,0,0,'Données projet'!$E$15+1,1))</f>
        <v>443.34220761968419</v>
      </c>
      <c r="EP168" s="59">
        <f t="shared" si="154"/>
        <v>546.58234447298014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12.216327584044599</v>
      </c>
      <c r="EW168" s="21">
        <f>EXP(-LN(2)/25)*EW167+(1-EXP(-LN(2)/25))/(LN(2)/25)*Calculateur!ER168*Calculateur!ET168*VLOOKUP('Données projet'!$B$15,Paramètres!$A$1:$I$89,3,0)*0.475*44/12</f>
        <v>0.51954273816594732</v>
      </c>
      <c r="EX168" s="21">
        <f>EXP(-LN(2)/2)*EX167+(1-EXP(-LN(2)/2))/(LN(2)/2)*ER168*EU168*VLOOKUP('Données projet'!$B$15,Paramètres!$A$1:$I$89,3,0)*0.475*44/12</f>
        <v>2.8949522877661285E-20</v>
      </c>
      <c r="EY168" s="22">
        <f t="shared" si="181"/>
        <v>12.735870322210546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224.00000000000006</v>
      </c>
      <c r="O169" s="13">
        <f>N169*VLOOKUP('Données projet'!$B$9,Paramètres!$A$1:$I$89,3,0)*VLOOKUP('Données projet'!$B$9,Paramètres!$A$1:$I$89,5,0)</f>
        <v>195.68640000000008</v>
      </c>
      <c r="P169" s="13">
        <f t="shared" si="141"/>
        <v>48.794969360985156</v>
      </c>
      <c r="Q169" s="20">
        <f t="shared" si="162"/>
        <v>425.8050516370493</v>
      </c>
      <c r="R169" s="59">
        <f t="shared" si="109"/>
        <v>719.13838497038262</v>
      </c>
      <c r="S169" s="59">
        <f ca="1">AVERAGE(OFFSET($R$3,0,0,'Données projet'!$E$9+1,1))-AVERAGE(OFFSET($H$3,0,0,'Données projet'!$E$9+1,1))</f>
        <v>304.32767345253382</v>
      </c>
      <c r="T169" s="59">
        <f t="shared" si="142"/>
        <v>427.16091343339173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7.7230763517997127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7.7230763517997127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367.99999999999972</v>
      </c>
      <c r="AJ169" s="13">
        <f>AI169*VLOOKUP('Données projet'!$B$10,Paramètres!$A$1:$I$89,3,0)*VLOOKUP('Données projet'!$B$10,Paramètres!$A$1:$I$89,5,0)</f>
        <v>292.78079999999977</v>
      </c>
      <c r="AK169" s="13">
        <f t="shared" si="164"/>
        <v>69.660903052386217</v>
      </c>
      <c r="AL169" s="20">
        <f t="shared" si="165"/>
        <v>631.25263281623893</v>
      </c>
      <c r="AM169" s="59">
        <f t="shared" si="113"/>
        <v>924.58596614957219</v>
      </c>
      <c r="AN169" s="59">
        <f ca="1">AVERAGE(OFFSET($AM$3,0,0,'Données projet'!$E$10+1,1))-AVERAGE(OFFSET($H$3,0,0,'Données projet'!$E$10+1,1))</f>
        <v>405.40026823646758</v>
      </c>
      <c r="AO169" s="59">
        <f t="shared" si="144"/>
        <v>393.0787141050053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11.223735243825249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11.223735243825249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739.99999999999966</v>
      </c>
      <c r="BE169" s="13">
        <f>BD169*VLOOKUP('Données projet'!$B$11,Paramètres!$A$1:$I$89,3,0)*VLOOKUP('Données projet'!$B$11,Paramètres!$A$1:$I$89,5,0)</f>
        <v>413.65999999999985</v>
      </c>
      <c r="BF169" s="13">
        <f t="shared" si="167"/>
        <v>94.540585122244352</v>
      </c>
      <c r="BG169" s="20">
        <f t="shared" si="168"/>
        <v>885.11601908790863</v>
      </c>
      <c r="BH169" s="59">
        <f t="shared" si="116"/>
        <v>1178.4493524212419</v>
      </c>
      <c r="BI169" s="59">
        <f ca="1">AVERAGE(OFFSET($BH$3,0,0,'Données projet'!$E$11+1,1))-AVERAGE(OFFSET($H$3,0,0,'Données projet'!$E$11+1,1))</f>
        <v>555.15881087162279</v>
      </c>
      <c r="BJ169" s="59">
        <f t="shared" si="146"/>
        <v>668.20427590250733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15.134300340056949</v>
      </c>
      <c r="BQ169" s="21">
        <f>EXP(-LN(2)/25)*BQ168+(1-EXP(-LN(2)/25))/(LN(2)/25)*Calculateur!BL169*Calculateur!BN169*VLOOKUP('Données projet'!$B$11,Paramètres!$A$1:$I$89,3,0)*0.475*44/12</f>
        <v>1.3310267779087306</v>
      </c>
      <c r="BR169" s="21">
        <f>EXP(-LN(2)/2)*BR168+(1-EXP(-LN(2)/2))/(LN(2)/2)*BL169*BO169*VLOOKUP('Données projet'!$B$11,Paramètres!$A$1:$I$89,3,0)*0.475*44/12</f>
        <v>2.8815497308783238E-21</v>
      </c>
      <c r="BS169" s="22">
        <f t="shared" si="169"/>
        <v>16.465327117965678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367.99999999999972</v>
      </c>
      <c r="BZ169" s="13">
        <f>BY169*VLOOKUP('Données projet'!$B$12,Paramètres!$A$1:$I$89,3,0)*VLOOKUP('Données projet'!$B$12,Paramètres!$A$1:$I$89,5,0)</f>
        <v>241.11359999999982</v>
      </c>
      <c r="CA169" s="13">
        <f t="shared" si="170"/>
        <v>58.6790623558988</v>
      </c>
      <c r="CB169" s="20">
        <f t="shared" si="171"/>
        <v>522.13888693652348</v>
      </c>
      <c r="CC169" s="59">
        <f t="shared" si="119"/>
        <v>815.47222026985673</v>
      </c>
      <c r="CD169" s="59">
        <f ca="1">AVERAGE(OFFSET($CC$3,0,0,'Données projet'!$E$12+1,1))-AVERAGE(OFFSET($H$3,0,0,'Données projet'!$E$12+1,1))</f>
        <v>340.49092994349405</v>
      </c>
      <c r="CE169" s="59">
        <f t="shared" si="148"/>
        <v>331.54434271908832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7.4990994636878954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7.4990994636878954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306.99999999999994</v>
      </c>
      <c r="CU169" s="17">
        <f>CT169*VLOOKUP('Données projet'!$B$13,Paramètres!$A$1:$I$89,3,0)*VLOOKUP('Données projet'!$B$13,Paramètres!$A$1:$I$89,5,0)</f>
        <v>277.77359999999993</v>
      </c>
      <c r="CV169" s="13">
        <f t="shared" si="173"/>
        <v>66.496288176842356</v>
      </c>
      <c r="CW169" s="20">
        <f t="shared" si="174"/>
        <v>599.60338857466706</v>
      </c>
      <c r="CX169" s="59">
        <f t="shared" si="122"/>
        <v>892.93672190800044</v>
      </c>
      <c r="CY169" s="59">
        <f ca="1">AVERAGE(OFFSET($CX$3,0,0,'Données projet'!$E$13+1,1))-AVERAGE(OFFSET($H$3,0,0,'Données projet'!$E$13+1,1))</f>
        <v>439.19854273764042</v>
      </c>
      <c r="CZ169" s="59">
        <f t="shared" si="150"/>
        <v>278.21741231699929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36.456812326444464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36.456812326444464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306.99999999999994</v>
      </c>
      <c r="DP169" s="17">
        <f>DO169*VLOOKUP('Données projet'!$B$14,Paramètres!$A$1:$I$89,3,0)*VLOOKUP('Données projet'!$B$14,Paramètres!$A$1:$I$89,5,0)</f>
        <v>258.61679999999996</v>
      </c>
      <c r="DQ169" s="13">
        <f t="shared" si="176"/>
        <v>62.427444141032439</v>
      </c>
      <c r="DR169" s="20">
        <f t="shared" si="177"/>
        <v>559.15205854563135</v>
      </c>
      <c r="DS169" s="59">
        <f t="shared" si="125"/>
        <v>852.48539187896472</v>
      </c>
      <c r="DT169" s="59">
        <f ca="1">AVERAGE(OFFSET($DS$3,0,0,'Données projet'!$E$14+1,1))-AVERAGE(OFFSET($H$3,0,0,'Données projet'!$E$14+1,1))</f>
        <v>411.72284844766</v>
      </c>
      <c r="DU169" s="59">
        <f t="shared" si="152"/>
        <v>261.95434270986397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33.942549407379317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33.942549407379317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636.99999999999977</v>
      </c>
      <c r="EK169" s="17">
        <f>EJ169*VLOOKUP('Données projet'!$B$15,Paramètres!$A$1:$I$89,3,0)*VLOOKUP('Données projet'!$B$15,Paramètres!$A$1:$I$89,5,0)</f>
        <v>356.08299999999991</v>
      </c>
      <c r="EL169" s="13">
        <f t="shared" si="179"/>
        <v>82.813805255716545</v>
      </c>
      <c r="EM169" s="20">
        <f t="shared" si="180"/>
        <v>764.41193582037283</v>
      </c>
      <c r="EN169" s="59">
        <f t="shared" si="128"/>
        <v>1057.7452691537062</v>
      </c>
      <c r="EO169" s="59">
        <f ca="1">AVERAGE(OFFSET($EN$3,0,0,'Données projet'!$E$15+1,1))-AVERAGE(OFFSET($H$3,0,0,'Données projet'!$E$15+1,1))</f>
        <v>443.34220761968419</v>
      </c>
      <c r="EP169" s="59">
        <f t="shared" si="154"/>
        <v>546.58234447298014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11.976772851345563</v>
      </c>
      <c r="EW169" s="21">
        <f>EXP(-LN(2)/25)*EW168+(1-EXP(-LN(2)/25))/(LN(2)/25)*Calculateur!ER169*Calculateur!ET169*VLOOKUP('Données projet'!$B$15,Paramètres!$A$1:$I$89,3,0)*0.475*44/12</f>
        <v>0.50533581466923427</v>
      </c>
      <c r="EX169" s="21">
        <f>EXP(-LN(2)/2)*EX168+(1-EXP(-LN(2)/2))/(LN(2)/2)*ER169*EU169*VLOOKUP('Données projet'!$B$15,Paramètres!$A$1:$I$89,3,0)*0.475*44/12</f>
        <v>2.047040393890939E-20</v>
      </c>
      <c r="EY169" s="22">
        <f t="shared" si="181"/>
        <v>12.482108666014797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224.00000000000006</v>
      </c>
      <c r="O170" s="13">
        <f>N170*VLOOKUP('Données projet'!$B$9,Paramètres!$A$1:$I$89,3,0)*VLOOKUP('Données projet'!$B$9,Paramètres!$A$1:$I$89,5,0)</f>
        <v>195.68640000000008</v>
      </c>
      <c r="P170" s="13">
        <f t="shared" si="141"/>
        <v>48.794969360985156</v>
      </c>
      <c r="Q170" s="20">
        <f t="shared" si="162"/>
        <v>425.8050516370493</v>
      </c>
      <c r="R170" s="59">
        <f t="shared" si="109"/>
        <v>719.13838497038262</v>
      </c>
      <c r="S170" s="59">
        <f ca="1">AVERAGE(OFFSET($R$3,0,0,'Données projet'!$E$9+1,1))-AVERAGE(OFFSET($H$3,0,0,'Données projet'!$E$9+1,1))</f>
        <v>304.32767345253382</v>
      </c>
      <c r="T170" s="59">
        <f t="shared" si="142"/>
        <v>427.16091343339173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7.5716315351523606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7.5716315351523606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367.99999999999972</v>
      </c>
      <c r="AJ170" s="13">
        <f>AI170*VLOOKUP('Données projet'!$B$10,Paramètres!$A$1:$I$89,3,0)*VLOOKUP('Données projet'!$B$10,Paramètres!$A$1:$I$89,5,0)</f>
        <v>292.78079999999977</v>
      </c>
      <c r="AK170" s="13">
        <f t="shared" si="164"/>
        <v>69.660903052386217</v>
      </c>
      <c r="AL170" s="20">
        <f t="shared" si="165"/>
        <v>631.25263281623893</v>
      </c>
      <c r="AM170" s="59">
        <f t="shared" si="113"/>
        <v>924.58596614957219</v>
      </c>
      <c r="AN170" s="59">
        <f ca="1">AVERAGE(OFFSET($AM$3,0,0,'Données projet'!$E$10+1,1))-AVERAGE(OFFSET($H$3,0,0,'Données projet'!$E$10+1,1))</f>
        <v>405.40026823646758</v>
      </c>
      <c r="AO170" s="59">
        <f t="shared" si="144"/>
        <v>393.0787141050053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11.003644641496368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11.003644641496368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739.99999999999966</v>
      </c>
      <c r="BE170" s="13">
        <f>BD170*VLOOKUP('Données projet'!$B$11,Paramètres!$A$1:$I$89,3,0)*VLOOKUP('Données projet'!$B$11,Paramètres!$A$1:$I$89,5,0)</f>
        <v>413.65999999999985</v>
      </c>
      <c r="BF170" s="13">
        <f t="shared" si="167"/>
        <v>94.540585122244352</v>
      </c>
      <c r="BG170" s="20">
        <f t="shared" si="168"/>
        <v>885.11601908790863</v>
      </c>
      <c r="BH170" s="59">
        <f t="shared" si="116"/>
        <v>1178.4493524212419</v>
      </c>
      <c r="BI170" s="59">
        <f ca="1">AVERAGE(OFFSET($BH$3,0,0,'Données projet'!$E$11+1,1))-AVERAGE(OFFSET($H$3,0,0,'Données projet'!$E$11+1,1))</f>
        <v>555.15881087162279</v>
      </c>
      <c r="BJ170" s="59">
        <f t="shared" si="146"/>
        <v>668.20427590250733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14.837525941400154</v>
      </c>
      <c r="BQ170" s="21">
        <f>EXP(-LN(2)/25)*BQ169+(1-EXP(-LN(2)/25))/(LN(2)/25)*Calculateur!BL170*Calculateur!BN170*VLOOKUP('Données projet'!$B$11,Paramètres!$A$1:$I$89,3,0)*0.475*44/12</f>
        <v>1.2946297806711602</v>
      </c>
      <c r="BR170" s="21">
        <f>EXP(-LN(2)/2)*BR169+(1-EXP(-LN(2)/2))/(LN(2)/2)*BL170*BO170*VLOOKUP('Données projet'!$B$11,Paramètres!$A$1:$I$89,3,0)*0.475*44/12</f>
        <v>2.0375633550303337E-21</v>
      </c>
      <c r="BS170" s="22">
        <f t="shared" si="169"/>
        <v>16.132155722071314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367.99999999999972</v>
      </c>
      <c r="BZ170" s="13">
        <f>BY170*VLOOKUP('Données projet'!$B$12,Paramètres!$A$1:$I$89,3,0)*VLOOKUP('Données projet'!$B$12,Paramètres!$A$1:$I$89,5,0)</f>
        <v>241.11359999999982</v>
      </c>
      <c r="CA170" s="13">
        <f t="shared" si="170"/>
        <v>58.6790623558988</v>
      </c>
      <c r="CB170" s="20">
        <f t="shared" si="171"/>
        <v>522.13888693652348</v>
      </c>
      <c r="CC170" s="59">
        <f t="shared" si="119"/>
        <v>815.47222026985673</v>
      </c>
      <c r="CD170" s="59">
        <f ca="1">AVERAGE(OFFSET($CC$3,0,0,'Données projet'!$E$12+1,1))-AVERAGE(OFFSET($H$3,0,0,'Données projet'!$E$12+1,1))</f>
        <v>340.49092994349405</v>
      </c>
      <c r="CE170" s="59">
        <f t="shared" si="148"/>
        <v>331.54434271908832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7.3520466972040035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7.3520466972040035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306.99999999999994</v>
      </c>
      <c r="CU170" s="17">
        <f>CT170*VLOOKUP('Données projet'!$B$13,Paramètres!$A$1:$I$89,3,0)*VLOOKUP('Données projet'!$B$13,Paramètres!$A$1:$I$89,5,0)</f>
        <v>277.77359999999993</v>
      </c>
      <c r="CV170" s="13">
        <f t="shared" si="173"/>
        <v>66.496288176842356</v>
      </c>
      <c r="CW170" s="20">
        <f t="shared" si="174"/>
        <v>599.60338857466706</v>
      </c>
      <c r="CX170" s="59">
        <f t="shared" si="122"/>
        <v>892.93672190800044</v>
      </c>
      <c r="CY170" s="59">
        <f ca="1">AVERAGE(OFFSET($CX$3,0,0,'Données projet'!$E$13+1,1))-AVERAGE(OFFSET($H$3,0,0,'Données projet'!$E$13+1,1))</f>
        <v>439.19854273764042</v>
      </c>
      <c r="CZ170" s="59">
        <f t="shared" si="150"/>
        <v>278.21741231699929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35.741916473182741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35.741916473182741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306.99999999999994</v>
      </c>
      <c r="DP170" s="17">
        <f>DO170*VLOOKUP('Données projet'!$B$14,Paramètres!$A$1:$I$89,3,0)*VLOOKUP('Données projet'!$B$14,Paramètres!$A$1:$I$89,5,0)</f>
        <v>258.61679999999996</v>
      </c>
      <c r="DQ170" s="13">
        <f t="shared" si="176"/>
        <v>62.427444141032439</v>
      </c>
      <c r="DR170" s="20">
        <f t="shared" si="177"/>
        <v>559.15205854563135</v>
      </c>
      <c r="DS170" s="59">
        <f t="shared" si="125"/>
        <v>852.48539187896472</v>
      </c>
      <c r="DT170" s="59">
        <f ca="1">AVERAGE(OFFSET($DS$3,0,0,'Données projet'!$E$14+1,1))-AVERAGE(OFFSET($H$3,0,0,'Données projet'!$E$14+1,1))</f>
        <v>411.72284844766</v>
      </c>
      <c r="DU170" s="59">
        <f t="shared" si="152"/>
        <v>261.95434270986397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33.276956716411505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33.276956716411505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636.99999999999977</v>
      </c>
      <c r="EK170" s="17">
        <f>EJ170*VLOOKUP('Données projet'!$B$15,Paramètres!$A$1:$I$89,3,0)*VLOOKUP('Données projet'!$B$15,Paramètres!$A$1:$I$89,5,0)</f>
        <v>356.08299999999991</v>
      </c>
      <c r="EL170" s="13">
        <f t="shared" si="179"/>
        <v>82.813805255716545</v>
      </c>
      <c r="EM170" s="20">
        <f t="shared" si="180"/>
        <v>764.41193582037283</v>
      </c>
      <c r="EN170" s="59">
        <f t="shared" si="128"/>
        <v>1057.7452691537062</v>
      </c>
      <c r="EO170" s="59">
        <f ca="1">AVERAGE(OFFSET($EN$3,0,0,'Données projet'!$E$15+1,1))-AVERAGE(OFFSET($H$3,0,0,'Données projet'!$E$15+1,1))</f>
        <v>443.34220761968419</v>
      </c>
      <c r="EP170" s="59">
        <f t="shared" si="154"/>
        <v>546.58234447298014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11.741915640840796</v>
      </c>
      <c r="EW170" s="21">
        <f>EXP(-LN(2)/25)*EW169+(1-EXP(-LN(2)/25))/(LN(2)/25)*Calculateur!ER170*Calculateur!ET170*VLOOKUP('Données projet'!$B$15,Paramètres!$A$1:$I$89,3,0)*0.475*44/12</f>
        <v>0.49151738024264852</v>
      </c>
      <c r="EX170" s="21">
        <f>EXP(-LN(2)/2)*EX169+(1-EXP(-LN(2)/2))/(LN(2)/2)*ER170*EU170*VLOOKUP('Données projet'!$B$15,Paramètres!$A$1:$I$89,3,0)*0.475*44/12</f>
        <v>1.4474761438830642E-20</v>
      </c>
      <c r="EY170" s="22">
        <f t="shared" si="181"/>
        <v>12.233433021083444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224.00000000000006</v>
      </c>
      <c r="O171" s="13">
        <f>N171*VLOOKUP('Données projet'!$B$9,Paramètres!$A$1:$I$89,3,0)*VLOOKUP('Données projet'!$B$9,Paramètres!$A$1:$I$89,5,0)</f>
        <v>195.68640000000008</v>
      </c>
      <c r="P171" s="13">
        <f t="shared" si="141"/>
        <v>48.794969360985156</v>
      </c>
      <c r="Q171" s="20">
        <f t="shared" si="162"/>
        <v>425.8050516370493</v>
      </c>
      <c r="R171" s="59">
        <f t="shared" si="109"/>
        <v>719.13838497038262</v>
      </c>
      <c r="S171" s="59">
        <f ca="1">AVERAGE(OFFSET($R$3,0,0,'Données projet'!$E$9+1,1))-AVERAGE(OFFSET($H$3,0,0,'Données projet'!$E$9+1,1))</f>
        <v>304.32767345253382</v>
      </c>
      <c r="T171" s="59">
        <f t="shared" si="142"/>
        <v>427.16091343339173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7.4231564589872461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7.4231564589872461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367.99999999999972</v>
      </c>
      <c r="AJ171" s="13">
        <f>AI171*VLOOKUP('Données projet'!$B$10,Paramètres!$A$1:$I$89,3,0)*VLOOKUP('Données projet'!$B$10,Paramètres!$A$1:$I$89,5,0)</f>
        <v>292.78079999999977</v>
      </c>
      <c r="AK171" s="13">
        <f t="shared" si="164"/>
        <v>69.660903052386217</v>
      </c>
      <c r="AL171" s="20">
        <f t="shared" si="165"/>
        <v>631.25263281623893</v>
      </c>
      <c r="AM171" s="59">
        <f t="shared" si="113"/>
        <v>924.58596614957219</v>
      </c>
      <c r="AN171" s="59">
        <f ca="1">AVERAGE(OFFSET($AM$3,0,0,'Données projet'!$E$10+1,1))-AVERAGE(OFFSET($H$3,0,0,'Données projet'!$E$10+1,1))</f>
        <v>405.40026823646758</v>
      </c>
      <c r="AO171" s="59">
        <f t="shared" si="144"/>
        <v>393.0787141050053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10.787869881637144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10.787869881637144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739.99999999999966</v>
      </c>
      <c r="BE171" s="13">
        <f>BD171*VLOOKUP('Données projet'!$B$11,Paramètres!$A$1:$I$89,3,0)*VLOOKUP('Données projet'!$B$11,Paramètres!$A$1:$I$89,5,0)</f>
        <v>413.65999999999985</v>
      </c>
      <c r="BF171" s="13">
        <f t="shared" si="167"/>
        <v>94.540585122244352</v>
      </c>
      <c r="BG171" s="20">
        <f t="shared" si="168"/>
        <v>885.11601908790863</v>
      </c>
      <c r="BH171" s="59">
        <f t="shared" si="116"/>
        <v>1178.4493524212419</v>
      </c>
      <c r="BI171" s="59">
        <f ca="1">AVERAGE(OFFSET($BH$3,0,0,'Données projet'!$E$11+1,1))-AVERAGE(OFFSET($H$3,0,0,'Données projet'!$E$11+1,1))</f>
        <v>555.15881087162279</v>
      </c>
      <c r="BJ171" s="59">
        <f t="shared" si="146"/>
        <v>668.20427590250733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14.546571107686509</v>
      </c>
      <c r="BQ171" s="21">
        <f>EXP(-LN(2)/25)*BQ170+(1-EXP(-LN(2)/25))/(LN(2)/25)*Calculateur!BL171*Calculateur!BN171*VLOOKUP('Données projet'!$B$11,Paramètres!$A$1:$I$89,3,0)*0.475*44/12</f>
        <v>1.2592280612370861</v>
      </c>
      <c r="BR171" s="21">
        <f>EXP(-LN(2)/2)*BR170+(1-EXP(-LN(2)/2))/(LN(2)/2)*BL171*BO171*VLOOKUP('Données projet'!$B$11,Paramètres!$A$1:$I$89,3,0)*0.475*44/12</f>
        <v>1.4407748654391619E-21</v>
      </c>
      <c r="BS171" s="22">
        <f t="shared" si="169"/>
        <v>15.805799168923595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367.99999999999972</v>
      </c>
      <c r="BZ171" s="13">
        <f>BY171*VLOOKUP('Données projet'!$B$12,Paramètres!$A$1:$I$89,3,0)*VLOOKUP('Données projet'!$B$12,Paramètres!$A$1:$I$89,5,0)</f>
        <v>241.11359999999982</v>
      </c>
      <c r="CA171" s="13">
        <f t="shared" si="170"/>
        <v>58.6790623558988</v>
      </c>
      <c r="CB171" s="20">
        <f t="shared" si="171"/>
        <v>522.13888693652348</v>
      </c>
      <c r="CC171" s="59">
        <f t="shared" si="119"/>
        <v>815.47222026985673</v>
      </c>
      <c r="CD171" s="59">
        <f ca="1">AVERAGE(OFFSET($CC$3,0,0,'Données projet'!$E$12+1,1))-AVERAGE(OFFSET($H$3,0,0,'Données projet'!$E$12+1,1))</f>
        <v>340.49092994349405</v>
      </c>
      <c r="CE171" s="59">
        <f t="shared" si="148"/>
        <v>331.54434271908832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7.2078775457775297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7.2078775457775297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306.99999999999994</v>
      </c>
      <c r="CU171" s="17">
        <f>CT171*VLOOKUP('Données projet'!$B$13,Paramètres!$A$1:$I$89,3,0)*VLOOKUP('Données projet'!$B$13,Paramètres!$A$1:$I$89,5,0)</f>
        <v>277.77359999999993</v>
      </c>
      <c r="CV171" s="13">
        <f t="shared" si="173"/>
        <v>66.496288176842356</v>
      </c>
      <c r="CW171" s="20">
        <f t="shared" si="174"/>
        <v>599.60338857466706</v>
      </c>
      <c r="CX171" s="59">
        <f t="shared" si="122"/>
        <v>892.93672190800044</v>
      </c>
      <c r="CY171" s="59">
        <f ca="1">AVERAGE(OFFSET($CX$3,0,0,'Données projet'!$E$13+1,1))-AVERAGE(OFFSET($H$3,0,0,'Données projet'!$E$13+1,1))</f>
        <v>439.19854273764042</v>
      </c>
      <c r="CZ171" s="59">
        <f t="shared" si="150"/>
        <v>278.21741231699929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35.041039291560061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35.041039291560061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306.99999999999994</v>
      </c>
      <c r="DP171" s="17">
        <f>DO171*VLOOKUP('Données projet'!$B$14,Paramètres!$A$1:$I$89,3,0)*VLOOKUP('Données projet'!$B$14,Paramètres!$A$1:$I$89,5,0)</f>
        <v>258.61679999999996</v>
      </c>
      <c r="DQ171" s="13">
        <f t="shared" si="176"/>
        <v>62.427444141032439</v>
      </c>
      <c r="DR171" s="20">
        <f t="shared" si="177"/>
        <v>559.15205854563135</v>
      </c>
      <c r="DS171" s="59">
        <f t="shared" si="125"/>
        <v>852.48539187896472</v>
      </c>
      <c r="DT171" s="59">
        <f ca="1">AVERAGE(OFFSET($DS$3,0,0,'Données projet'!$E$14+1,1))-AVERAGE(OFFSET($H$3,0,0,'Données projet'!$E$14+1,1))</f>
        <v>411.72284844766</v>
      </c>
      <c r="DU171" s="59">
        <f t="shared" si="152"/>
        <v>261.95434270986397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32.624415892142117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32.624415892142117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636.99999999999977</v>
      </c>
      <c r="EK171" s="17">
        <f>EJ171*VLOOKUP('Données projet'!$B$15,Paramètres!$A$1:$I$89,3,0)*VLOOKUP('Données projet'!$B$15,Paramètres!$A$1:$I$89,5,0)</f>
        <v>356.08299999999991</v>
      </c>
      <c r="EL171" s="13">
        <f t="shared" si="179"/>
        <v>82.813805255716545</v>
      </c>
      <c r="EM171" s="20">
        <f t="shared" si="180"/>
        <v>764.41193582037283</v>
      </c>
      <c r="EN171" s="59">
        <f t="shared" si="128"/>
        <v>1057.7452691537062</v>
      </c>
      <c r="EO171" s="59">
        <f ca="1">AVERAGE(OFFSET($EN$3,0,0,'Données projet'!$E$15+1,1))-AVERAGE(OFFSET($H$3,0,0,'Données projet'!$E$15+1,1))</f>
        <v>443.34220761968419</v>
      </c>
      <c r="EP171" s="59">
        <f t="shared" si="154"/>
        <v>546.58234447298014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11.511663836985274</v>
      </c>
      <c r="EW171" s="21">
        <f>EXP(-LN(2)/25)*EW170+(1-EXP(-LN(2)/25))/(LN(2)/25)*Calculateur!ER171*Calculateur!ET171*VLOOKUP('Données projet'!$B$15,Paramètres!$A$1:$I$89,3,0)*0.475*44/12</f>
        <v>0.47807681163213767</v>
      </c>
      <c r="EX171" s="21">
        <f>EXP(-LN(2)/2)*EX170+(1-EXP(-LN(2)/2))/(LN(2)/2)*ER171*EU171*VLOOKUP('Données projet'!$B$15,Paramètres!$A$1:$I$89,3,0)*0.475*44/12</f>
        <v>1.0235201969454695E-20</v>
      </c>
      <c r="EY171" s="22">
        <f t="shared" si="181"/>
        <v>11.989740648617412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224.00000000000006</v>
      </c>
      <c r="O172" s="13">
        <f>N172*VLOOKUP('Données projet'!$B$9,Paramètres!$A$1:$I$89,3,0)*VLOOKUP('Données projet'!$B$9,Paramètres!$A$1:$I$89,5,0)</f>
        <v>195.68640000000008</v>
      </c>
      <c r="P172" s="13">
        <f t="shared" si="141"/>
        <v>48.794969360985156</v>
      </c>
      <c r="Q172" s="20">
        <f t="shared" si="162"/>
        <v>425.8050516370493</v>
      </c>
      <c r="R172" s="59">
        <f t="shared" si="109"/>
        <v>719.13838497038262</v>
      </c>
      <c r="S172" s="59">
        <f ca="1">AVERAGE(OFFSET($R$3,0,0,'Données projet'!$E$9+1,1))-AVERAGE(OFFSET($H$3,0,0,'Données projet'!$E$9+1,1))</f>
        <v>304.32767345253382</v>
      </c>
      <c r="T172" s="59">
        <f t="shared" si="142"/>
        <v>427.16091343339173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7.2775928885048753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7.2775928885048753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367.99999999999972</v>
      </c>
      <c r="AJ172" s="13">
        <f>AI172*VLOOKUP('Données projet'!$B$10,Paramètres!$A$1:$I$89,3,0)*VLOOKUP('Données projet'!$B$10,Paramètres!$A$1:$I$89,5,0)</f>
        <v>292.78079999999977</v>
      </c>
      <c r="AK172" s="13">
        <f t="shared" si="164"/>
        <v>69.660903052386217</v>
      </c>
      <c r="AL172" s="20">
        <f t="shared" si="165"/>
        <v>631.25263281623893</v>
      </c>
      <c r="AM172" s="59">
        <f t="shared" si="113"/>
        <v>924.58596614957219</v>
      </c>
      <c r="AN172" s="59">
        <f ca="1">AVERAGE(OFFSET($AM$3,0,0,'Données projet'!$E$10+1,1))-AVERAGE(OFFSET($H$3,0,0,'Données projet'!$E$10+1,1))</f>
        <v>405.40026823646758</v>
      </c>
      <c r="AO172" s="59">
        <f t="shared" si="144"/>
        <v>393.0787141050053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10.576326333209151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10.576326333209151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739.99999999999966</v>
      </c>
      <c r="BE172" s="13">
        <f>BD172*VLOOKUP('Données projet'!$B$11,Paramètres!$A$1:$I$89,3,0)*VLOOKUP('Données projet'!$B$11,Paramètres!$A$1:$I$89,5,0)</f>
        <v>413.65999999999985</v>
      </c>
      <c r="BF172" s="13">
        <f t="shared" si="167"/>
        <v>94.540585122244352</v>
      </c>
      <c r="BG172" s="20">
        <f t="shared" si="168"/>
        <v>885.11601908790863</v>
      </c>
      <c r="BH172" s="59">
        <f t="shared" si="116"/>
        <v>1178.4493524212419</v>
      </c>
      <c r="BI172" s="59">
        <f ca="1">AVERAGE(OFFSET($BH$3,0,0,'Données projet'!$E$11+1,1))-AVERAGE(OFFSET($H$3,0,0,'Données projet'!$E$11+1,1))</f>
        <v>555.15881087162279</v>
      </c>
      <c r="BJ172" s="59">
        <f t="shared" si="146"/>
        <v>668.20427590250733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14.261321720797062</v>
      </c>
      <c r="BQ172" s="21">
        <f>EXP(-LN(2)/25)*BQ171+(1-EXP(-LN(2)/25))/(LN(2)/25)*Calculateur!BL172*Calculateur!BN172*VLOOKUP('Données projet'!$B$11,Paramètres!$A$1:$I$89,3,0)*0.475*44/12</f>
        <v>1.2247944036826321</v>
      </c>
      <c r="BR172" s="21">
        <f>EXP(-LN(2)/2)*BR171+(1-EXP(-LN(2)/2))/(LN(2)/2)*BL172*BO172*VLOOKUP('Données projet'!$B$11,Paramètres!$A$1:$I$89,3,0)*0.475*44/12</f>
        <v>1.0187816775151669E-21</v>
      </c>
      <c r="BS172" s="22">
        <f t="shared" si="169"/>
        <v>15.486116124479693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367.99999999999972</v>
      </c>
      <c r="BZ172" s="13">
        <f>BY172*VLOOKUP('Données projet'!$B$12,Paramètres!$A$1:$I$89,3,0)*VLOOKUP('Données projet'!$B$12,Paramètres!$A$1:$I$89,5,0)</f>
        <v>241.11359999999982</v>
      </c>
      <c r="CA172" s="13">
        <f t="shared" si="170"/>
        <v>58.6790623558988</v>
      </c>
      <c r="CB172" s="20">
        <f t="shared" si="171"/>
        <v>522.13888693652348</v>
      </c>
      <c r="CC172" s="59">
        <f t="shared" si="119"/>
        <v>815.47222026985673</v>
      </c>
      <c r="CD172" s="59">
        <f ca="1">AVERAGE(OFFSET($CC$3,0,0,'Données projet'!$E$12+1,1))-AVERAGE(OFFSET($H$3,0,0,'Données projet'!$E$12+1,1))</f>
        <v>340.49092994349405</v>
      </c>
      <c r="CE172" s="59">
        <f t="shared" si="148"/>
        <v>331.54434271908832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7.06653546347603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7.06653546347603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306.99999999999994</v>
      </c>
      <c r="CU172" s="17">
        <f>CT172*VLOOKUP('Données projet'!$B$13,Paramètres!$A$1:$I$89,3,0)*VLOOKUP('Données projet'!$B$13,Paramètres!$A$1:$I$89,5,0)</f>
        <v>277.77359999999993</v>
      </c>
      <c r="CV172" s="13">
        <f t="shared" si="173"/>
        <v>66.496288176842356</v>
      </c>
      <c r="CW172" s="20">
        <f t="shared" si="174"/>
        <v>599.60338857466706</v>
      </c>
      <c r="CX172" s="59">
        <f t="shared" si="122"/>
        <v>892.93672190800044</v>
      </c>
      <c r="CY172" s="59">
        <f ca="1">AVERAGE(OFFSET($CX$3,0,0,'Données projet'!$E$13+1,1))-AVERAGE(OFFSET($H$3,0,0,'Données projet'!$E$13+1,1))</f>
        <v>439.19854273764042</v>
      </c>
      <c r="CZ172" s="59">
        <f t="shared" si="150"/>
        <v>278.21741231699929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34.353905883976132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34.353905883976132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306.99999999999994</v>
      </c>
      <c r="DP172" s="17">
        <f>DO172*VLOOKUP('Données projet'!$B$14,Paramètres!$A$1:$I$89,3,0)*VLOOKUP('Données projet'!$B$14,Paramètres!$A$1:$I$89,5,0)</f>
        <v>258.61679999999996</v>
      </c>
      <c r="DQ172" s="13">
        <f t="shared" si="176"/>
        <v>62.427444141032439</v>
      </c>
      <c r="DR172" s="20">
        <f t="shared" si="177"/>
        <v>559.15205854563135</v>
      </c>
      <c r="DS172" s="59">
        <f t="shared" si="125"/>
        <v>852.48539187896472</v>
      </c>
      <c r="DT172" s="59">
        <f ca="1">AVERAGE(OFFSET($DS$3,0,0,'Données projet'!$E$14+1,1))-AVERAGE(OFFSET($H$3,0,0,'Données projet'!$E$14+1,1))</f>
        <v>411.72284844766</v>
      </c>
      <c r="DU172" s="59">
        <f t="shared" si="152"/>
        <v>261.95434270986397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31.98467099542605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31.98467099542605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636.99999999999977</v>
      </c>
      <c r="EK172" s="17">
        <f>EJ172*VLOOKUP('Données projet'!$B$15,Paramètres!$A$1:$I$89,3,0)*VLOOKUP('Données projet'!$B$15,Paramètres!$A$1:$I$89,5,0)</f>
        <v>356.08299999999991</v>
      </c>
      <c r="EL172" s="13">
        <f t="shared" si="179"/>
        <v>82.813805255716545</v>
      </c>
      <c r="EM172" s="20">
        <f t="shared" si="180"/>
        <v>764.41193582037283</v>
      </c>
      <c r="EN172" s="59">
        <f t="shared" si="128"/>
        <v>1057.7452691537062</v>
      </c>
      <c r="EO172" s="59">
        <f ca="1">AVERAGE(OFFSET($EN$3,0,0,'Données projet'!$E$15+1,1))-AVERAGE(OFFSET($H$3,0,0,'Données projet'!$E$15+1,1))</f>
        <v>443.34220761968419</v>
      </c>
      <c r="EP172" s="59">
        <f t="shared" si="154"/>
        <v>546.58234447298014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11.285927130563627</v>
      </c>
      <c r="EW172" s="21">
        <f>EXP(-LN(2)/25)*EW171+(1-EXP(-LN(2)/25))/(LN(2)/25)*Calculateur!ER172*Calculateur!ET172*VLOOKUP('Données projet'!$B$15,Paramètres!$A$1:$I$89,3,0)*0.475*44/12</f>
        <v>0.46500377607708998</v>
      </c>
      <c r="EX172" s="21">
        <f>EXP(-LN(2)/2)*EX171+(1-EXP(-LN(2)/2))/(LN(2)/2)*ER172*EU172*VLOOKUP('Données projet'!$B$15,Paramètres!$A$1:$I$89,3,0)*0.475*44/12</f>
        <v>7.2373807194153212E-21</v>
      </c>
      <c r="EY172" s="22">
        <f t="shared" si="181"/>
        <v>11.750930906640717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224.00000000000006</v>
      </c>
      <c r="O173" s="13">
        <f>N173*VLOOKUP('Données projet'!$B$9,Paramètres!$A$1:$I$89,3,0)*VLOOKUP('Données projet'!$B$9,Paramètres!$A$1:$I$89,5,0)</f>
        <v>195.68640000000008</v>
      </c>
      <c r="P173" s="13">
        <f t="shared" si="141"/>
        <v>48.794969360985156</v>
      </c>
      <c r="Q173" s="20">
        <f t="shared" si="162"/>
        <v>425.8050516370493</v>
      </c>
      <c r="R173" s="59">
        <f t="shared" si="109"/>
        <v>719.13838497038262</v>
      </c>
      <c r="S173" s="59">
        <f ca="1">AVERAGE(OFFSET($R$3,0,0,'Données projet'!$E$9+1,1))-AVERAGE(OFFSET($H$3,0,0,'Données projet'!$E$9+1,1))</f>
        <v>304.32767345253382</v>
      </c>
      <c r="T173" s="59">
        <f t="shared" si="142"/>
        <v>427.16091343339173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7.1348837308546527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7.1348837308546527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367.99999999999972</v>
      </c>
      <c r="AJ173" s="13">
        <f>AI173*VLOOKUP('Données projet'!$B$10,Paramètres!$A$1:$I$89,3,0)*VLOOKUP('Données projet'!$B$10,Paramètres!$A$1:$I$89,5,0)</f>
        <v>292.78079999999977</v>
      </c>
      <c r="AK173" s="13">
        <f t="shared" si="164"/>
        <v>69.660903052386217</v>
      </c>
      <c r="AL173" s="20">
        <f t="shared" si="165"/>
        <v>631.25263281623893</v>
      </c>
      <c r="AM173" s="59">
        <f t="shared" si="113"/>
        <v>924.58596614957219</v>
      </c>
      <c r="AN173" s="59">
        <f ca="1">AVERAGE(OFFSET($AM$3,0,0,'Données projet'!$E$10+1,1))-AVERAGE(OFFSET($H$3,0,0,'Données projet'!$E$10+1,1))</f>
        <v>405.40026823646758</v>
      </c>
      <c r="AO173" s="59">
        <f t="shared" si="144"/>
        <v>393.0787141050053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10.368931024737007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10.368931024737007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739.99999999999966</v>
      </c>
      <c r="BE173" s="13">
        <f>BD173*VLOOKUP('Données projet'!$B$11,Paramètres!$A$1:$I$89,3,0)*VLOOKUP('Données projet'!$B$11,Paramètres!$A$1:$I$89,5,0)</f>
        <v>413.65999999999985</v>
      </c>
      <c r="BF173" s="13">
        <f t="shared" si="167"/>
        <v>94.540585122244352</v>
      </c>
      <c r="BG173" s="20">
        <f t="shared" si="168"/>
        <v>885.11601908790863</v>
      </c>
      <c r="BH173" s="59">
        <f t="shared" si="116"/>
        <v>1178.4493524212419</v>
      </c>
      <c r="BI173" s="59">
        <f ca="1">AVERAGE(OFFSET($BH$3,0,0,'Données projet'!$E$11+1,1))-AVERAGE(OFFSET($H$3,0,0,'Données projet'!$E$11+1,1))</f>
        <v>555.15881087162279</v>
      </c>
      <c r="BJ173" s="59">
        <f t="shared" si="146"/>
        <v>668.20427590250733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13.981665900399571</v>
      </c>
      <c r="BQ173" s="21">
        <f>EXP(-LN(2)/25)*BQ172+(1-EXP(-LN(2)/25))/(LN(2)/25)*Calculateur!BL173*Calculateur!BN173*VLOOKUP('Données projet'!$B$11,Paramètres!$A$1:$I$89,3,0)*0.475*44/12</f>
        <v>1.1913023363047921</v>
      </c>
      <c r="BR173" s="21">
        <f>EXP(-LN(2)/2)*BR172+(1-EXP(-LN(2)/2))/(LN(2)/2)*BL173*BO173*VLOOKUP('Données projet'!$B$11,Paramètres!$A$1:$I$89,3,0)*0.475*44/12</f>
        <v>7.2038743271958094E-22</v>
      </c>
      <c r="BS173" s="22">
        <f t="shared" si="169"/>
        <v>15.172968236704364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367.99999999999972</v>
      </c>
      <c r="BZ173" s="13">
        <f>BY173*VLOOKUP('Données projet'!$B$12,Paramètres!$A$1:$I$89,3,0)*VLOOKUP('Données projet'!$B$12,Paramètres!$A$1:$I$89,5,0)</f>
        <v>241.11359999999982</v>
      </c>
      <c r="CA173" s="13">
        <f t="shared" si="170"/>
        <v>58.6790623558988</v>
      </c>
      <c r="CB173" s="20">
        <f t="shared" si="171"/>
        <v>522.13888693652348</v>
      </c>
      <c r="CC173" s="59">
        <f t="shared" si="119"/>
        <v>815.47222026985673</v>
      </c>
      <c r="CD173" s="59">
        <f ca="1">AVERAGE(OFFSET($CC$3,0,0,'Données projet'!$E$12+1,1))-AVERAGE(OFFSET($H$3,0,0,'Données projet'!$E$12+1,1))</f>
        <v>340.49092994349405</v>
      </c>
      <c r="CE173" s="59">
        <f t="shared" si="148"/>
        <v>331.54434271908832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6.927965013198305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6.927965013198305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306.99999999999994</v>
      </c>
      <c r="CU173" s="17">
        <f>CT173*VLOOKUP('Données projet'!$B$13,Paramètres!$A$1:$I$89,3,0)*VLOOKUP('Données projet'!$B$13,Paramètres!$A$1:$I$89,5,0)</f>
        <v>277.77359999999993</v>
      </c>
      <c r="CV173" s="13">
        <f t="shared" si="173"/>
        <v>66.496288176842356</v>
      </c>
      <c r="CW173" s="20">
        <f t="shared" si="174"/>
        <v>599.60338857466706</v>
      </c>
      <c r="CX173" s="59">
        <f t="shared" si="122"/>
        <v>892.93672190800044</v>
      </c>
      <c r="CY173" s="59">
        <f ca="1">AVERAGE(OFFSET($CX$3,0,0,'Données projet'!$E$13+1,1))-AVERAGE(OFFSET($H$3,0,0,'Données projet'!$E$13+1,1))</f>
        <v>439.19854273764042</v>
      </c>
      <c r="CZ173" s="59">
        <f t="shared" si="150"/>
        <v>278.21741231699929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33.680246743404929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33.680246743404929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306.99999999999994</v>
      </c>
      <c r="DP173" s="17">
        <f>DO173*VLOOKUP('Données projet'!$B$14,Paramètres!$A$1:$I$89,3,0)*VLOOKUP('Données projet'!$B$14,Paramètres!$A$1:$I$89,5,0)</f>
        <v>258.61679999999996</v>
      </c>
      <c r="DQ173" s="13">
        <f t="shared" si="176"/>
        <v>62.427444141032439</v>
      </c>
      <c r="DR173" s="20">
        <f t="shared" si="177"/>
        <v>559.15205854563135</v>
      </c>
      <c r="DS173" s="59">
        <f t="shared" si="125"/>
        <v>852.48539187896472</v>
      </c>
      <c r="DT173" s="59">
        <f ca="1">AVERAGE(OFFSET($DS$3,0,0,'Données projet'!$E$14+1,1))-AVERAGE(OFFSET($H$3,0,0,'Données projet'!$E$14+1,1))</f>
        <v>411.72284844766</v>
      </c>
      <c r="DU173" s="59">
        <f t="shared" si="152"/>
        <v>261.95434270986397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31.357471105928727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31.357471105928727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636.99999999999977</v>
      </c>
      <c r="EK173" s="17">
        <f>EJ173*VLOOKUP('Données projet'!$B$15,Paramètres!$A$1:$I$89,3,0)*VLOOKUP('Données projet'!$B$15,Paramètres!$A$1:$I$89,5,0)</f>
        <v>356.08299999999991</v>
      </c>
      <c r="EL173" s="13">
        <f t="shared" si="179"/>
        <v>82.813805255716545</v>
      </c>
      <c r="EM173" s="20">
        <f t="shared" si="180"/>
        <v>764.41193582037283</v>
      </c>
      <c r="EN173" s="59">
        <f t="shared" si="128"/>
        <v>1057.7452691537062</v>
      </c>
      <c r="EO173" s="59">
        <f ca="1">AVERAGE(OFFSET($EN$3,0,0,'Données projet'!$E$15+1,1))-AVERAGE(OFFSET($H$3,0,0,'Données projet'!$E$15+1,1))</f>
        <v>443.34220761968419</v>
      </c>
      <c r="EP173" s="59">
        <f t="shared" si="154"/>
        <v>546.58234447298014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11.064616983269111</v>
      </c>
      <c r="EW173" s="21">
        <f>EXP(-LN(2)/25)*EW172+(1-EXP(-LN(2)/25))/(LN(2)/25)*Calculateur!ER173*Calculateur!ET173*VLOOKUP('Données projet'!$B$15,Paramètres!$A$1:$I$89,3,0)*0.475*44/12</f>
        <v>0.45228822336677615</v>
      </c>
      <c r="EX173" s="21">
        <f>EXP(-LN(2)/2)*EX172+(1-EXP(-LN(2)/2))/(LN(2)/2)*ER173*EU173*VLOOKUP('Données projet'!$B$15,Paramètres!$A$1:$I$89,3,0)*0.475*44/12</f>
        <v>5.1176009847273475E-21</v>
      </c>
      <c r="EY173" s="22">
        <f t="shared" si="181"/>
        <v>11.516905206635888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224.00000000000006</v>
      </c>
      <c r="O174" s="13">
        <f>N174*VLOOKUP('Données projet'!$B$9,Paramètres!$A$1:$I$89,3,0)*VLOOKUP('Données projet'!$B$9,Paramètres!$A$1:$I$89,5,0)</f>
        <v>195.68640000000008</v>
      </c>
      <c r="P174" s="13">
        <f t="shared" si="141"/>
        <v>48.794969360985156</v>
      </c>
      <c r="Q174" s="20">
        <f t="shared" si="162"/>
        <v>425.8050516370493</v>
      </c>
      <c r="R174" s="59">
        <f t="shared" si="109"/>
        <v>719.13838497038262</v>
      </c>
      <c r="S174" s="59">
        <f ca="1">AVERAGE(OFFSET($R$3,0,0,'Données projet'!$E$9+1,1))-AVERAGE(OFFSET($H$3,0,0,'Données projet'!$E$9+1,1))</f>
        <v>304.32767345253382</v>
      </c>
      <c r="T174" s="59">
        <f t="shared" si="142"/>
        <v>427.16091343339173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6.9949730127419594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6.9949730127419594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367.99999999999972</v>
      </c>
      <c r="AJ174" s="13">
        <f>AI174*VLOOKUP('Données projet'!$B$10,Paramètres!$A$1:$I$89,3,0)*VLOOKUP('Données projet'!$B$10,Paramètres!$A$1:$I$89,5,0)</f>
        <v>292.78079999999977</v>
      </c>
      <c r="AK174" s="13">
        <f t="shared" si="164"/>
        <v>69.660903052386217</v>
      </c>
      <c r="AL174" s="20">
        <f t="shared" si="165"/>
        <v>631.25263281623893</v>
      </c>
      <c r="AM174" s="59">
        <f t="shared" si="113"/>
        <v>924.58596614957219</v>
      </c>
      <c r="AN174" s="59">
        <f ca="1">AVERAGE(OFFSET($AM$3,0,0,'Données projet'!$E$10+1,1))-AVERAGE(OFFSET($H$3,0,0,'Données projet'!$E$10+1,1))</f>
        <v>405.40026823646758</v>
      </c>
      <c r="AO174" s="59">
        <f t="shared" si="144"/>
        <v>393.0787141050053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10.165602611765355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10.165602611765355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739.99999999999966</v>
      </c>
      <c r="BE174" s="13">
        <f>BD174*VLOOKUP('Données projet'!$B$11,Paramètres!$A$1:$I$89,3,0)*VLOOKUP('Données projet'!$B$11,Paramètres!$A$1:$I$89,5,0)</f>
        <v>413.65999999999985</v>
      </c>
      <c r="BF174" s="13">
        <f t="shared" si="167"/>
        <v>94.540585122244352</v>
      </c>
      <c r="BG174" s="20">
        <f t="shared" si="168"/>
        <v>885.11601908790863</v>
      </c>
      <c r="BH174" s="59">
        <f t="shared" si="116"/>
        <v>1178.4493524212419</v>
      </c>
      <c r="BI174" s="59">
        <f ca="1">AVERAGE(OFFSET($BH$3,0,0,'Données projet'!$E$11+1,1))-AVERAGE(OFFSET($H$3,0,0,'Données projet'!$E$11+1,1))</f>
        <v>555.15881087162279</v>
      </c>
      <c r="BJ174" s="59">
        <f t="shared" si="146"/>
        <v>668.20427590250733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13.707493960066868</v>
      </c>
      <c r="BQ174" s="21">
        <f>EXP(-LN(2)/25)*BQ173+(1-EXP(-LN(2)/25))/(LN(2)/25)*Calculateur!BL174*Calculateur!BN174*VLOOKUP('Données projet'!$B$11,Paramètres!$A$1:$I$89,3,0)*0.475*44/12</f>
        <v>1.1587261112706704</v>
      </c>
      <c r="BR174" s="21">
        <f>EXP(-LN(2)/2)*BR173+(1-EXP(-LN(2)/2))/(LN(2)/2)*BL174*BO174*VLOOKUP('Données projet'!$B$11,Paramètres!$A$1:$I$89,3,0)*0.475*44/12</f>
        <v>5.0939083875758343E-22</v>
      </c>
      <c r="BS174" s="22">
        <f t="shared" si="169"/>
        <v>14.866220071337539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367.99999999999972</v>
      </c>
      <c r="BZ174" s="13">
        <f>BY174*VLOOKUP('Données projet'!$B$12,Paramètres!$A$1:$I$89,3,0)*VLOOKUP('Données projet'!$B$12,Paramètres!$A$1:$I$89,5,0)</f>
        <v>241.11359999999982</v>
      </c>
      <c r="CA174" s="13">
        <f t="shared" si="170"/>
        <v>58.6790623558988</v>
      </c>
      <c r="CB174" s="20">
        <f t="shared" si="171"/>
        <v>522.13888693652348</v>
      </c>
      <c r="CC174" s="59">
        <f t="shared" si="119"/>
        <v>815.47222026985673</v>
      </c>
      <c r="CD174" s="59">
        <f ca="1">AVERAGE(OFFSET($CC$3,0,0,'Données projet'!$E$12+1,1))-AVERAGE(OFFSET($H$3,0,0,'Données projet'!$E$12+1,1))</f>
        <v>340.49092994349405</v>
      </c>
      <c r="CE174" s="59">
        <f t="shared" si="148"/>
        <v>331.54434271908832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6.792111844930897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6.792111844930897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306.99999999999994</v>
      </c>
      <c r="CU174" s="17">
        <f>CT174*VLOOKUP('Données projet'!$B$13,Paramètres!$A$1:$I$89,3,0)*VLOOKUP('Données projet'!$B$13,Paramètres!$A$1:$I$89,5,0)</f>
        <v>277.77359999999993</v>
      </c>
      <c r="CV174" s="13">
        <f t="shared" si="173"/>
        <v>66.496288176842356</v>
      </c>
      <c r="CW174" s="20">
        <f t="shared" si="174"/>
        <v>599.60338857466706</v>
      </c>
      <c r="CX174" s="59">
        <f t="shared" si="122"/>
        <v>892.93672190800044</v>
      </c>
      <c r="CY174" s="59">
        <f ca="1">AVERAGE(OFFSET($CX$3,0,0,'Données projet'!$E$13+1,1))-AVERAGE(OFFSET($H$3,0,0,'Données projet'!$E$13+1,1))</f>
        <v>439.19854273764042</v>
      </c>
      <c r="CZ174" s="59">
        <f t="shared" si="150"/>
        <v>278.21741231699929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33.019797647688826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33.019797647688826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306.99999999999994</v>
      </c>
      <c r="DP174" s="17">
        <f>DO174*VLOOKUP('Données projet'!$B$14,Paramètres!$A$1:$I$89,3,0)*VLOOKUP('Données projet'!$B$14,Paramètres!$A$1:$I$89,5,0)</f>
        <v>258.61679999999996</v>
      </c>
      <c r="DQ174" s="13">
        <f t="shared" si="176"/>
        <v>62.427444141032439</v>
      </c>
      <c r="DR174" s="20">
        <f t="shared" si="177"/>
        <v>559.15205854563135</v>
      </c>
      <c r="DS174" s="59">
        <f t="shared" si="125"/>
        <v>852.48539187896472</v>
      </c>
      <c r="DT174" s="59">
        <f ca="1">AVERAGE(OFFSET($DS$3,0,0,'Données projet'!$E$14+1,1))-AVERAGE(OFFSET($H$3,0,0,'Données projet'!$E$14+1,1))</f>
        <v>411.72284844766</v>
      </c>
      <c r="DU174" s="59">
        <f t="shared" si="152"/>
        <v>261.95434270986397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30.742570223710288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30.742570223710288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636.99999999999977</v>
      </c>
      <c r="EK174" s="17">
        <f>EJ174*VLOOKUP('Données projet'!$B$15,Paramètres!$A$1:$I$89,3,0)*VLOOKUP('Données projet'!$B$15,Paramètres!$A$1:$I$89,5,0)</f>
        <v>356.08299999999991</v>
      </c>
      <c r="EL174" s="13">
        <f t="shared" si="179"/>
        <v>82.813805255716545</v>
      </c>
      <c r="EM174" s="20">
        <f t="shared" si="180"/>
        <v>764.41193582037283</v>
      </c>
      <c r="EN174" s="59">
        <f t="shared" si="128"/>
        <v>1057.7452691537062</v>
      </c>
      <c r="EO174" s="59">
        <f ca="1">AVERAGE(OFFSET($EN$3,0,0,'Données projet'!$E$15+1,1))-AVERAGE(OFFSET($H$3,0,0,'Données projet'!$E$15+1,1))</f>
        <v>443.34220761968419</v>
      </c>
      <c r="EP174" s="59">
        <f t="shared" si="154"/>
        <v>546.58234447298014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10.847646592977179</v>
      </c>
      <c r="EW174" s="21">
        <f>EXP(-LN(2)/25)*EW173+(1-EXP(-LN(2)/25))/(LN(2)/25)*Calculateur!ER174*Calculateur!ET174*VLOOKUP('Données projet'!$B$15,Paramètres!$A$1:$I$89,3,0)*0.475*44/12</f>
        <v>0.43992037811400769</v>
      </c>
      <c r="EX174" s="21">
        <f>EXP(-LN(2)/2)*EX173+(1-EXP(-LN(2)/2))/(LN(2)/2)*ER174*EU174*VLOOKUP('Données projet'!$B$15,Paramètres!$A$1:$I$89,3,0)*0.475*44/12</f>
        <v>3.6186903597076606E-21</v>
      </c>
      <c r="EY174" s="22">
        <f t="shared" si="181"/>
        <v>11.287566971091188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224.00000000000006</v>
      </c>
      <c r="O175" s="13">
        <f>N175*VLOOKUP('Données projet'!$B$9,Paramètres!$A$1:$I$89,3,0)*VLOOKUP('Données projet'!$B$9,Paramètres!$A$1:$I$89,5,0)</f>
        <v>195.68640000000008</v>
      </c>
      <c r="P175" s="13">
        <f t="shared" si="141"/>
        <v>48.794969360985156</v>
      </c>
      <c r="Q175" s="20">
        <f t="shared" si="162"/>
        <v>425.8050516370493</v>
      </c>
      <c r="R175" s="59">
        <f t="shared" si="109"/>
        <v>719.13838497038262</v>
      </c>
      <c r="S175" s="59">
        <f ca="1">AVERAGE(OFFSET($R$3,0,0,'Données projet'!$E$9+1,1))-AVERAGE(OFFSET($H$3,0,0,'Données projet'!$E$9+1,1))</f>
        <v>304.32767345253382</v>
      </c>
      <c r="T175" s="59">
        <f t="shared" si="142"/>
        <v>427.16091343339173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6.857805858474344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6.857805858474344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367.99999999999972</v>
      </c>
      <c r="AJ175" s="13">
        <f>AI175*VLOOKUP('Données projet'!$B$10,Paramètres!$A$1:$I$89,3,0)*VLOOKUP('Données projet'!$B$10,Paramètres!$A$1:$I$89,5,0)</f>
        <v>292.78079999999977</v>
      </c>
      <c r="AK175" s="13">
        <f t="shared" si="164"/>
        <v>69.660903052386217</v>
      </c>
      <c r="AL175" s="20">
        <f t="shared" si="165"/>
        <v>631.25263281623893</v>
      </c>
      <c r="AM175" s="59">
        <f t="shared" si="113"/>
        <v>924.58596614957219</v>
      </c>
      <c r="AN175" s="59">
        <f ca="1">AVERAGE(OFFSET($AM$3,0,0,'Données projet'!$E$10+1,1))-AVERAGE(OFFSET($H$3,0,0,'Données projet'!$E$10+1,1))</f>
        <v>405.40026823646758</v>
      </c>
      <c r="AO175" s="59">
        <f t="shared" si="144"/>
        <v>393.0787141050053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9.9662613449539901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9.9662613449539901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739.99999999999966</v>
      </c>
      <c r="BE175" s="13">
        <f>BD175*VLOOKUP('Données projet'!$B$11,Paramètres!$A$1:$I$89,3,0)*VLOOKUP('Données projet'!$B$11,Paramètres!$A$1:$I$89,5,0)</f>
        <v>413.65999999999985</v>
      </c>
      <c r="BF175" s="13">
        <f t="shared" si="167"/>
        <v>94.540585122244352</v>
      </c>
      <c r="BG175" s="20">
        <f t="shared" si="168"/>
        <v>885.11601908790863</v>
      </c>
      <c r="BH175" s="59">
        <f t="shared" si="116"/>
        <v>1178.4493524212419</v>
      </c>
      <c r="BI175" s="59">
        <f ca="1">AVERAGE(OFFSET($BH$3,0,0,'Données projet'!$E$11+1,1))-AVERAGE(OFFSET($H$3,0,0,'Données projet'!$E$11+1,1))</f>
        <v>555.15881087162279</v>
      </c>
      <c r="BJ175" s="59">
        <f t="shared" si="146"/>
        <v>668.20427590250733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13.438698364255718</v>
      </c>
      <c r="BQ175" s="21">
        <f>EXP(-LN(2)/25)*BQ174+(1-EXP(-LN(2)/25))/(LN(2)/25)*Calculateur!BL175*Calculateur!BN175*VLOOKUP('Données projet'!$B$11,Paramètres!$A$1:$I$89,3,0)*0.475*44/12</f>
        <v>1.127040684823216</v>
      </c>
      <c r="BR175" s="21">
        <f>EXP(-LN(2)/2)*BR174+(1-EXP(-LN(2)/2))/(LN(2)/2)*BL175*BO175*VLOOKUP('Données projet'!$B$11,Paramètres!$A$1:$I$89,3,0)*0.475*44/12</f>
        <v>3.6019371635979047E-22</v>
      </c>
      <c r="BS175" s="22">
        <f t="shared" si="169"/>
        <v>14.565739049078934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367.99999999999972</v>
      </c>
      <c r="BZ175" s="13">
        <f>BY175*VLOOKUP('Données projet'!$B$12,Paramètres!$A$1:$I$89,3,0)*VLOOKUP('Données projet'!$B$12,Paramètres!$A$1:$I$89,5,0)</f>
        <v>241.11359999999982</v>
      </c>
      <c r="CA175" s="13">
        <f t="shared" si="170"/>
        <v>58.6790623558988</v>
      </c>
      <c r="CB175" s="20">
        <f t="shared" si="171"/>
        <v>522.13888693652348</v>
      </c>
      <c r="CC175" s="59">
        <f t="shared" si="119"/>
        <v>815.47222026985673</v>
      </c>
      <c r="CD175" s="59">
        <f ca="1">AVERAGE(OFFSET($CC$3,0,0,'Données projet'!$E$12+1,1))-AVERAGE(OFFSET($H$3,0,0,'Données projet'!$E$12+1,1))</f>
        <v>340.49092994349405</v>
      </c>
      <c r="CE175" s="59">
        <f t="shared" si="148"/>
        <v>331.54434271908832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6.6589226744309622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6.6589226744309622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306.99999999999994</v>
      </c>
      <c r="CU175" s="17">
        <f>CT175*VLOOKUP('Données projet'!$B$13,Paramètres!$A$1:$I$89,3,0)*VLOOKUP('Données projet'!$B$13,Paramètres!$A$1:$I$89,5,0)</f>
        <v>277.77359999999993</v>
      </c>
      <c r="CV175" s="13">
        <f t="shared" si="173"/>
        <v>66.496288176842356</v>
      </c>
      <c r="CW175" s="20">
        <f t="shared" si="174"/>
        <v>599.60338857466706</v>
      </c>
      <c r="CX175" s="59">
        <f t="shared" si="122"/>
        <v>892.93672190800044</v>
      </c>
      <c r="CY175" s="59">
        <f ca="1">AVERAGE(OFFSET($CX$3,0,0,'Données projet'!$E$13+1,1))-AVERAGE(OFFSET($H$3,0,0,'Données projet'!$E$13+1,1))</f>
        <v>439.19854273764042</v>
      </c>
      <c r="CZ175" s="59">
        <f t="shared" si="150"/>
        <v>278.21741231699929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32.372299555905542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32.372299555905542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306.99999999999994</v>
      </c>
      <c r="DP175" s="17">
        <f>DO175*VLOOKUP('Données projet'!$B$14,Paramètres!$A$1:$I$89,3,0)*VLOOKUP('Données projet'!$B$14,Paramètres!$A$1:$I$89,5,0)</f>
        <v>258.61679999999996</v>
      </c>
      <c r="DQ175" s="13">
        <f t="shared" si="176"/>
        <v>62.427444141032439</v>
      </c>
      <c r="DR175" s="20">
        <f t="shared" si="177"/>
        <v>559.15205854563135</v>
      </c>
      <c r="DS175" s="59">
        <f t="shared" si="125"/>
        <v>852.48539187896472</v>
      </c>
      <c r="DT175" s="59">
        <f ca="1">AVERAGE(OFFSET($DS$3,0,0,'Données projet'!$E$14+1,1))-AVERAGE(OFFSET($H$3,0,0,'Données projet'!$E$14+1,1))</f>
        <v>411.72284844766</v>
      </c>
      <c r="DU175" s="59">
        <f t="shared" si="152"/>
        <v>261.95434270986397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30.139727172739647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30.139727172739647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636.99999999999977</v>
      </c>
      <c r="EK175" s="17">
        <f>EJ175*VLOOKUP('Données projet'!$B$15,Paramètres!$A$1:$I$89,3,0)*VLOOKUP('Données projet'!$B$15,Paramètres!$A$1:$I$89,5,0)</f>
        <v>356.08299999999991</v>
      </c>
      <c r="EL175" s="13">
        <f t="shared" si="179"/>
        <v>82.813805255716545</v>
      </c>
      <c r="EM175" s="20">
        <f t="shared" si="180"/>
        <v>764.41193582037283</v>
      </c>
      <c r="EN175" s="59">
        <f t="shared" si="128"/>
        <v>1057.7452691537062</v>
      </c>
      <c r="EO175" s="59">
        <f ca="1">AVERAGE(OFFSET($EN$3,0,0,'Données projet'!$E$15+1,1))-AVERAGE(OFFSET($H$3,0,0,'Données projet'!$E$15+1,1))</f>
        <v>443.34220761968419</v>
      </c>
      <c r="EP175" s="59">
        <f t="shared" si="154"/>
        <v>546.58234447298014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10.634930859700003</v>
      </c>
      <c r="EW175" s="21">
        <f>EXP(-LN(2)/25)*EW174+(1-EXP(-LN(2)/25))/(LN(2)/25)*Calculateur!ER175*Calculateur!ET175*VLOOKUP('Données projet'!$B$15,Paramètres!$A$1:$I$89,3,0)*0.475*44/12</f>
        <v>0.4278907322400729</v>
      </c>
      <c r="EX175" s="21">
        <f>EXP(-LN(2)/2)*EX174+(1-EXP(-LN(2)/2))/(LN(2)/2)*ER175*EU175*VLOOKUP('Données projet'!$B$15,Paramètres!$A$1:$I$89,3,0)*0.475*44/12</f>
        <v>2.5588004923636738E-21</v>
      </c>
      <c r="EY175" s="22">
        <f t="shared" si="181"/>
        <v>11.062821591940075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224.00000000000006</v>
      </c>
      <c r="O176" s="13">
        <f>N176*VLOOKUP('Données projet'!$B$9,Paramètres!$A$1:$I$89,3,0)*VLOOKUP('Données projet'!$B$9,Paramètres!$A$1:$I$89,5,0)</f>
        <v>195.68640000000008</v>
      </c>
      <c r="P176" s="13">
        <f t="shared" si="141"/>
        <v>48.794969360985156</v>
      </c>
      <c r="Q176" s="20">
        <f t="shared" si="162"/>
        <v>425.8050516370493</v>
      </c>
      <c r="R176" s="59">
        <f t="shared" si="109"/>
        <v>719.13838497038262</v>
      </c>
      <c r="S176" s="59">
        <f ca="1">AVERAGE(OFFSET($R$3,0,0,'Données projet'!$E$9+1,1))-AVERAGE(OFFSET($H$3,0,0,'Données projet'!$E$9+1,1))</f>
        <v>304.32767345253382</v>
      </c>
      <c r="T176" s="59">
        <f t="shared" si="142"/>
        <v>427.16091343339173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6.723328468438214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6.723328468438214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367.99999999999972</v>
      </c>
      <c r="AJ176" s="13">
        <f>AI176*VLOOKUP('Données projet'!$B$10,Paramètres!$A$1:$I$89,3,0)*VLOOKUP('Données projet'!$B$10,Paramètres!$A$1:$I$89,5,0)</f>
        <v>292.78079999999977</v>
      </c>
      <c r="AK176" s="13">
        <f t="shared" si="164"/>
        <v>69.660903052386217</v>
      </c>
      <c r="AL176" s="20">
        <f t="shared" si="165"/>
        <v>631.25263281623893</v>
      </c>
      <c r="AM176" s="59">
        <f t="shared" si="113"/>
        <v>924.58596614957219</v>
      </c>
      <c r="AN176" s="59">
        <f ca="1">AVERAGE(OFFSET($AM$3,0,0,'Données projet'!$E$10+1,1))-AVERAGE(OFFSET($H$3,0,0,'Données projet'!$E$10+1,1))</f>
        <v>405.40026823646758</v>
      </c>
      <c r="AO176" s="59">
        <f t="shared" si="144"/>
        <v>393.0787141050053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9.7708290387986292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9.7708290387986292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739.99999999999966</v>
      </c>
      <c r="BE176" s="13">
        <f>BD176*VLOOKUP('Données projet'!$B$11,Paramètres!$A$1:$I$89,3,0)*VLOOKUP('Données projet'!$B$11,Paramètres!$A$1:$I$89,5,0)</f>
        <v>413.65999999999985</v>
      </c>
      <c r="BF176" s="13">
        <f t="shared" si="167"/>
        <v>94.540585122244352</v>
      </c>
      <c r="BG176" s="20">
        <f t="shared" si="168"/>
        <v>885.11601908790863</v>
      </c>
      <c r="BH176" s="59">
        <f t="shared" si="116"/>
        <v>1178.4493524212419</v>
      </c>
      <c r="BI176" s="59">
        <f ca="1">AVERAGE(OFFSET($BH$3,0,0,'Données projet'!$E$11+1,1))-AVERAGE(OFFSET($H$3,0,0,'Données projet'!$E$11+1,1))</f>
        <v>555.15881087162279</v>
      </c>
      <c r="BJ176" s="59">
        <f t="shared" si="146"/>
        <v>668.20427590250733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13.175173686129298</v>
      </c>
      <c r="BQ176" s="21">
        <f>EXP(-LN(2)/25)*BQ175+(1-EXP(-LN(2)/25))/(LN(2)/25)*Calculateur!BL176*Calculateur!BN176*VLOOKUP('Données projet'!$B$11,Paramètres!$A$1:$I$89,3,0)*0.475*44/12</f>
        <v>1.0962216980282313</v>
      </c>
      <c r="BR176" s="21">
        <f>EXP(-LN(2)/2)*BR175+(1-EXP(-LN(2)/2))/(LN(2)/2)*BL176*BO176*VLOOKUP('Données projet'!$B$11,Paramètres!$A$1:$I$89,3,0)*0.475*44/12</f>
        <v>2.5469541937879172E-22</v>
      </c>
      <c r="BS176" s="22">
        <f t="shared" si="169"/>
        <v>14.271395384157529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367.99999999999972</v>
      </c>
      <c r="BZ176" s="13">
        <f>BY176*VLOOKUP('Données projet'!$B$12,Paramètres!$A$1:$I$89,3,0)*VLOOKUP('Données projet'!$B$12,Paramètres!$A$1:$I$89,5,0)</f>
        <v>241.11359999999982</v>
      </c>
      <c r="CA176" s="13">
        <f t="shared" si="170"/>
        <v>58.6790623558988</v>
      </c>
      <c r="CB176" s="20">
        <f t="shared" si="171"/>
        <v>522.13888693652348</v>
      </c>
      <c r="CC176" s="59">
        <f t="shared" si="119"/>
        <v>815.47222026985673</v>
      </c>
      <c r="CD176" s="59">
        <f ca="1">AVERAGE(OFFSET($CC$3,0,0,'Données projet'!$E$12+1,1))-AVERAGE(OFFSET($H$3,0,0,'Données projet'!$E$12+1,1))</f>
        <v>340.49092994349405</v>
      </c>
      <c r="CE176" s="59">
        <f t="shared" si="148"/>
        <v>331.54434271908832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6.5283452623271581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6.5283452623271581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306.99999999999994</v>
      </c>
      <c r="CU176" s="17">
        <f>CT176*VLOOKUP('Données projet'!$B$13,Paramètres!$A$1:$I$89,3,0)*VLOOKUP('Données projet'!$B$13,Paramètres!$A$1:$I$89,5,0)</f>
        <v>277.77359999999993</v>
      </c>
      <c r="CV176" s="13">
        <f t="shared" si="173"/>
        <v>66.496288176842356</v>
      </c>
      <c r="CW176" s="20">
        <f t="shared" si="174"/>
        <v>599.60338857466706</v>
      </c>
      <c r="CX176" s="59">
        <f t="shared" si="122"/>
        <v>892.93672190800044</v>
      </c>
      <c r="CY176" s="59">
        <f ca="1">AVERAGE(OFFSET($CX$3,0,0,'Données projet'!$E$13+1,1))-AVERAGE(OFFSET($H$3,0,0,'Données projet'!$E$13+1,1))</f>
        <v>439.19854273764042</v>
      </c>
      <c r="CZ176" s="59">
        <f t="shared" si="150"/>
        <v>278.21741231699929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31.737498506767292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31.737498506767292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306.99999999999994</v>
      </c>
      <c r="DP176" s="17">
        <f>DO176*VLOOKUP('Données projet'!$B$14,Paramètres!$A$1:$I$89,3,0)*VLOOKUP('Données projet'!$B$14,Paramètres!$A$1:$I$89,5,0)</f>
        <v>258.61679999999996</v>
      </c>
      <c r="DQ176" s="13">
        <f t="shared" si="176"/>
        <v>62.427444141032439</v>
      </c>
      <c r="DR176" s="20">
        <f t="shared" si="177"/>
        <v>559.15205854563135</v>
      </c>
      <c r="DS176" s="59">
        <f t="shared" si="125"/>
        <v>852.48539187896472</v>
      </c>
      <c r="DT176" s="59">
        <f ca="1">AVERAGE(OFFSET($DS$3,0,0,'Données projet'!$E$14+1,1))-AVERAGE(OFFSET($H$3,0,0,'Données projet'!$E$14+1,1))</f>
        <v>411.72284844766</v>
      </c>
      <c r="DU176" s="59">
        <f t="shared" si="152"/>
        <v>261.95434270986397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29.548705506300585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29.548705506300585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636.99999999999977</v>
      </c>
      <c r="EK176" s="17">
        <f>EJ176*VLOOKUP('Données projet'!$B$15,Paramètres!$A$1:$I$89,3,0)*VLOOKUP('Données projet'!$B$15,Paramètres!$A$1:$I$89,5,0)</f>
        <v>356.08299999999991</v>
      </c>
      <c r="EL176" s="13">
        <f t="shared" si="179"/>
        <v>82.813805255716545</v>
      </c>
      <c r="EM176" s="20">
        <f t="shared" si="180"/>
        <v>764.41193582037283</v>
      </c>
      <c r="EN176" s="59">
        <f t="shared" si="128"/>
        <v>1057.7452691537062</v>
      </c>
      <c r="EO176" s="59">
        <f ca="1">AVERAGE(OFFSET($EN$3,0,0,'Données projet'!$E$15+1,1))-AVERAGE(OFFSET($H$3,0,0,'Données projet'!$E$15+1,1))</f>
        <v>443.34220761968419</v>
      </c>
      <c r="EP176" s="59">
        <f t="shared" si="154"/>
        <v>546.58234447298014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10.426386352208604</v>
      </c>
      <c r="EW176" s="21">
        <f>EXP(-LN(2)/25)*EW175+(1-EXP(-LN(2)/25))/(LN(2)/25)*Calculateur!ER176*Calculateur!ET176*VLOOKUP('Données projet'!$B$15,Paramètres!$A$1:$I$89,3,0)*0.475*44/12</f>
        <v>0.41619003766517243</v>
      </c>
      <c r="EX176" s="21">
        <f>EXP(-LN(2)/2)*EX175+(1-EXP(-LN(2)/2))/(LN(2)/2)*ER176*EU176*VLOOKUP('Données projet'!$B$15,Paramètres!$A$1:$I$89,3,0)*0.475*44/12</f>
        <v>1.8093451798538303E-21</v>
      </c>
      <c r="EY176" s="22">
        <f t="shared" si="181"/>
        <v>10.842576389873777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224.00000000000006</v>
      </c>
      <c r="O177" s="13">
        <f>N177*VLOOKUP('Données projet'!$B$9,Paramètres!$A$1:$I$89,3,0)*VLOOKUP('Données projet'!$B$9,Paramètres!$A$1:$I$89,5,0)</f>
        <v>195.68640000000008</v>
      </c>
      <c r="P177" s="13">
        <f t="shared" si="141"/>
        <v>48.794969360985156</v>
      </c>
      <c r="Q177" s="20">
        <f t="shared" si="162"/>
        <v>425.8050516370493</v>
      </c>
      <c r="R177" s="59">
        <f t="shared" si="109"/>
        <v>719.13838497038262</v>
      </c>
      <c r="S177" s="59">
        <f ca="1">AVERAGE(OFFSET($R$3,0,0,'Données projet'!$E$9+1,1))-AVERAGE(OFFSET($H$3,0,0,'Données projet'!$E$9+1,1))</f>
        <v>304.32767345253382</v>
      </c>
      <c r="T177" s="59">
        <f t="shared" si="142"/>
        <v>427.16091343339173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6.5914880979975834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6.5914880979975834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367.99999999999972</v>
      </c>
      <c r="AJ177" s="13">
        <f>AI177*VLOOKUP('Données projet'!$B$10,Paramètres!$A$1:$I$89,3,0)*VLOOKUP('Données projet'!$B$10,Paramètres!$A$1:$I$89,5,0)</f>
        <v>292.78079999999977</v>
      </c>
      <c r="AK177" s="13">
        <f t="shared" si="164"/>
        <v>69.660903052386217</v>
      </c>
      <c r="AL177" s="20">
        <f t="shared" si="165"/>
        <v>631.25263281623893</v>
      </c>
      <c r="AM177" s="59">
        <f t="shared" si="113"/>
        <v>924.58596614957219</v>
      </c>
      <c r="AN177" s="59">
        <f ca="1">AVERAGE(OFFSET($AM$3,0,0,'Données projet'!$E$10+1,1))-AVERAGE(OFFSET($H$3,0,0,'Données projet'!$E$10+1,1))</f>
        <v>405.40026823646758</v>
      </c>
      <c r="AO177" s="59">
        <f t="shared" si="144"/>
        <v>393.0787141050053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9.5792290409650391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9.5792290409650391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739.99999999999966</v>
      </c>
      <c r="BE177" s="13">
        <f>BD177*VLOOKUP('Données projet'!$B$11,Paramètres!$A$1:$I$89,3,0)*VLOOKUP('Données projet'!$B$11,Paramètres!$A$1:$I$89,5,0)</f>
        <v>413.65999999999985</v>
      </c>
      <c r="BF177" s="13">
        <f t="shared" si="167"/>
        <v>94.540585122244352</v>
      </c>
      <c r="BG177" s="20">
        <f t="shared" si="168"/>
        <v>885.11601908790863</v>
      </c>
      <c r="BH177" s="59">
        <f t="shared" si="116"/>
        <v>1178.4493524212419</v>
      </c>
      <c r="BI177" s="59">
        <f ca="1">AVERAGE(OFFSET($BH$3,0,0,'Données projet'!$E$11+1,1))-AVERAGE(OFFSET($H$3,0,0,'Données projet'!$E$11+1,1))</f>
        <v>555.15881087162279</v>
      </c>
      <c r="BJ177" s="59">
        <f t="shared" si="146"/>
        <v>668.20427590250733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12.916816566206757</v>
      </c>
      <c r="BQ177" s="21">
        <f>EXP(-LN(2)/25)*BQ176+(1-EXP(-LN(2)/25))/(LN(2)/25)*Calculateur!BL177*Calculateur!BN177*VLOOKUP('Données projet'!$B$11,Paramètres!$A$1:$I$89,3,0)*0.475*44/12</f>
        <v>1.0662454580478558</v>
      </c>
      <c r="BR177" s="21">
        <f>EXP(-LN(2)/2)*BR176+(1-EXP(-LN(2)/2))/(LN(2)/2)*BL177*BO177*VLOOKUP('Données projet'!$B$11,Paramètres!$A$1:$I$89,3,0)*0.475*44/12</f>
        <v>1.8009685817989523E-22</v>
      </c>
      <c r="BS177" s="22">
        <f t="shared" si="169"/>
        <v>13.983062024254613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367.99999999999972</v>
      </c>
      <c r="BZ177" s="13">
        <f>BY177*VLOOKUP('Données projet'!$B$12,Paramètres!$A$1:$I$89,3,0)*VLOOKUP('Données projet'!$B$12,Paramètres!$A$1:$I$89,5,0)</f>
        <v>241.11359999999982</v>
      </c>
      <c r="CA177" s="13">
        <f t="shared" si="170"/>
        <v>58.6790623558988</v>
      </c>
      <c r="CB177" s="20">
        <f t="shared" si="171"/>
        <v>522.13888693652348</v>
      </c>
      <c r="CC177" s="59">
        <f t="shared" si="119"/>
        <v>815.47222026985673</v>
      </c>
      <c r="CD177" s="59">
        <f ca="1">AVERAGE(OFFSET($CC$3,0,0,'Données projet'!$E$12+1,1))-AVERAGE(OFFSET($H$3,0,0,'Données projet'!$E$12+1,1))</f>
        <v>340.49092994349405</v>
      </c>
      <c r="CE177" s="59">
        <f t="shared" si="148"/>
        <v>331.54434271908832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6.4003283936303532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6.4003283936303532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306.99999999999994</v>
      </c>
      <c r="CU177" s="17">
        <f>CT177*VLOOKUP('Données projet'!$B$13,Paramètres!$A$1:$I$89,3,0)*VLOOKUP('Données projet'!$B$13,Paramètres!$A$1:$I$89,5,0)</f>
        <v>277.77359999999993</v>
      </c>
      <c r="CV177" s="13">
        <f t="shared" si="173"/>
        <v>66.496288176842356</v>
      </c>
      <c r="CW177" s="20">
        <f t="shared" si="174"/>
        <v>599.60338857466706</v>
      </c>
      <c r="CX177" s="59">
        <f t="shared" si="122"/>
        <v>892.93672190800044</v>
      </c>
      <c r="CY177" s="59">
        <f ca="1">AVERAGE(OFFSET($CX$3,0,0,'Données projet'!$E$13+1,1))-AVERAGE(OFFSET($H$3,0,0,'Données projet'!$E$13+1,1))</f>
        <v>439.19854273764042</v>
      </c>
      <c r="CZ177" s="59">
        <f t="shared" si="150"/>
        <v>278.21741231699929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31.115145519012234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31.115145519012234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306.99999999999994</v>
      </c>
      <c r="DP177" s="17">
        <f>DO177*VLOOKUP('Données projet'!$B$14,Paramètres!$A$1:$I$89,3,0)*VLOOKUP('Données projet'!$B$14,Paramètres!$A$1:$I$89,5,0)</f>
        <v>258.61679999999996</v>
      </c>
      <c r="DQ177" s="13">
        <f t="shared" si="176"/>
        <v>62.427444141032439</v>
      </c>
      <c r="DR177" s="20">
        <f t="shared" si="177"/>
        <v>559.15205854563135</v>
      </c>
      <c r="DS177" s="59">
        <f t="shared" si="125"/>
        <v>852.48539187896472</v>
      </c>
      <c r="DT177" s="59">
        <f ca="1">AVERAGE(OFFSET($DS$3,0,0,'Données projet'!$E$14+1,1))-AVERAGE(OFFSET($H$3,0,0,'Données projet'!$E$14+1,1))</f>
        <v>411.72284844766</v>
      </c>
      <c r="DU177" s="59">
        <f t="shared" si="152"/>
        <v>261.95434270986397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28.969273414252772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28.969273414252772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636.99999999999977</v>
      </c>
      <c r="EK177" s="17">
        <f>EJ177*VLOOKUP('Données projet'!$B$15,Paramètres!$A$1:$I$89,3,0)*VLOOKUP('Données projet'!$B$15,Paramètres!$A$1:$I$89,5,0)</f>
        <v>356.08299999999991</v>
      </c>
      <c r="EL177" s="13">
        <f t="shared" si="179"/>
        <v>82.813805255716545</v>
      </c>
      <c r="EM177" s="20">
        <f t="shared" si="180"/>
        <v>764.41193582037283</v>
      </c>
      <c r="EN177" s="59">
        <f t="shared" si="128"/>
        <v>1057.7452691537062</v>
      </c>
      <c r="EO177" s="59">
        <f ca="1">AVERAGE(OFFSET($EN$3,0,0,'Données projet'!$E$15+1,1))-AVERAGE(OFFSET($H$3,0,0,'Données projet'!$E$15+1,1))</f>
        <v>443.34220761968419</v>
      </c>
      <c r="EP177" s="59">
        <f t="shared" si="154"/>
        <v>546.58234447298014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10.221931275309522</v>
      </c>
      <c r="EW177" s="21">
        <f>EXP(-LN(2)/25)*EW176+(1-EXP(-LN(2)/25))/(LN(2)/25)*Calculateur!ER177*Calculateur!ET177*VLOOKUP('Données projet'!$B$15,Paramètres!$A$1:$I$89,3,0)*0.475*44/12</f>
        <v>0.40480929919873543</v>
      </c>
      <c r="EX177" s="21">
        <f>EXP(-LN(2)/2)*EX176+(1-EXP(-LN(2)/2))/(LN(2)/2)*ER177*EU177*VLOOKUP('Données projet'!$B$15,Paramètres!$A$1:$I$89,3,0)*0.475*44/12</f>
        <v>1.2794002461818369E-21</v>
      </c>
      <c r="EY177" s="22">
        <f t="shared" si="181"/>
        <v>10.626740574508258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224.00000000000006</v>
      </c>
      <c r="O178" s="13">
        <f>N178*VLOOKUP('Données projet'!$B$9,Paramètres!$A$1:$I$89,3,0)*VLOOKUP('Données projet'!$B$9,Paramètres!$A$1:$I$89,5,0)</f>
        <v>195.68640000000008</v>
      </c>
      <c r="P178" s="13">
        <f t="shared" si="141"/>
        <v>48.794969360985156</v>
      </c>
      <c r="Q178" s="20">
        <f t="shared" si="162"/>
        <v>425.8050516370493</v>
      </c>
      <c r="R178" s="59">
        <f t="shared" si="109"/>
        <v>719.13838497038262</v>
      </c>
      <c r="S178" s="59">
        <f ca="1">AVERAGE(OFFSET($R$3,0,0,'Données projet'!$E$9+1,1))-AVERAGE(OFFSET($H$3,0,0,'Données projet'!$E$9+1,1))</f>
        <v>304.32767345253382</v>
      </c>
      <c r="T178" s="59">
        <f t="shared" si="142"/>
        <v>427.16091343339173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6.4622330368066079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6.4622330368066079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367.99999999999972</v>
      </c>
      <c r="AJ178" s="13">
        <f>AI178*VLOOKUP('Données projet'!$B$10,Paramètres!$A$1:$I$89,3,0)*VLOOKUP('Données projet'!$B$10,Paramètres!$A$1:$I$89,5,0)</f>
        <v>292.78079999999977</v>
      </c>
      <c r="AK178" s="13">
        <f t="shared" si="164"/>
        <v>69.660903052386217</v>
      </c>
      <c r="AL178" s="20">
        <f t="shared" si="165"/>
        <v>631.25263281623893</v>
      </c>
      <c r="AM178" s="59">
        <f t="shared" si="113"/>
        <v>924.58596614957219</v>
      </c>
      <c r="AN178" s="59">
        <f ca="1">AVERAGE(OFFSET($AM$3,0,0,'Données projet'!$E$10+1,1))-AVERAGE(OFFSET($H$3,0,0,'Données projet'!$E$10+1,1))</f>
        <v>405.40026823646758</v>
      </c>
      <c r="AO178" s="59">
        <f t="shared" si="144"/>
        <v>393.0787141050053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9.3913862022245063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9.3913862022245063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739.99999999999966</v>
      </c>
      <c r="BE178" s="13">
        <f>BD178*VLOOKUP('Données projet'!$B$11,Paramètres!$A$1:$I$89,3,0)*VLOOKUP('Données projet'!$B$11,Paramètres!$A$1:$I$89,5,0)</f>
        <v>413.65999999999985</v>
      </c>
      <c r="BF178" s="13">
        <f t="shared" si="167"/>
        <v>94.540585122244352</v>
      </c>
      <c r="BG178" s="20">
        <f t="shared" si="168"/>
        <v>885.11601908790863</v>
      </c>
      <c r="BH178" s="59">
        <f t="shared" si="116"/>
        <v>1178.4493524212419</v>
      </c>
      <c r="BI178" s="59">
        <f ca="1">AVERAGE(OFFSET($BH$3,0,0,'Données projet'!$E$11+1,1))-AVERAGE(OFFSET($H$3,0,0,'Données projet'!$E$11+1,1))</f>
        <v>555.15881087162279</v>
      </c>
      <c r="BJ178" s="59">
        <f t="shared" si="146"/>
        <v>668.20427590250733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12.663525671823612</v>
      </c>
      <c r="BQ178" s="21">
        <f>EXP(-LN(2)/25)*BQ177+(1-EXP(-LN(2)/25))/(LN(2)/25)*Calculateur!BL178*Calculateur!BN178*VLOOKUP('Données projet'!$B$11,Paramètres!$A$1:$I$89,3,0)*0.475*44/12</f>
        <v>1.0370889199261255</v>
      </c>
      <c r="BR178" s="21">
        <f>EXP(-LN(2)/2)*BR177+(1-EXP(-LN(2)/2))/(LN(2)/2)*BL178*BO178*VLOOKUP('Données projet'!$B$11,Paramètres!$A$1:$I$89,3,0)*0.475*44/12</f>
        <v>1.2734770968939586E-22</v>
      </c>
      <c r="BS178" s="22">
        <f t="shared" si="169"/>
        <v>13.700614591749737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367.99999999999972</v>
      </c>
      <c r="BZ178" s="13">
        <f>BY178*VLOOKUP('Données projet'!$B$12,Paramètres!$A$1:$I$89,3,0)*VLOOKUP('Données projet'!$B$12,Paramètres!$A$1:$I$89,5,0)</f>
        <v>241.11359999999982</v>
      </c>
      <c r="CA178" s="13">
        <f t="shared" si="170"/>
        <v>58.6790623558988</v>
      </c>
      <c r="CB178" s="20">
        <f t="shared" si="171"/>
        <v>522.13888693652348</v>
      </c>
      <c r="CC178" s="59">
        <f t="shared" si="119"/>
        <v>815.47222026985673</v>
      </c>
      <c r="CD178" s="59">
        <f ca="1">AVERAGE(OFFSET($CC$3,0,0,'Données projet'!$E$12+1,1))-AVERAGE(OFFSET($H$3,0,0,'Données projet'!$E$12+1,1))</f>
        <v>340.49092994349405</v>
      </c>
      <c r="CE178" s="59">
        <f t="shared" si="148"/>
        <v>331.54434271908832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6.2748218576461126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6.2748218576461126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306.99999999999994</v>
      </c>
      <c r="CU178" s="17">
        <f>CT178*VLOOKUP('Données projet'!$B$13,Paramètres!$A$1:$I$89,3,0)*VLOOKUP('Données projet'!$B$13,Paramètres!$A$1:$I$89,5,0)</f>
        <v>277.77359999999993</v>
      </c>
      <c r="CV178" s="13">
        <f t="shared" si="173"/>
        <v>66.496288176842356</v>
      </c>
      <c r="CW178" s="20">
        <f t="shared" si="174"/>
        <v>599.60338857466706</v>
      </c>
      <c r="CX178" s="59">
        <f t="shared" si="122"/>
        <v>892.93672190800044</v>
      </c>
      <c r="CY178" s="59">
        <f ca="1">AVERAGE(OFFSET($CX$3,0,0,'Données projet'!$E$13+1,1))-AVERAGE(OFFSET($H$3,0,0,'Données projet'!$E$13+1,1))</f>
        <v>439.19854273764042</v>
      </c>
      <c r="CZ178" s="59">
        <f t="shared" si="150"/>
        <v>278.21741231699929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30.504996493749214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30.504996493749214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306.99999999999994</v>
      </c>
      <c r="DP178" s="17">
        <f>DO178*VLOOKUP('Données projet'!$B$14,Paramètres!$A$1:$I$89,3,0)*VLOOKUP('Données projet'!$B$14,Paramètres!$A$1:$I$89,5,0)</f>
        <v>258.61679999999996</v>
      </c>
      <c r="DQ178" s="13">
        <f t="shared" si="176"/>
        <v>62.427444141032439</v>
      </c>
      <c r="DR178" s="20">
        <f t="shared" si="177"/>
        <v>559.15205854563135</v>
      </c>
      <c r="DS178" s="59">
        <f t="shared" si="125"/>
        <v>852.48539187896472</v>
      </c>
      <c r="DT178" s="59">
        <f ca="1">AVERAGE(OFFSET($DS$3,0,0,'Données projet'!$E$14+1,1))-AVERAGE(OFFSET($H$3,0,0,'Données projet'!$E$14+1,1))</f>
        <v>411.72284844766</v>
      </c>
      <c r="DU178" s="59">
        <f t="shared" si="152"/>
        <v>261.95434270986397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28.40120363211134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28.40120363211134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636.99999999999977</v>
      </c>
      <c r="EK178" s="17">
        <f>EJ178*VLOOKUP('Données projet'!$B$15,Paramètres!$A$1:$I$89,3,0)*VLOOKUP('Données projet'!$B$15,Paramètres!$A$1:$I$89,5,0)</f>
        <v>356.08299999999991</v>
      </c>
      <c r="EL178" s="13">
        <f t="shared" si="179"/>
        <v>82.813805255716545</v>
      </c>
      <c r="EM178" s="20">
        <f t="shared" si="180"/>
        <v>764.41193582037283</v>
      </c>
      <c r="EN178" s="59">
        <f t="shared" si="128"/>
        <v>1057.7452691537062</v>
      </c>
      <c r="EO178" s="59">
        <f ca="1">AVERAGE(OFFSET($EN$3,0,0,'Données projet'!$E$15+1,1))-AVERAGE(OFFSET($H$3,0,0,'Données projet'!$E$15+1,1))</f>
        <v>443.34220761968419</v>
      </c>
      <c r="EP178" s="59">
        <f t="shared" si="154"/>
        <v>546.58234447298014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10.021485437763149</v>
      </c>
      <c r="EW178" s="21">
        <f>EXP(-LN(2)/25)*EW177+(1-EXP(-LN(2)/25))/(LN(2)/25)*Calculateur!ER178*Calculateur!ET178*VLOOKUP('Données projet'!$B$15,Paramètres!$A$1:$I$89,3,0)*0.475*44/12</f>
        <v>0.39373976762415019</v>
      </c>
      <c r="EX178" s="21">
        <f>EXP(-LN(2)/2)*EX177+(1-EXP(-LN(2)/2))/(LN(2)/2)*ER178*EU178*VLOOKUP('Données projet'!$B$15,Paramètres!$A$1:$I$89,3,0)*0.475*44/12</f>
        <v>9.0467258992691515E-22</v>
      </c>
      <c r="EY178" s="22">
        <f t="shared" si="181"/>
        <v>10.4152252053873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224.00000000000006</v>
      </c>
      <c r="O179" s="13">
        <f>N179*VLOOKUP('Données projet'!$B$9,Paramètres!$A$1:$I$89,3,0)*VLOOKUP('Données projet'!$B$9,Paramètres!$A$1:$I$89,5,0)</f>
        <v>195.68640000000008</v>
      </c>
      <c r="P179" s="13">
        <f t="shared" si="141"/>
        <v>48.794969360985156</v>
      </c>
      <c r="Q179" s="20">
        <f t="shared" si="162"/>
        <v>425.8050516370493</v>
      </c>
      <c r="R179" s="59">
        <f t="shared" si="109"/>
        <v>719.13838497038262</v>
      </c>
      <c r="S179" s="59">
        <f ca="1">AVERAGE(OFFSET($R$3,0,0,'Données projet'!$E$9+1,1))-AVERAGE(OFFSET($H$3,0,0,'Données projet'!$E$9+1,1))</f>
        <v>304.32767345253382</v>
      </c>
      <c r="T179" s="59">
        <f t="shared" si="142"/>
        <v>427.16091343339173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6.3355125885277843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6.3355125885277843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367.99999999999972</v>
      </c>
      <c r="AJ179" s="13">
        <f>AI179*VLOOKUP('Données projet'!$B$10,Paramètres!$A$1:$I$89,3,0)*VLOOKUP('Données projet'!$B$10,Paramètres!$A$1:$I$89,5,0)</f>
        <v>292.78079999999977</v>
      </c>
      <c r="AK179" s="13">
        <f t="shared" si="164"/>
        <v>69.660903052386217</v>
      </c>
      <c r="AL179" s="20">
        <f t="shared" si="165"/>
        <v>631.25263281623893</v>
      </c>
      <c r="AM179" s="59">
        <f t="shared" si="113"/>
        <v>924.58596614957219</v>
      </c>
      <c r="AN179" s="59">
        <f ca="1">AVERAGE(OFFSET($AM$3,0,0,'Données projet'!$E$10+1,1))-AVERAGE(OFFSET($H$3,0,0,'Données projet'!$E$10+1,1))</f>
        <v>405.40026823646758</v>
      </c>
      <c r="AO179" s="59">
        <f t="shared" si="144"/>
        <v>393.0787141050053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9.2072268469788554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9.2072268469788554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739.99999999999966</v>
      </c>
      <c r="BE179" s="13">
        <f>BD179*VLOOKUP('Données projet'!$B$11,Paramètres!$A$1:$I$89,3,0)*VLOOKUP('Données projet'!$B$11,Paramètres!$A$1:$I$89,5,0)</f>
        <v>413.65999999999985</v>
      </c>
      <c r="BF179" s="13">
        <f t="shared" si="167"/>
        <v>94.540585122244352</v>
      </c>
      <c r="BG179" s="20">
        <f t="shared" si="168"/>
        <v>885.11601908790863</v>
      </c>
      <c r="BH179" s="59">
        <f t="shared" si="116"/>
        <v>1178.4493524212419</v>
      </c>
      <c r="BI179" s="59">
        <f ca="1">AVERAGE(OFFSET($BH$3,0,0,'Données projet'!$E$11+1,1))-AVERAGE(OFFSET($H$3,0,0,'Données projet'!$E$11+1,1))</f>
        <v>555.15881087162279</v>
      </c>
      <c r="BJ179" s="59">
        <f t="shared" si="146"/>
        <v>668.20427590250733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12.415201657387129</v>
      </c>
      <c r="BQ179" s="21">
        <f>EXP(-LN(2)/25)*BQ178+(1-EXP(-LN(2)/25))/(LN(2)/25)*Calculateur!BL179*Calculateur!BN179*VLOOKUP('Données projet'!$B$11,Paramètres!$A$1:$I$89,3,0)*0.475*44/12</f>
        <v>1.0087296688726095</v>
      </c>
      <c r="BR179" s="21">
        <f>EXP(-LN(2)/2)*BR178+(1-EXP(-LN(2)/2))/(LN(2)/2)*BL179*BO179*VLOOKUP('Données projet'!$B$11,Paramètres!$A$1:$I$89,3,0)*0.475*44/12</f>
        <v>9.0048429089947617E-23</v>
      </c>
      <c r="BS179" s="22">
        <f t="shared" si="169"/>
        <v>13.423931326259739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367.99999999999972</v>
      </c>
      <c r="BZ179" s="13">
        <f>BY179*VLOOKUP('Données projet'!$B$12,Paramètres!$A$1:$I$89,3,0)*VLOOKUP('Données projet'!$B$12,Paramètres!$A$1:$I$89,5,0)</f>
        <v>241.11359999999982</v>
      </c>
      <c r="CA179" s="13">
        <f t="shared" si="170"/>
        <v>58.6790623558988</v>
      </c>
      <c r="CB179" s="20">
        <f t="shared" si="171"/>
        <v>522.13888693652348</v>
      </c>
      <c r="CC179" s="59">
        <f t="shared" si="119"/>
        <v>815.47222026985673</v>
      </c>
      <c r="CD179" s="59">
        <f ca="1">AVERAGE(OFFSET($CC$3,0,0,'Données projet'!$E$12+1,1))-AVERAGE(OFFSET($H$3,0,0,'Données projet'!$E$12+1,1))</f>
        <v>340.49092994349405</v>
      </c>
      <c r="CE179" s="59">
        <f t="shared" si="148"/>
        <v>331.54434271908832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6.1517764282810949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6.1517764282810949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306.99999999999994</v>
      </c>
      <c r="CU179" s="17">
        <f>CT179*VLOOKUP('Données projet'!$B$13,Paramètres!$A$1:$I$89,3,0)*VLOOKUP('Données projet'!$B$13,Paramètres!$A$1:$I$89,5,0)</f>
        <v>277.77359999999993</v>
      </c>
      <c r="CV179" s="13">
        <f t="shared" si="173"/>
        <v>66.496288176842356</v>
      </c>
      <c r="CW179" s="20">
        <f t="shared" si="174"/>
        <v>599.60338857466706</v>
      </c>
      <c r="CX179" s="59">
        <f t="shared" si="122"/>
        <v>892.93672190800044</v>
      </c>
      <c r="CY179" s="59">
        <f ca="1">AVERAGE(OFFSET($CX$3,0,0,'Données projet'!$E$13+1,1))-AVERAGE(OFFSET($H$3,0,0,'Données projet'!$E$13+1,1))</f>
        <v>439.19854273764042</v>
      </c>
      <c r="CZ179" s="59">
        <f t="shared" si="150"/>
        <v>278.21741231699929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29.906812118717443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29.906812118717443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306.99999999999994</v>
      </c>
      <c r="DP179" s="17">
        <f>DO179*VLOOKUP('Données projet'!$B$14,Paramètres!$A$1:$I$89,3,0)*VLOOKUP('Données projet'!$B$14,Paramètres!$A$1:$I$89,5,0)</f>
        <v>258.61679999999996</v>
      </c>
      <c r="DQ179" s="13">
        <f t="shared" si="176"/>
        <v>62.427444141032439</v>
      </c>
      <c r="DR179" s="20">
        <f t="shared" si="177"/>
        <v>559.15205854563135</v>
      </c>
      <c r="DS179" s="59">
        <f t="shared" si="125"/>
        <v>852.48539187896472</v>
      </c>
      <c r="DT179" s="59">
        <f ca="1">AVERAGE(OFFSET($DS$3,0,0,'Données projet'!$E$14+1,1))-AVERAGE(OFFSET($H$3,0,0,'Données projet'!$E$14+1,1))</f>
        <v>411.72284844766</v>
      </c>
      <c r="DU179" s="59">
        <f t="shared" si="152"/>
        <v>261.95434270986397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27.844273351909347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27.844273351909347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636.99999999999977</v>
      </c>
      <c r="EK179" s="17">
        <f>EJ179*VLOOKUP('Données projet'!$B$15,Paramètres!$A$1:$I$89,3,0)*VLOOKUP('Données projet'!$B$15,Paramètres!$A$1:$I$89,5,0)</f>
        <v>356.08299999999991</v>
      </c>
      <c r="EL179" s="13">
        <f t="shared" si="179"/>
        <v>82.813805255716545</v>
      </c>
      <c r="EM179" s="20">
        <f t="shared" si="180"/>
        <v>764.41193582037283</v>
      </c>
      <c r="EN179" s="59">
        <f t="shared" si="128"/>
        <v>1057.7452691537062</v>
      </c>
      <c r="EO179" s="59">
        <f ca="1">AVERAGE(OFFSET($EN$3,0,0,'Données projet'!$E$15+1,1))-AVERAGE(OFFSET($H$3,0,0,'Données projet'!$E$15+1,1))</f>
        <v>443.34220761968419</v>
      </c>
      <c r="EP179" s="59">
        <f t="shared" si="154"/>
        <v>546.58234447298014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9.8249702208311707</v>
      </c>
      <c r="EW179" s="21">
        <f>EXP(-LN(2)/25)*EW178+(1-EXP(-LN(2)/25))/(LN(2)/25)*Calculateur!ER179*Calculateur!ET179*VLOOKUP('Données projet'!$B$15,Paramètres!$A$1:$I$89,3,0)*0.475*44/12</f>
        <v>0.38297293297259333</v>
      </c>
      <c r="EX179" s="21">
        <f>EXP(-LN(2)/2)*EX178+(1-EXP(-LN(2)/2))/(LN(2)/2)*ER179*EU179*VLOOKUP('Données projet'!$B$15,Paramètres!$A$1:$I$89,3,0)*0.475*44/12</f>
        <v>6.3970012309091844E-22</v>
      </c>
      <c r="EY179" s="22">
        <f t="shared" si="181"/>
        <v>10.207943153803765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224.00000000000006</v>
      </c>
      <c r="O180" s="13">
        <f>N180*VLOOKUP('Données projet'!$B$9,Paramètres!$A$1:$I$89,3,0)*VLOOKUP('Données projet'!$B$9,Paramètres!$A$1:$I$89,5,0)</f>
        <v>195.68640000000008</v>
      </c>
      <c r="P180" s="13">
        <f t="shared" si="141"/>
        <v>48.794969360985156</v>
      </c>
      <c r="Q180" s="20">
        <f t="shared" si="162"/>
        <v>425.8050516370493</v>
      </c>
      <c r="R180" s="59">
        <f t="shared" si="109"/>
        <v>719.13838497038262</v>
      </c>
      <c r="S180" s="59">
        <f ca="1">AVERAGE(OFFSET($R$3,0,0,'Données projet'!$E$9+1,1))-AVERAGE(OFFSET($H$3,0,0,'Données projet'!$E$9+1,1))</f>
        <v>304.32767345253382</v>
      </c>
      <c r="T180" s="59">
        <f t="shared" si="142"/>
        <v>427.16091343339173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6.2112770509478672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6.2112770509478672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367.99999999999972</v>
      </c>
      <c r="AJ180" s="13">
        <f>AI180*VLOOKUP('Données projet'!$B$10,Paramètres!$A$1:$I$89,3,0)*VLOOKUP('Données projet'!$B$10,Paramètres!$A$1:$I$89,5,0)</f>
        <v>292.78079999999977</v>
      </c>
      <c r="AK180" s="13">
        <f t="shared" si="164"/>
        <v>69.660903052386217</v>
      </c>
      <c r="AL180" s="20">
        <f t="shared" si="165"/>
        <v>631.25263281623893</v>
      </c>
      <c r="AM180" s="59">
        <f t="shared" si="113"/>
        <v>924.58596614957219</v>
      </c>
      <c r="AN180" s="59">
        <f ca="1">AVERAGE(OFFSET($AM$3,0,0,'Données projet'!$E$10+1,1))-AVERAGE(OFFSET($H$3,0,0,'Données projet'!$E$10+1,1))</f>
        <v>405.40026823646758</v>
      </c>
      <c r="AO180" s="59">
        <f t="shared" si="144"/>
        <v>393.0787141050053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9.0266787443634566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9.0266787443634566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739.99999999999966</v>
      </c>
      <c r="BE180" s="13">
        <f>BD180*VLOOKUP('Données projet'!$B$11,Paramètres!$A$1:$I$89,3,0)*VLOOKUP('Données projet'!$B$11,Paramètres!$A$1:$I$89,5,0)</f>
        <v>413.65999999999985</v>
      </c>
      <c r="BF180" s="13">
        <f t="shared" si="167"/>
        <v>94.540585122244352</v>
      </c>
      <c r="BG180" s="20">
        <f t="shared" si="168"/>
        <v>885.11601908790863</v>
      </c>
      <c r="BH180" s="59">
        <f t="shared" si="116"/>
        <v>1178.4493524212419</v>
      </c>
      <c r="BI180" s="59">
        <f ca="1">AVERAGE(OFFSET($BH$3,0,0,'Données projet'!$E$11+1,1))-AVERAGE(OFFSET($H$3,0,0,'Données projet'!$E$11+1,1))</f>
        <v>555.15881087162279</v>
      </c>
      <c r="BJ180" s="59">
        <f t="shared" si="146"/>
        <v>668.20427590250733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12.171747125411054</v>
      </c>
      <c r="BQ180" s="21">
        <f>EXP(-LN(2)/25)*BQ179+(1-EXP(-LN(2)/25))/(LN(2)/25)*Calculateur!BL180*Calculateur!BN180*VLOOKUP('Données projet'!$B$11,Paramètres!$A$1:$I$89,3,0)*0.475*44/12</f>
        <v>0.9811459030305002</v>
      </c>
      <c r="BR180" s="21">
        <f>EXP(-LN(2)/2)*BR179+(1-EXP(-LN(2)/2))/(LN(2)/2)*BL180*BO180*VLOOKUP('Données projet'!$B$11,Paramètres!$A$1:$I$89,3,0)*0.475*44/12</f>
        <v>6.3673854844697929E-23</v>
      </c>
      <c r="BS180" s="22">
        <f t="shared" si="169"/>
        <v>13.152893028441554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367.99999999999972</v>
      </c>
      <c r="BZ180" s="13">
        <f>BY180*VLOOKUP('Données projet'!$B$12,Paramètres!$A$1:$I$89,3,0)*VLOOKUP('Données projet'!$B$12,Paramètres!$A$1:$I$89,5,0)</f>
        <v>241.11359999999982</v>
      </c>
      <c r="CA180" s="13">
        <f t="shared" si="170"/>
        <v>58.6790623558988</v>
      </c>
      <c r="CB180" s="20">
        <f t="shared" si="171"/>
        <v>522.13888693652348</v>
      </c>
      <c r="CC180" s="59">
        <f t="shared" si="119"/>
        <v>815.47222026985673</v>
      </c>
      <c r="CD180" s="59">
        <f ca="1">AVERAGE(OFFSET($CC$3,0,0,'Données projet'!$E$12+1,1))-AVERAGE(OFFSET($H$3,0,0,'Données projet'!$E$12+1,1))</f>
        <v>340.49092994349405</v>
      </c>
      <c r="CE180" s="59">
        <f t="shared" si="148"/>
        <v>331.54434271908832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6.0311438447356238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6.0311438447356238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306.99999999999994</v>
      </c>
      <c r="CU180" s="17">
        <f>CT180*VLOOKUP('Données projet'!$B$13,Paramètres!$A$1:$I$89,3,0)*VLOOKUP('Données projet'!$B$13,Paramètres!$A$1:$I$89,5,0)</f>
        <v>277.77359999999993</v>
      </c>
      <c r="CV180" s="13">
        <f t="shared" si="173"/>
        <v>66.496288176842356</v>
      </c>
      <c r="CW180" s="20">
        <f t="shared" si="174"/>
        <v>599.60338857466706</v>
      </c>
      <c r="CX180" s="59">
        <f t="shared" si="122"/>
        <v>892.93672190800044</v>
      </c>
      <c r="CY180" s="59">
        <f ca="1">AVERAGE(OFFSET($CX$3,0,0,'Données projet'!$E$13+1,1))-AVERAGE(OFFSET($H$3,0,0,'Données projet'!$E$13+1,1))</f>
        <v>439.19854273764042</v>
      </c>
      <c r="CZ180" s="59">
        <f t="shared" si="150"/>
        <v>278.21741231699929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29.320357774423602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29.320357774423602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306.99999999999994</v>
      </c>
      <c r="DP180" s="17">
        <f>DO180*VLOOKUP('Données projet'!$B$14,Paramètres!$A$1:$I$89,3,0)*VLOOKUP('Données projet'!$B$14,Paramètres!$A$1:$I$89,5,0)</f>
        <v>258.61679999999996</v>
      </c>
      <c r="DQ180" s="13">
        <f t="shared" si="176"/>
        <v>62.427444141032439</v>
      </c>
      <c r="DR180" s="20">
        <f t="shared" si="177"/>
        <v>559.15205854563135</v>
      </c>
      <c r="DS180" s="59">
        <f t="shared" si="125"/>
        <v>852.48539187896472</v>
      </c>
      <c r="DT180" s="59">
        <f ca="1">AVERAGE(OFFSET($DS$3,0,0,'Données projet'!$E$14+1,1))-AVERAGE(OFFSET($H$3,0,0,'Données projet'!$E$14+1,1))</f>
        <v>411.72284844766</v>
      </c>
      <c r="DU180" s="59">
        <f t="shared" si="152"/>
        <v>261.95434270986397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27.298264134808186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27.298264134808186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636.99999999999977</v>
      </c>
      <c r="EK180" s="17">
        <f>EJ180*VLOOKUP('Données projet'!$B$15,Paramètres!$A$1:$I$89,3,0)*VLOOKUP('Données projet'!$B$15,Paramètres!$A$1:$I$89,5,0)</f>
        <v>356.08299999999991</v>
      </c>
      <c r="EL180" s="13">
        <f t="shared" si="179"/>
        <v>82.813805255716545</v>
      </c>
      <c r="EM180" s="20">
        <f t="shared" si="180"/>
        <v>764.41193582037283</v>
      </c>
      <c r="EN180" s="59">
        <f t="shared" si="128"/>
        <v>1057.7452691537062</v>
      </c>
      <c r="EO180" s="59">
        <f ca="1">AVERAGE(OFFSET($EN$3,0,0,'Données projet'!$E$15+1,1))-AVERAGE(OFFSET($H$3,0,0,'Données projet'!$E$15+1,1))</f>
        <v>443.34220761968419</v>
      </c>
      <c r="EP180" s="59">
        <f t="shared" si="154"/>
        <v>546.58234447298014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9.6323085474407826</v>
      </c>
      <c r="EW180" s="21">
        <f>EXP(-LN(2)/25)*EW179+(1-EXP(-LN(2)/25))/(LN(2)/25)*Calculateur!ER180*Calculateur!ET180*VLOOKUP('Données projet'!$B$15,Paramètres!$A$1:$I$89,3,0)*0.475*44/12</f>
        <v>0.37250051798078654</v>
      </c>
      <c r="EX180" s="21">
        <f>EXP(-LN(2)/2)*EX179+(1-EXP(-LN(2)/2))/(LN(2)/2)*ER180*EU180*VLOOKUP('Données projet'!$B$15,Paramètres!$A$1:$I$89,3,0)*0.475*44/12</f>
        <v>4.5233629496345758E-22</v>
      </c>
      <c r="EY180" s="22">
        <f t="shared" si="181"/>
        <v>10.004809065421568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224.00000000000006</v>
      </c>
      <c r="O181" s="13">
        <f>N181*VLOOKUP('Données projet'!$B$9,Paramètres!$A$1:$I$89,3,0)*VLOOKUP('Données projet'!$B$9,Paramètres!$A$1:$I$89,5,0)</f>
        <v>195.68640000000008</v>
      </c>
      <c r="P181" s="13">
        <f t="shared" si="141"/>
        <v>48.794969360985156</v>
      </c>
      <c r="Q181" s="20">
        <f t="shared" si="162"/>
        <v>425.8050516370493</v>
      </c>
      <c r="R181" s="59">
        <f t="shared" si="109"/>
        <v>719.13838497038262</v>
      </c>
      <c r="S181" s="59">
        <f ca="1">AVERAGE(OFFSET($R$3,0,0,'Données projet'!$E$9+1,1))-AVERAGE(OFFSET($H$3,0,0,'Données projet'!$E$9+1,1))</f>
        <v>304.32767345253382</v>
      </c>
      <c r="T181" s="59">
        <f t="shared" si="142"/>
        <v>427.16091343339173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6.089477696483697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6.089477696483697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367.99999999999972</v>
      </c>
      <c r="AJ181" s="13">
        <f>AI181*VLOOKUP('Données projet'!$B$10,Paramètres!$A$1:$I$89,3,0)*VLOOKUP('Données projet'!$B$10,Paramètres!$A$1:$I$89,5,0)</f>
        <v>292.78079999999977</v>
      </c>
      <c r="AK181" s="13">
        <f t="shared" si="164"/>
        <v>69.660903052386217</v>
      </c>
      <c r="AL181" s="20">
        <f t="shared" si="165"/>
        <v>631.25263281623893</v>
      </c>
      <c r="AM181" s="59">
        <f t="shared" si="113"/>
        <v>924.58596614957219</v>
      </c>
      <c r="AN181" s="59">
        <f ca="1">AVERAGE(OFFSET($AM$3,0,0,'Données projet'!$E$10+1,1))-AVERAGE(OFFSET($H$3,0,0,'Données projet'!$E$10+1,1))</f>
        <v>405.40026823646758</v>
      </c>
      <c r="AO181" s="59">
        <f t="shared" si="144"/>
        <v>393.0787141050053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8.8496710799168774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8.8496710799168774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739.99999999999966</v>
      </c>
      <c r="BE181" s="13">
        <f>BD181*VLOOKUP('Données projet'!$B$11,Paramètres!$A$1:$I$89,3,0)*VLOOKUP('Données projet'!$B$11,Paramètres!$A$1:$I$89,5,0)</f>
        <v>413.65999999999985</v>
      </c>
      <c r="BF181" s="13">
        <f t="shared" si="167"/>
        <v>94.540585122244352</v>
      </c>
      <c r="BG181" s="20">
        <f t="shared" si="168"/>
        <v>885.11601908790863</v>
      </c>
      <c r="BH181" s="59">
        <f t="shared" si="116"/>
        <v>1178.4493524212419</v>
      </c>
      <c r="BI181" s="59">
        <f ca="1">AVERAGE(OFFSET($BH$3,0,0,'Données projet'!$E$11+1,1))-AVERAGE(OFFSET($H$3,0,0,'Données projet'!$E$11+1,1))</f>
        <v>555.15881087162279</v>
      </c>
      <c r="BJ181" s="59">
        <f t="shared" si="146"/>
        <v>668.20427590250733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11.933066588314427</v>
      </c>
      <c r="BQ181" s="21">
        <f>EXP(-LN(2)/25)*BQ180+(1-EXP(-LN(2)/25))/(LN(2)/25)*Calculateur!BL181*Calculateur!BN181*VLOOKUP('Données projet'!$B$11,Paramètres!$A$1:$I$89,3,0)*0.475*44/12</f>
        <v>0.95431641671591061</v>
      </c>
      <c r="BR181" s="21">
        <f>EXP(-LN(2)/2)*BR180+(1-EXP(-LN(2)/2))/(LN(2)/2)*BL181*BO181*VLOOKUP('Données projet'!$B$11,Paramètres!$A$1:$I$89,3,0)*0.475*44/12</f>
        <v>4.5024214544973809E-23</v>
      </c>
      <c r="BS181" s="22">
        <f t="shared" si="169"/>
        <v>12.887383005030337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367.99999999999972</v>
      </c>
      <c r="BZ181" s="13">
        <f>BY181*VLOOKUP('Données projet'!$B$12,Paramètres!$A$1:$I$89,3,0)*VLOOKUP('Données projet'!$B$12,Paramètres!$A$1:$I$89,5,0)</f>
        <v>241.11359999999982</v>
      </c>
      <c r="CA181" s="13">
        <f t="shared" si="170"/>
        <v>58.6790623558988</v>
      </c>
      <c r="CB181" s="20">
        <f t="shared" si="171"/>
        <v>522.13888693652348</v>
      </c>
      <c r="CC181" s="59">
        <f t="shared" si="119"/>
        <v>815.47222026985673</v>
      </c>
      <c r="CD181" s="59">
        <f ca="1">AVERAGE(OFFSET($CC$3,0,0,'Données projet'!$E$12+1,1))-AVERAGE(OFFSET($H$3,0,0,'Données projet'!$E$12+1,1))</f>
        <v>340.49092994349405</v>
      </c>
      <c r="CE181" s="59">
        <f t="shared" si="148"/>
        <v>331.54434271908832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5.9128767925748686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5.9128767925748686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306.99999999999994</v>
      </c>
      <c r="CU181" s="17">
        <f>CT181*VLOOKUP('Données projet'!$B$13,Paramètres!$A$1:$I$89,3,0)*VLOOKUP('Données projet'!$B$13,Paramètres!$A$1:$I$89,5,0)</f>
        <v>277.77359999999993</v>
      </c>
      <c r="CV181" s="13">
        <f t="shared" si="173"/>
        <v>66.496288176842356</v>
      </c>
      <c r="CW181" s="20">
        <f t="shared" si="174"/>
        <v>599.60338857466706</v>
      </c>
      <c r="CX181" s="59">
        <f t="shared" si="122"/>
        <v>892.93672190800044</v>
      </c>
      <c r="CY181" s="59">
        <f ca="1">AVERAGE(OFFSET($CX$3,0,0,'Données projet'!$E$13+1,1))-AVERAGE(OFFSET($H$3,0,0,'Données projet'!$E$13+1,1))</f>
        <v>439.19854273764042</v>
      </c>
      <c r="CZ181" s="59">
        <f t="shared" si="150"/>
        <v>278.21741231699929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28.745403442119535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28.745403442119535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306.99999999999994</v>
      </c>
      <c r="DP181" s="17">
        <f>DO181*VLOOKUP('Données projet'!$B$14,Paramètres!$A$1:$I$89,3,0)*VLOOKUP('Données projet'!$B$14,Paramètres!$A$1:$I$89,5,0)</f>
        <v>258.61679999999996</v>
      </c>
      <c r="DQ181" s="13">
        <f t="shared" si="176"/>
        <v>62.427444141032439</v>
      </c>
      <c r="DR181" s="20">
        <f t="shared" si="177"/>
        <v>559.15205854563135</v>
      </c>
      <c r="DS181" s="59">
        <f t="shared" si="125"/>
        <v>852.48539187896472</v>
      </c>
      <c r="DT181" s="59">
        <f ca="1">AVERAGE(OFFSET($DS$3,0,0,'Données projet'!$E$14+1,1))-AVERAGE(OFFSET($H$3,0,0,'Données projet'!$E$14+1,1))</f>
        <v>411.72284844766</v>
      </c>
      <c r="DU181" s="59">
        <f t="shared" si="152"/>
        <v>261.95434270986397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26.762961825421637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26.762961825421637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636.99999999999977</v>
      </c>
      <c r="EK181" s="17">
        <f>EJ181*VLOOKUP('Données projet'!$B$15,Paramètres!$A$1:$I$89,3,0)*VLOOKUP('Données projet'!$B$15,Paramètres!$A$1:$I$89,5,0)</f>
        <v>356.08299999999991</v>
      </c>
      <c r="EL181" s="13">
        <f t="shared" si="179"/>
        <v>82.813805255716545</v>
      </c>
      <c r="EM181" s="20">
        <f t="shared" si="180"/>
        <v>764.41193582037283</v>
      </c>
      <c r="EN181" s="59">
        <f t="shared" si="128"/>
        <v>1057.7452691537062</v>
      </c>
      <c r="EO181" s="59">
        <f ca="1">AVERAGE(OFFSET($EN$3,0,0,'Données projet'!$E$15+1,1))-AVERAGE(OFFSET($H$3,0,0,'Données projet'!$E$15+1,1))</f>
        <v>443.34220761968419</v>
      </c>
      <c r="EP181" s="59">
        <f t="shared" si="154"/>
        <v>546.58234447298014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9.4434248519535622</v>
      </c>
      <c r="EW181" s="21">
        <f>EXP(-LN(2)/25)*EW180+(1-EXP(-LN(2)/25))/(LN(2)/25)*Calculateur!ER181*Calculateur!ET181*VLOOKUP('Données projet'!$B$15,Paramètres!$A$1:$I$89,3,0)*0.475*44/12</f>
        <v>0.36231447172765108</v>
      </c>
      <c r="EX181" s="21">
        <f>EXP(-LN(2)/2)*EX180+(1-EXP(-LN(2)/2))/(LN(2)/2)*ER181*EU181*VLOOKUP('Données projet'!$B$15,Paramètres!$A$1:$I$89,3,0)*0.475*44/12</f>
        <v>3.1985006154545922E-22</v>
      </c>
      <c r="EY181" s="22">
        <f t="shared" si="181"/>
        <v>9.8057393236812125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224.00000000000006</v>
      </c>
      <c r="O182" s="13">
        <f>N182*VLOOKUP('Données projet'!$B$9,Paramètres!$A$1:$I$89,3,0)*VLOOKUP('Données projet'!$B$9,Paramètres!$A$1:$I$89,5,0)</f>
        <v>195.68640000000008</v>
      </c>
      <c r="P182" s="13">
        <f t="shared" si="141"/>
        <v>48.794969360985156</v>
      </c>
      <c r="Q182" s="20">
        <f t="shared" si="162"/>
        <v>425.8050516370493</v>
      </c>
      <c r="R182" s="59">
        <f t="shared" si="109"/>
        <v>719.13838497038262</v>
      </c>
      <c r="S182" s="59">
        <f ca="1">AVERAGE(OFFSET($R$3,0,0,'Données projet'!$E$9+1,1))-AVERAGE(OFFSET($H$3,0,0,'Données projet'!$E$9+1,1))</f>
        <v>304.32767345253382</v>
      </c>
      <c r="T182" s="59">
        <f t="shared" si="142"/>
        <v>427.16091343339173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5.9700667530702987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5.9700667530702987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367.99999999999972</v>
      </c>
      <c r="AJ182" s="13">
        <f>AI182*VLOOKUP('Données projet'!$B$10,Paramètres!$A$1:$I$89,3,0)*VLOOKUP('Données projet'!$B$10,Paramètres!$A$1:$I$89,5,0)</f>
        <v>292.78079999999977</v>
      </c>
      <c r="AK182" s="13">
        <f t="shared" si="164"/>
        <v>69.660903052386217</v>
      </c>
      <c r="AL182" s="20">
        <f t="shared" si="165"/>
        <v>631.25263281623893</v>
      </c>
      <c r="AM182" s="59">
        <f t="shared" si="113"/>
        <v>924.58596614957219</v>
      </c>
      <c r="AN182" s="59">
        <f ca="1">AVERAGE(OFFSET($AM$3,0,0,'Données projet'!$E$10+1,1))-AVERAGE(OFFSET($H$3,0,0,'Données projet'!$E$10+1,1))</f>
        <v>405.40026823646758</v>
      </c>
      <c r="AO182" s="59">
        <f t="shared" si="144"/>
        <v>393.0787141050053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8.6761344278060815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8.6761344278060815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739.99999999999966</v>
      </c>
      <c r="BE182" s="13">
        <f>BD182*VLOOKUP('Données projet'!$B$11,Paramètres!$A$1:$I$89,3,0)*VLOOKUP('Données projet'!$B$11,Paramètres!$A$1:$I$89,5,0)</f>
        <v>413.65999999999985</v>
      </c>
      <c r="BF182" s="13">
        <f t="shared" si="167"/>
        <v>94.540585122244352</v>
      </c>
      <c r="BG182" s="20">
        <f t="shared" si="168"/>
        <v>885.11601908790863</v>
      </c>
      <c r="BH182" s="59">
        <f t="shared" si="116"/>
        <v>1178.4493524212419</v>
      </c>
      <c r="BI182" s="59">
        <f ca="1">AVERAGE(OFFSET($BH$3,0,0,'Données projet'!$E$11+1,1))-AVERAGE(OFFSET($H$3,0,0,'Données projet'!$E$11+1,1))</f>
        <v>555.15881087162279</v>
      </c>
      <c r="BJ182" s="59">
        <f t="shared" si="146"/>
        <v>668.20427590250733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11.699066430969513</v>
      </c>
      <c r="BQ182" s="21">
        <f>EXP(-LN(2)/25)*BQ181+(1-EXP(-LN(2)/25))/(LN(2)/25)*Calculateur!BL182*Calculateur!BN182*VLOOKUP('Données projet'!$B$11,Paramètres!$A$1:$I$89,3,0)*0.475*44/12</f>
        <v>0.9282205841154948</v>
      </c>
      <c r="BR182" s="21">
        <f>EXP(-LN(2)/2)*BR181+(1-EXP(-LN(2)/2))/(LN(2)/2)*BL182*BO182*VLOOKUP('Données projet'!$B$11,Paramètres!$A$1:$I$89,3,0)*0.475*44/12</f>
        <v>3.1836927422348965E-23</v>
      </c>
      <c r="BS182" s="22">
        <f t="shared" si="169"/>
        <v>12.627287015085008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367.99999999999972</v>
      </c>
      <c r="BZ182" s="13">
        <f>BY182*VLOOKUP('Données projet'!$B$12,Paramètres!$A$1:$I$89,3,0)*VLOOKUP('Données projet'!$B$12,Paramètres!$A$1:$I$89,5,0)</f>
        <v>241.11359999999982</v>
      </c>
      <c r="CA182" s="13">
        <f t="shared" si="170"/>
        <v>58.6790623558988</v>
      </c>
      <c r="CB182" s="20">
        <f t="shared" si="171"/>
        <v>522.13888693652348</v>
      </c>
      <c r="CC182" s="59">
        <f t="shared" si="119"/>
        <v>815.47222026985673</v>
      </c>
      <c r="CD182" s="59">
        <f ca="1">AVERAGE(OFFSET($CC$3,0,0,'Données projet'!$E$12+1,1))-AVERAGE(OFFSET($H$3,0,0,'Données projet'!$E$12+1,1))</f>
        <v>340.49092994349405</v>
      </c>
      <c r="CE182" s="59">
        <f t="shared" si="148"/>
        <v>331.54434271908832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5.7969288851712069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5.7969288851712069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306.99999999999994</v>
      </c>
      <c r="CU182" s="17">
        <f>CT182*VLOOKUP('Données projet'!$B$13,Paramètres!$A$1:$I$89,3,0)*VLOOKUP('Données projet'!$B$13,Paramètres!$A$1:$I$89,5,0)</f>
        <v>277.77359999999993</v>
      </c>
      <c r="CV182" s="13">
        <f t="shared" si="173"/>
        <v>66.496288176842356</v>
      </c>
      <c r="CW182" s="20">
        <f t="shared" si="174"/>
        <v>599.60338857466706</v>
      </c>
      <c r="CX182" s="59">
        <f t="shared" si="122"/>
        <v>892.93672190800044</v>
      </c>
      <c r="CY182" s="59">
        <f ca="1">AVERAGE(OFFSET($CX$3,0,0,'Données projet'!$E$13+1,1))-AVERAGE(OFFSET($H$3,0,0,'Données projet'!$E$13+1,1))</f>
        <v>439.19854273764042</v>
      </c>
      <c r="CZ182" s="59">
        <f t="shared" si="150"/>
        <v>278.21741231699929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28.181723613584435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28.181723613584435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306.99999999999994</v>
      </c>
      <c r="DP182" s="17">
        <f>DO182*VLOOKUP('Données projet'!$B$14,Paramètres!$A$1:$I$89,3,0)*VLOOKUP('Données projet'!$B$14,Paramètres!$A$1:$I$89,5,0)</f>
        <v>258.61679999999996</v>
      </c>
      <c r="DQ182" s="13">
        <f t="shared" si="176"/>
        <v>62.427444141032439</v>
      </c>
      <c r="DR182" s="20">
        <f t="shared" si="177"/>
        <v>559.15205854563135</v>
      </c>
      <c r="DS182" s="59">
        <f t="shared" si="125"/>
        <v>852.48539187896472</v>
      </c>
      <c r="DT182" s="59">
        <f ca="1">AVERAGE(OFFSET($DS$3,0,0,'Données projet'!$E$14+1,1))-AVERAGE(OFFSET($H$3,0,0,'Données projet'!$E$14+1,1))</f>
        <v>411.72284844766</v>
      </c>
      <c r="DU182" s="59">
        <f t="shared" si="152"/>
        <v>261.95434270986397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26.238156467819991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26.238156467819991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636.99999999999977</v>
      </c>
      <c r="EK182" s="17">
        <f>EJ182*VLOOKUP('Données projet'!$B$15,Paramètres!$A$1:$I$89,3,0)*VLOOKUP('Données projet'!$B$15,Paramètres!$A$1:$I$89,5,0)</f>
        <v>356.08299999999991</v>
      </c>
      <c r="EL182" s="13">
        <f t="shared" si="179"/>
        <v>82.813805255716545</v>
      </c>
      <c r="EM182" s="20">
        <f t="shared" si="180"/>
        <v>764.41193582037283</v>
      </c>
      <c r="EN182" s="59">
        <f t="shared" si="128"/>
        <v>1057.7452691537062</v>
      </c>
      <c r="EO182" s="59">
        <f ca="1">AVERAGE(OFFSET($EN$3,0,0,'Données projet'!$E$15+1,1))-AVERAGE(OFFSET($H$3,0,0,'Données projet'!$E$15+1,1))</f>
        <v>443.34220761968419</v>
      </c>
      <c r="EP182" s="59">
        <f t="shared" si="154"/>
        <v>546.58234447298014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9.258245050527167</v>
      </c>
      <c r="EW182" s="21">
        <f>EXP(-LN(2)/25)*EW181+(1-EXP(-LN(2)/25))/(LN(2)/25)*Calculateur!ER182*Calculateur!ET182*VLOOKUP('Données projet'!$B$15,Paramètres!$A$1:$I$89,3,0)*0.475*44/12</f>
        <v>0.35240696344496847</v>
      </c>
      <c r="EX182" s="21">
        <f>EXP(-LN(2)/2)*EX181+(1-EXP(-LN(2)/2))/(LN(2)/2)*ER182*EU182*VLOOKUP('Données projet'!$B$15,Paramètres!$A$1:$I$89,3,0)*0.475*44/12</f>
        <v>2.2616814748172879E-22</v>
      </c>
      <c r="EY182" s="22">
        <f t="shared" si="181"/>
        <v>9.6106520139721354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224.00000000000006</v>
      </c>
      <c r="O183" s="13">
        <f>N183*VLOOKUP('Données projet'!$B$9,Paramètres!$A$1:$I$89,3,0)*VLOOKUP('Données projet'!$B$9,Paramètres!$A$1:$I$89,5,0)</f>
        <v>195.68640000000008</v>
      </c>
      <c r="P183" s="13">
        <f t="shared" si="141"/>
        <v>48.794969360985156</v>
      </c>
      <c r="Q183" s="20">
        <f t="shared" si="162"/>
        <v>425.8050516370493</v>
      </c>
      <c r="R183" s="59">
        <f t="shared" si="109"/>
        <v>719.13838497038262</v>
      </c>
      <c r="S183" s="59">
        <f ca="1">AVERAGE(OFFSET($R$3,0,0,'Données projet'!$E$9+1,1))-AVERAGE(OFFSET($H$3,0,0,'Données projet'!$E$9+1,1))</f>
        <v>304.32767345253382</v>
      </c>
      <c r="T183" s="59">
        <f t="shared" si="142"/>
        <v>427.16091343339173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5.8529973854237527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5.8529973854237527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367.99999999999972</v>
      </c>
      <c r="AJ183" s="13">
        <f>AI183*VLOOKUP('Données projet'!$B$10,Paramètres!$A$1:$I$89,3,0)*VLOOKUP('Données projet'!$B$10,Paramètres!$A$1:$I$89,5,0)</f>
        <v>292.78079999999977</v>
      </c>
      <c r="AK183" s="13">
        <f t="shared" si="164"/>
        <v>69.660903052386217</v>
      </c>
      <c r="AL183" s="20">
        <f t="shared" si="165"/>
        <v>631.25263281623893</v>
      </c>
      <c r="AM183" s="59">
        <f t="shared" si="113"/>
        <v>924.58596614957219</v>
      </c>
      <c r="AN183" s="59">
        <f ca="1">AVERAGE(OFFSET($AM$3,0,0,'Données projet'!$E$10+1,1))-AVERAGE(OFFSET($H$3,0,0,'Données projet'!$E$10+1,1))</f>
        <v>405.40026823646758</v>
      </c>
      <c r="AO183" s="59">
        <f t="shared" si="144"/>
        <v>393.0787141050053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8.5060007235962711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8.5060007235962711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739.99999999999966</v>
      </c>
      <c r="BE183" s="13">
        <f>BD183*VLOOKUP('Données projet'!$B$11,Paramètres!$A$1:$I$89,3,0)*VLOOKUP('Données projet'!$B$11,Paramètres!$A$1:$I$89,5,0)</f>
        <v>413.65999999999985</v>
      </c>
      <c r="BF183" s="13">
        <f t="shared" si="167"/>
        <v>94.540585122244352</v>
      </c>
      <c r="BG183" s="20">
        <f t="shared" si="168"/>
        <v>885.11601908790863</v>
      </c>
      <c r="BH183" s="59">
        <f t="shared" si="116"/>
        <v>1178.4493524212419</v>
      </c>
      <c r="BI183" s="59">
        <f ca="1">AVERAGE(OFFSET($BH$3,0,0,'Données projet'!$E$11+1,1))-AVERAGE(OFFSET($H$3,0,0,'Données projet'!$E$11+1,1))</f>
        <v>555.15881087162279</v>
      </c>
      <c r="BJ183" s="59">
        <f t="shared" si="146"/>
        <v>668.20427590250733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11.46965487398413</v>
      </c>
      <c r="BQ183" s="21">
        <f>EXP(-LN(2)/25)*BQ182+(1-EXP(-LN(2)/25))/(LN(2)/25)*Calculateur!BL183*Calculateur!BN183*VLOOKUP('Données projet'!$B$11,Paramètres!$A$1:$I$89,3,0)*0.475*44/12</f>
        <v>0.90283834342985758</v>
      </c>
      <c r="BR183" s="21">
        <f>EXP(-LN(2)/2)*BR182+(1-EXP(-LN(2)/2))/(LN(2)/2)*BL183*BO183*VLOOKUP('Données projet'!$B$11,Paramètres!$A$1:$I$89,3,0)*0.475*44/12</f>
        <v>2.2512107272486904E-23</v>
      </c>
      <c r="BS183" s="22">
        <f t="shared" si="169"/>
        <v>12.372493217413988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367.99999999999972</v>
      </c>
      <c r="BZ183" s="13">
        <f>BY183*VLOOKUP('Données projet'!$B$12,Paramètres!$A$1:$I$89,3,0)*VLOOKUP('Données projet'!$B$12,Paramètres!$A$1:$I$89,5,0)</f>
        <v>241.11359999999982</v>
      </c>
      <c r="CA183" s="13">
        <f t="shared" si="170"/>
        <v>58.6790623558988</v>
      </c>
      <c r="CB183" s="20">
        <f t="shared" si="171"/>
        <v>522.13888693652348</v>
      </c>
      <c r="CC183" s="59">
        <f t="shared" si="119"/>
        <v>815.47222026985673</v>
      </c>
      <c r="CD183" s="59">
        <f ca="1">AVERAGE(OFFSET($CC$3,0,0,'Données projet'!$E$12+1,1))-AVERAGE(OFFSET($H$3,0,0,'Données projet'!$E$12+1,1))</f>
        <v>340.49092994349405</v>
      </c>
      <c r="CE183" s="59">
        <f t="shared" si="148"/>
        <v>331.54434271908832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5.6832546455104902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5.6832546455104902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306.99999999999994</v>
      </c>
      <c r="CU183" s="17">
        <f>CT183*VLOOKUP('Données projet'!$B$13,Paramètres!$A$1:$I$89,3,0)*VLOOKUP('Données projet'!$B$13,Paramètres!$A$1:$I$89,5,0)</f>
        <v>277.77359999999993</v>
      </c>
      <c r="CV183" s="13">
        <f t="shared" si="173"/>
        <v>66.496288176842356</v>
      </c>
      <c r="CW183" s="20">
        <f t="shared" si="174"/>
        <v>599.60338857466706</v>
      </c>
      <c r="CX183" s="59">
        <f t="shared" si="122"/>
        <v>892.93672190800044</v>
      </c>
      <c r="CY183" s="59">
        <f ca="1">AVERAGE(OFFSET($CX$3,0,0,'Données projet'!$E$13+1,1))-AVERAGE(OFFSET($H$3,0,0,'Données projet'!$E$13+1,1))</f>
        <v>439.19854273764042</v>
      </c>
      <c r="CZ183" s="59">
        <f t="shared" si="150"/>
        <v>278.21741231699929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27.62909720267616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27.62909720267616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306.99999999999994</v>
      </c>
      <c r="DP183" s="17">
        <f>DO183*VLOOKUP('Données projet'!$B$14,Paramètres!$A$1:$I$89,3,0)*VLOOKUP('Données projet'!$B$14,Paramètres!$A$1:$I$89,5,0)</f>
        <v>258.61679999999996</v>
      </c>
      <c r="DQ183" s="13">
        <f t="shared" si="176"/>
        <v>62.427444141032439</v>
      </c>
      <c r="DR183" s="20">
        <f t="shared" si="177"/>
        <v>559.15205854563135</v>
      </c>
      <c r="DS183" s="59">
        <f t="shared" si="125"/>
        <v>852.48539187896472</v>
      </c>
      <c r="DT183" s="59">
        <f ca="1">AVERAGE(OFFSET($DS$3,0,0,'Données projet'!$E$14+1,1))-AVERAGE(OFFSET($H$3,0,0,'Données projet'!$E$14+1,1))</f>
        <v>411.72284844766</v>
      </c>
      <c r="DU183" s="59">
        <f t="shared" si="152"/>
        <v>261.95434270986397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25.723642223181251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25.723642223181251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636.99999999999977</v>
      </c>
      <c r="EK183" s="17">
        <f>EJ183*VLOOKUP('Données projet'!$B$15,Paramètres!$A$1:$I$89,3,0)*VLOOKUP('Données projet'!$B$15,Paramètres!$A$1:$I$89,5,0)</f>
        <v>356.08299999999991</v>
      </c>
      <c r="EL183" s="13">
        <f t="shared" si="179"/>
        <v>82.813805255716545</v>
      </c>
      <c r="EM183" s="20">
        <f t="shared" si="180"/>
        <v>764.41193582037283</v>
      </c>
      <c r="EN183" s="59">
        <f t="shared" si="128"/>
        <v>1057.7452691537062</v>
      </c>
      <c r="EO183" s="59">
        <f ca="1">AVERAGE(OFFSET($EN$3,0,0,'Données projet'!$E$15+1,1))-AVERAGE(OFFSET($H$3,0,0,'Données projet'!$E$15+1,1))</f>
        <v>443.34220761968419</v>
      </c>
      <c r="EP183" s="59">
        <f t="shared" si="154"/>
        <v>546.58234447298014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9.0766965120582181</v>
      </c>
      <c r="EW183" s="21">
        <f>EXP(-LN(2)/25)*EW182+(1-EXP(-LN(2)/25))/(LN(2)/25)*Calculateur!ER183*Calculateur!ET183*VLOOKUP('Données projet'!$B$15,Paramètres!$A$1:$I$89,3,0)*0.475*44/12</f>
        <v>0.34277037649728903</v>
      </c>
      <c r="EX183" s="21">
        <f>EXP(-LN(2)/2)*EX182+(1-EXP(-LN(2)/2))/(LN(2)/2)*ER183*EU183*VLOOKUP('Données projet'!$B$15,Paramètres!$A$1:$I$89,3,0)*0.475*44/12</f>
        <v>1.5992503077272961E-22</v>
      </c>
      <c r="EY183" s="22">
        <f t="shared" si="181"/>
        <v>9.4194668885555064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224.00000000000006</v>
      </c>
      <c r="O184" s="13">
        <f>N184*VLOOKUP('Données projet'!$B$9,Paramètres!$A$1:$I$89,3,0)*VLOOKUP('Données projet'!$B$9,Paramètres!$A$1:$I$89,5,0)</f>
        <v>195.68640000000008</v>
      </c>
      <c r="P184" s="13">
        <f t="shared" si="141"/>
        <v>48.794969360985156</v>
      </c>
      <c r="Q184" s="20">
        <f t="shared" si="162"/>
        <v>425.8050516370493</v>
      </c>
      <c r="R184" s="59">
        <f t="shared" si="109"/>
        <v>719.13838497038262</v>
      </c>
      <c r="S184" s="59">
        <f ca="1">AVERAGE(OFFSET($R$3,0,0,'Données projet'!$E$9+1,1))-AVERAGE(OFFSET($H$3,0,0,'Données projet'!$E$9+1,1))</f>
        <v>304.32767345253382</v>
      </c>
      <c r="T184" s="59">
        <f t="shared" si="142"/>
        <v>427.16091343339173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5.7382236766714918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5.7382236766714918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367.99999999999972</v>
      </c>
      <c r="AJ184" s="13">
        <f>AI184*VLOOKUP('Données projet'!$B$10,Paramètres!$A$1:$I$89,3,0)*VLOOKUP('Données projet'!$B$10,Paramètres!$A$1:$I$89,5,0)</f>
        <v>292.78079999999977</v>
      </c>
      <c r="AK184" s="13">
        <f t="shared" si="164"/>
        <v>69.660903052386217</v>
      </c>
      <c r="AL184" s="20">
        <f t="shared" si="165"/>
        <v>631.25263281623893</v>
      </c>
      <c r="AM184" s="59">
        <f t="shared" si="113"/>
        <v>924.58596614957219</v>
      </c>
      <c r="AN184" s="59">
        <f ca="1">AVERAGE(OFFSET($AM$3,0,0,'Données projet'!$E$10+1,1))-AVERAGE(OFFSET($H$3,0,0,'Données projet'!$E$10+1,1))</f>
        <v>405.40026823646758</v>
      </c>
      <c r="AO184" s="59">
        <f t="shared" si="144"/>
        <v>393.0787141050053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8.3392032375547025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8.3392032375547025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739.99999999999966</v>
      </c>
      <c r="BE184" s="13">
        <f>BD184*VLOOKUP('Données projet'!$B$11,Paramètres!$A$1:$I$89,3,0)*VLOOKUP('Données projet'!$B$11,Paramètres!$A$1:$I$89,5,0)</f>
        <v>413.65999999999985</v>
      </c>
      <c r="BF184" s="13">
        <f t="shared" si="167"/>
        <v>94.540585122244352</v>
      </c>
      <c r="BG184" s="20">
        <f t="shared" si="168"/>
        <v>885.11601908790863</v>
      </c>
      <c r="BH184" s="59">
        <f t="shared" si="116"/>
        <v>1178.4493524212419</v>
      </c>
      <c r="BI184" s="59">
        <f ca="1">AVERAGE(OFFSET($BH$3,0,0,'Données projet'!$E$11+1,1))-AVERAGE(OFFSET($H$3,0,0,'Données projet'!$E$11+1,1))</f>
        <v>555.15881087162279</v>
      </c>
      <c r="BJ184" s="59">
        <f t="shared" si="146"/>
        <v>668.20427590250733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11.244741937703996</v>
      </c>
      <c r="BQ184" s="21">
        <f>EXP(-LN(2)/25)*BQ183+(1-EXP(-LN(2)/25))/(LN(2)/25)*Calculateur!BL184*Calculateur!BN184*VLOOKUP('Données projet'!$B$11,Paramètres!$A$1:$I$89,3,0)*0.475*44/12</f>
        <v>0.87815018145056312</v>
      </c>
      <c r="BR184" s="21">
        <f>EXP(-LN(2)/2)*BR183+(1-EXP(-LN(2)/2))/(LN(2)/2)*BL184*BO184*VLOOKUP('Données projet'!$B$11,Paramètres!$A$1:$I$89,3,0)*0.475*44/12</f>
        <v>1.5918463711174482E-23</v>
      </c>
      <c r="BS184" s="22">
        <f t="shared" si="169"/>
        <v>12.122892119154558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367.99999999999972</v>
      </c>
      <c r="BZ184" s="13">
        <f>BY184*VLOOKUP('Données projet'!$B$12,Paramètres!$A$1:$I$89,3,0)*VLOOKUP('Données projet'!$B$12,Paramètres!$A$1:$I$89,5,0)</f>
        <v>241.11359999999982</v>
      </c>
      <c r="CA184" s="13">
        <f t="shared" si="170"/>
        <v>58.6790623558988</v>
      </c>
      <c r="CB184" s="20">
        <f t="shared" si="171"/>
        <v>522.13888693652348</v>
      </c>
      <c r="CC184" s="59">
        <f t="shared" si="119"/>
        <v>815.47222026985673</v>
      </c>
      <c r="CD184" s="59">
        <f ca="1">AVERAGE(OFFSET($CC$3,0,0,'Données projet'!$E$12+1,1))-AVERAGE(OFFSET($H$3,0,0,'Données projet'!$E$12+1,1))</f>
        <v>340.49092994349405</v>
      </c>
      <c r="CE184" s="59">
        <f t="shared" si="148"/>
        <v>331.54434271908832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5.5718094883550808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5.5718094883550808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306.99999999999994</v>
      </c>
      <c r="CU184" s="17">
        <f>CT184*VLOOKUP('Données projet'!$B$13,Paramètres!$A$1:$I$89,3,0)*VLOOKUP('Données projet'!$B$13,Paramètres!$A$1:$I$89,5,0)</f>
        <v>277.77359999999993</v>
      </c>
      <c r="CV184" s="13">
        <f t="shared" si="173"/>
        <v>66.496288176842356</v>
      </c>
      <c r="CW184" s="20">
        <f t="shared" si="174"/>
        <v>599.60338857466706</v>
      </c>
      <c r="CX184" s="59">
        <f t="shared" si="122"/>
        <v>892.93672190800044</v>
      </c>
      <c r="CY184" s="59">
        <f ca="1">AVERAGE(OFFSET($CX$3,0,0,'Données projet'!$E$13+1,1))-AVERAGE(OFFSET($H$3,0,0,'Données projet'!$E$13+1,1))</f>
        <v>439.19854273764042</v>
      </c>
      <c r="CZ184" s="59">
        <f t="shared" si="150"/>
        <v>278.21741231699929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27.087307458616969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27.087307458616969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306.99999999999994</v>
      </c>
      <c r="DP184" s="17">
        <f>DO184*VLOOKUP('Données projet'!$B$14,Paramètres!$A$1:$I$89,3,0)*VLOOKUP('Données projet'!$B$14,Paramètres!$A$1:$I$89,5,0)</f>
        <v>258.61679999999996</v>
      </c>
      <c r="DQ184" s="13">
        <f t="shared" si="176"/>
        <v>62.427444141032439</v>
      </c>
      <c r="DR184" s="20">
        <f t="shared" si="177"/>
        <v>559.15205854563135</v>
      </c>
      <c r="DS184" s="59">
        <f t="shared" si="125"/>
        <v>852.48539187896472</v>
      </c>
      <c r="DT184" s="59">
        <f ca="1">AVERAGE(OFFSET($DS$3,0,0,'Données projet'!$E$14+1,1))-AVERAGE(OFFSET($H$3,0,0,'Données projet'!$E$14+1,1))</f>
        <v>411.72284844766</v>
      </c>
      <c r="DU184" s="59">
        <f t="shared" si="152"/>
        <v>261.95434270986397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25.219217289057177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25.219217289057177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636.99999999999977</v>
      </c>
      <c r="EK184" s="17">
        <f>EJ184*VLOOKUP('Données projet'!$B$15,Paramètres!$A$1:$I$89,3,0)*VLOOKUP('Données projet'!$B$15,Paramètres!$A$1:$I$89,5,0)</f>
        <v>356.08299999999991</v>
      </c>
      <c r="EL184" s="13">
        <f t="shared" si="179"/>
        <v>82.813805255716545</v>
      </c>
      <c r="EM184" s="20">
        <f t="shared" si="180"/>
        <v>764.41193582037283</v>
      </c>
      <c r="EN184" s="59">
        <f t="shared" si="128"/>
        <v>1057.7452691537062</v>
      </c>
      <c r="EO184" s="59">
        <f ca="1">AVERAGE(OFFSET($EN$3,0,0,'Données projet'!$E$15+1,1))-AVERAGE(OFFSET($H$3,0,0,'Données projet'!$E$15+1,1))</f>
        <v>443.34220761968419</v>
      </c>
      <c r="EP184" s="59">
        <f t="shared" si="154"/>
        <v>546.58234447298014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8.898708029694971</v>
      </c>
      <c r="EW184" s="21">
        <f>EXP(-LN(2)/25)*EW183+(1-EXP(-LN(2)/25))/(LN(2)/25)*Calculateur!ER184*Calculateur!ET184*VLOOKUP('Données projet'!$B$15,Paramètres!$A$1:$I$89,3,0)*0.475*44/12</f>
        <v>0.33339730252645999</v>
      </c>
      <c r="EX184" s="21">
        <f>EXP(-LN(2)/2)*EX183+(1-EXP(-LN(2)/2))/(LN(2)/2)*ER184*EU184*VLOOKUP('Données projet'!$B$15,Paramètres!$A$1:$I$89,3,0)*0.475*44/12</f>
        <v>1.1308407374086439E-22</v>
      </c>
      <c r="EY184" s="22">
        <f t="shared" si="181"/>
        <v>9.2321053322214315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224.00000000000006</v>
      </c>
      <c r="O185" s="13">
        <f>N185*VLOOKUP('Données projet'!$B$9,Paramètres!$A$1:$I$89,3,0)*VLOOKUP('Données projet'!$B$9,Paramètres!$A$1:$I$89,5,0)</f>
        <v>195.68640000000008</v>
      </c>
      <c r="P185" s="13">
        <f t="shared" si="141"/>
        <v>48.794969360985156</v>
      </c>
      <c r="Q185" s="20">
        <f t="shared" si="162"/>
        <v>425.8050516370493</v>
      </c>
      <c r="R185" s="59">
        <f t="shared" si="109"/>
        <v>719.13838497038262</v>
      </c>
      <c r="S185" s="59">
        <f ca="1">AVERAGE(OFFSET($R$3,0,0,'Données projet'!$E$9+1,1))-AVERAGE(OFFSET($H$3,0,0,'Données projet'!$E$9+1,1))</f>
        <v>304.32767345253382</v>
      </c>
      <c r="T185" s="59">
        <f t="shared" si="142"/>
        <v>427.16091343339173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5.6257006103428129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5.6257006103428129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367.99999999999972</v>
      </c>
      <c r="AJ185" s="13">
        <f>AI185*VLOOKUP('Données projet'!$B$10,Paramètres!$A$1:$I$89,3,0)*VLOOKUP('Données projet'!$B$10,Paramètres!$A$1:$I$89,5,0)</f>
        <v>292.78079999999977</v>
      </c>
      <c r="AK185" s="13">
        <f t="shared" si="164"/>
        <v>69.660903052386217</v>
      </c>
      <c r="AL185" s="20">
        <f t="shared" si="165"/>
        <v>631.25263281623893</v>
      </c>
      <c r="AM185" s="59">
        <f t="shared" si="113"/>
        <v>924.58596614957219</v>
      </c>
      <c r="AN185" s="59">
        <f ca="1">AVERAGE(OFFSET($AM$3,0,0,'Données projet'!$E$10+1,1))-AVERAGE(OFFSET($H$3,0,0,'Données projet'!$E$10+1,1))</f>
        <v>405.40026823646758</v>
      </c>
      <c r="AO185" s="59">
        <f t="shared" si="144"/>
        <v>393.0787141050053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8.1756765484779876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8.1756765484779876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739.99999999999966</v>
      </c>
      <c r="BE185" s="13">
        <f>BD185*VLOOKUP('Données projet'!$B$11,Paramètres!$A$1:$I$89,3,0)*VLOOKUP('Données projet'!$B$11,Paramètres!$A$1:$I$89,5,0)</f>
        <v>413.65999999999985</v>
      </c>
      <c r="BF185" s="13">
        <f t="shared" si="167"/>
        <v>94.540585122244352</v>
      </c>
      <c r="BG185" s="20">
        <f t="shared" si="168"/>
        <v>885.11601908790863</v>
      </c>
      <c r="BH185" s="59">
        <f t="shared" si="116"/>
        <v>1178.4493524212419</v>
      </c>
      <c r="BI185" s="59">
        <f ca="1">AVERAGE(OFFSET($BH$3,0,0,'Données projet'!$E$11+1,1))-AVERAGE(OFFSET($H$3,0,0,'Données projet'!$E$11+1,1))</f>
        <v>555.15881087162279</v>
      </c>
      <c r="BJ185" s="59">
        <f t="shared" si="146"/>
        <v>668.20427590250733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11.024239406920969</v>
      </c>
      <c r="BQ185" s="21">
        <f>EXP(-LN(2)/25)*BQ184+(1-EXP(-LN(2)/25))/(LN(2)/25)*Calculateur!BL185*Calculateur!BN185*VLOOKUP('Données projet'!$B$11,Paramètres!$A$1:$I$89,3,0)*0.475*44/12</f>
        <v>0.85413711855888641</v>
      </c>
      <c r="BR185" s="21">
        <f>EXP(-LN(2)/2)*BR184+(1-EXP(-LN(2)/2))/(LN(2)/2)*BL185*BO185*VLOOKUP('Données projet'!$B$11,Paramètres!$A$1:$I$89,3,0)*0.475*44/12</f>
        <v>1.1256053636243452E-23</v>
      </c>
      <c r="BS185" s="22">
        <f t="shared" si="169"/>
        <v>11.878376525479856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367.99999999999972</v>
      </c>
      <c r="BZ185" s="13">
        <f>BY185*VLOOKUP('Données projet'!$B$12,Paramètres!$A$1:$I$89,3,0)*VLOOKUP('Données projet'!$B$12,Paramètres!$A$1:$I$89,5,0)</f>
        <v>241.11359999999982</v>
      </c>
      <c r="CA185" s="13">
        <f t="shared" si="170"/>
        <v>58.6790623558988</v>
      </c>
      <c r="CB185" s="20">
        <f t="shared" si="171"/>
        <v>522.13888693652348</v>
      </c>
      <c r="CC185" s="59">
        <f t="shared" si="119"/>
        <v>815.47222026985673</v>
      </c>
      <c r="CD185" s="59">
        <f ca="1">AVERAGE(OFFSET($CC$3,0,0,'Données projet'!$E$12+1,1))-AVERAGE(OFFSET($H$3,0,0,'Données projet'!$E$12+1,1))</f>
        <v>340.49092994349405</v>
      </c>
      <c r="CE185" s="59">
        <f t="shared" si="148"/>
        <v>331.54434271908832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5.4625497027566547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5.4625497027566547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306.99999999999994</v>
      </c>
      <c r="CU185" s="17">
        <f>CT185*VLOOKUP('Données projet'!$B$13,Paramètres!$A$1:$I$89,3,0)*VLOOKUP('Données projet'!$B$13,Paramètres!$A$1:$I$89,5,0)</f>
        <v>277.77359999999993</v>
      </c>
      <c r="CV185" s="13">
        <f t="shared" si="173"/>
        <v>66.496288176842356</v>
      </c>
      <c r="CW185" s="20">
        <f t="shared" si="174"/>
        <v>599.60338857466706</v>
      </c>
      <c r="CX185" s="59">
        <f t="shared" si="122"/>
        <v>892.93672190800044</v>
      </c>
      <c r="CY185" s="59">
        <f ca="1">AVERAGE(OFFSET($CX$3,0,0,'Données projet'!$E$13+1,1))-AVERAGE(OFFSET($H$3,0,0,'Données projet'!$E$13+1,1))</f>
        <v>439.19854273764042</v>
      </c>
      <c r="CZ185" s="59">
        <f t="shared" si="150"/>
        <v>278.21741231699929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26.556141880979666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26.556141880979666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306.99999999999994</v>
      </c>
      <c r="DP185" s="17">
        <f>DO185*VLOOKUP('Données projet'!$B$14,Paramètres!$A$1:$I$89,3,0)*VLOOKUP('Données projet'!$B$14,Paramètres!$A$1:$I$89,5,0)</f>
        <v>258.61679999999996</v>
      </c>
      <c r="DQ185" s="13">
        <f t="shared" si="176"/>
        <v>62.427444141032439</v>
      </c>
      <c r="DR185" s="20">
        <f t="shared" si="177"/>
        <v>559.15205854563135</v>
      </c>
      <c r="DS185" s="59">
        <f t="shared" si="125"/>
        <v>852.48539187896472</v>
      </c>
      <c r="DT185" s="59">
        <f ca="1">AVERAGE(OFFSET($DS$3,0,0,'Données projet'!$E$14+1,1))-AVERAGE(OFFSET($H$3,0,0,'Données projet'!$E$14+1,1))</f>
        <v>411.72284844766</v>
      </c>
      <c r="DU185" s="59">
        <f t="shared" si="152"/>
        <v>261.95434270986397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24.724683820222445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24.724683820222445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636.99999999999977</v>
      </c>
      <c r="EK185" s="17">
        <f>EJ185*VLOOKUP('Données projet'!$B$15,Paramètres!$A$1:$I$89,3,0)*VLOOKUP('Données projet'!$B$15,Paramètres!$A$1:$I$89,5,0)</f>
        <v>356.08299999999991</v>
      </c>
      <c r="EL185" s="13">
        <f t="shared" si="179"/>
        <v>82.813805255716545</v>
      </c>
      <c r="EM185" s="20">
        <f t="shared" si="180"/>
        <v>764.41193582037283</v>
      </c>
      <c r="EN185" s="59">
        <f t="shared" si="128"/>
        <v>1057.7452691537062</v>
      </c>
      <c r="EO185" s="59">
        <f ca="1">AVERAGE(OFFSET($EN$3,0,0,'Données projet'!$E$15+1,1))-AVERAGE(OFFSET($H$3,0,0,'Données projet'!$E$15+1,1))</f>
        <v>443.34220761968419</v>
      </c>
      <c r="EP185" s="59">
        <f t="shared" si="154"/>
        <v>546.58234447298014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8.7242097929086118</v>
      </c>
      <c r="EW185" s="21">
        <f>EXP(-LN(2)/25)*EW184+(1-EXP(-LN(2)/25))/(LN(2)/25)*Calculateur!ER185*Calculateur!ET185*VLOOKUP('Données projet'!$B$15,Paramètres!$A$1:$I$89,3,0)*0.475*44/12</f>
        <v>0.3242805357562718</v>
      </c>
      <c r="EX185" s="21">
        <f>EXP(-LN(2)/2)*EX184+(1-EXP(-LN(2)/2))/(LN(2)/2)*ER185*EU185*VLOOKUP('Données projet'!$B$15,Paramètres!$A$1:$I$89,3,0)*0.475*44/12</f>
        <v>7.9962515386364805E-23</v>
      </c>
      <c r="EY185" s="22">
        <f t="shared" si="181"/>
        <v>9.048490328664883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224.00000000000006</v>
      </c>
      <c r="O186" s="13">
        <f>N186*VLOOKUP('Données projet'!$B$9,Paramètres!$A$1:$I$89,3,0)*VLOOKUP('Données projet'!$B$9,Paramètres!$A$1:$I$89,5,0)</f>
        <v>195.68640000000008</v>
      </c>
      <c r="P186" s="13">
        <f t="shared" si="141"/>
        <v>48.794969360985156</v>
      </c>
      <c r="Q186" s="20">
        <f t="shared" si="162"/>
        <v>425.8050516370493</v>
      </c>
      <c r="R186" s="59">
        <f t="shared" si="109"/>
        <v>719.13838497038262</v>
      </c>
      <c r="S186" s="59">
        <f ca="1">AVERAGE(OFFSET($R$3,0,0,'Données projet'!$E$9+1,1))-AVERAGE(OFFSET($H$3,0,0,'Données projet'!$E$9+1,1))</f>
        <v>304.32767345253382</v>
      </c>
      <c r="T186" s="59">
        <f t="shared" si="142"/>
        <v>427.16091343339173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5.5153840527125464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5.5153840527125464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367.99999999999972</v>
      </c>
      <c r="AJ186" s="13">
        <f>AI186*VLOOKUP('Données projet'!$B$10,Paramètres!$A$1:$I$89,3,0)*VLOOKUP('Données projet'!$B$10,Paramètres!$A$1:$I$89,5,0)</f>
        <v>292.78079999999977</v>
      </c>
      <c r="AK186" s="13">
        <f t="shared" si="164"/>
        <v>69.660903052386217</v>
      </c>
      <c r="AL186" s="20">
        <f t="shared" si="165"/>
        <v>631.25263281623893</v>
      </c>
      <c r="AM186" s="59">
        <f t="shared" si="113"/>
        <v>924.58596614957219</v>
      </c>
      <c r="AN186" s="59">
        <f ca="1">AVERAGE(OFFSET($AM$3,0,0,'Données projet'!$E$10+1,1))-AVERAGE(OFFSET($H$3,0,0,'Données projet'!$E$10+1,1))</f>
        <v>405.40026823646758</v>
      </c>
      <c r="AO186" s="59">
        <f t="shared" si="144"/>
        <v>393.0787141050053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8.015356518032636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8.015356518032636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739.99999999999966</v>
      </c>
      <c r="BE186" s="13">
        <f>BD186*VLOOKUP('Données projet'!$B$11,Paramètres!$A$1:$I$89,3,0)*VLOOKUP('Données projet'!$B$11,Paramètres!$A$1:$I$89,5,0)</f>
        <v>413.65999999999985</v>
      </c>
      <c r="BF186" s="13">
        <f t="shared" si="167"/>
        <v>94.540585122244352</v>
      </c>
      <c r="BG186" s="20">
        <f t="shared" si="168"/>
        <v>885.11601908790863</v>
      </c>
      <c r="BH186" s="59">
        <f t="shared" si="116"/>
        <v>1178.4493524212419</v>
      </c>
      <c r="BI186" s="59">
        <f ca="1">AVERAGE(OFFSET($BH$3,0,0,'Données projet'!$E$11+1,1))-AVERAGE(OFFSET($H$3,0,0,'Données projet'!$E$11+1,1))</f>
        <v>555.15881087162279</v>
      </c>
      <c r="BJ186" s="59">
        <f t="shared" si="146"/>
        <v>668.20427590250733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10.808060796273336</v>
      </c>
      <c r="BQ186" s="21">
        <f>EXP(-LN(2)/25)*BQ185+(1-EXP(-LN(2)/25))/(LN(2)/25)*Calculateur!BL186*Calculateur!BN186*VLOOKUP('Données projet'!$B$11,Paramètres!$A$1:$I$89,3,0)*0.475*44/12</f>
        <v>0.83078069413477473</v>
      </c>
      <c r="BR186" s="21">
        <f>EXP(-LN(2)/2)*BR185+(1-EXP(-LN(2)/2))/(LN(2)/2)*BL186*BO186*VLOOKUP('Données projet'!$B$11,Paramètres!$A$1:$I$89,3,0)*0.475*44/12</f>
        <v>7.9592318555872412E-24</v>
      </c>
      <c r="BS186" s="22">
        <f t="shared" si="169"/>
        <v>11.638841490408112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367.99999999999972</v>
      </c>
      <c r="BZ186" s="13">
        <f>BY186*VLOOKUP('Données projet'!$B$12,Paramètres!$A$1:$I$89,3,0)*VLOOKUP('Données projet'!$B$12,Paramètres!$A$1:$I$89,5,0)</f>
        <v>241.11359999999982</v>
      </c>
      <c r="CA186" s="13">
        <f t="shared" si="170"/>
        <v>58.6790623558988</v>
      </c>
      <c r="CB186" s="20">
        <f t="shared" si="171"/>
        <v>522.13888693652348</v>
      </c>
      <c r="CC186" s="59">
        <f t="shared" si="119"/>
        <v>815.47222026985673</v>
      </c>
      <c r="CD186" s="59">
        <f ca="1">AVERAGE(OFFSET($CC$3,0,0,'Données projet'!$E$12+1,1))-AVERAGE(OFFSET($H$3,0,0,'Données projet'!$E$12+1,1))</f>
        <v>340.49092994349405</v>
      </c>
      <c r="CE186" s="59">
        <f t="shared" si="148"/>
        <v>331.54434271908832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5.3554324349119247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5.3554324349119247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306.99999999999994</v>
      </c>
      <c r="CU186" s="17">
        <f>CT186*VLOOKUP('Données projet'!$B$13,Paramètres!$A$1:$I$89,3,0)*VLOOKUP('Données projet'!$B$13,Paramètres!$A$1:$I$89,5,0)</f>
        <v>277.77359999999993</v>
      </c>
      <c r="CV186" s="13">
        <f t="shared" si="173"/>
        <v>66.496288176842356</v>
      </c>
      <c r="CW186" s="20">
        <f t="shared" si="174"/>
        <v>599.60338857466706</v>
      </c>
      <c r="CX186" s="59">
        <f t="shared" si="122"/>
        <v>892.93672190800044</v>
      </c>
      <c r="CY186" s="59">
        <f ca="1">AVERAGE(OFFSET($CX$3,0,0,'Données projet'!$E$13+1,1))-AVERAGE(OFFSET($H$3,0,0,'Données projet'!$E$13+1,1))</f>
        <v>439.19854273764042</v>
      </c>
      <c r="CZ186" s="59">
        <f t="shared" si="150"/>
        <v>278.21741231699929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26.035392136340818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26.035392136340818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306.99999999999994</v>
      </c>
      <c r="DP186" s="17">
        <f>DO186*VLOOKUP('Données projet'!$B$14,Paramètres!$A$1:$I$89,3,0)*VLOOKUP('Données projet'!$B$14,Paramètres!$A$1:$I$89,5,0)</f>
        <v>258.61679999999996</v>
      </c>
      <c r="DQ186" s="13">
        <f t="shared" si="176"/>
        <v>62.427444141032439</v>
      </c>
      <c r="DR186" s="20">
        <f t="shared" si="177"/>
        <v>559.15205854563135</v>
      </c>
      <c r="DS186" s="59">
        <f t="shared" si="125"/>
        <v>852.48539187896472</v>
      </c>
      <c r="DT186" s="59">
        <f ca="1">AVERAGE(OFFSET($DS$3,0,0,'Données projet'!$E$14+1,1))-AVERAGE(OFFSET($H$3,0,0,'Données projet'!$E$14+1,1))</f>
        <v>411.72284844766</v>
      </c>
      <c r="DU186" s="59">
        <f t="shared" si="152"/>
        <v>261.95434270986397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24.239847851075933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24.239847851075933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636.99999999999977</v>
      </c>
      <c r="EK186" s="17">
        <f>EJ186*VLOOKUP('Données projet'!$B$15,Paramètres!$A$1:$I$89,3,0)*VLOOKUP('Données projet'!$B$15,Paramètres!$A$1:$I$89,5,0)</f>
        <v>356.08299999999991</v>
      </c>
      <c r="EL186" s="13">
        <f t="shared" si="179"/>
        <v>82.813805255716545</v>
      </c>
      <c r="EM186" s="20">
        <f t="shared" si="180"/>
        <v>764.41193582037283</v>
      </c>
      <c r="EN186" s="59">
        <f t="shared" si="128"/>
        <v>1057.7452691537062</v>
      </c>
      <c r="EO186" s="59">
        <f ca="1">AVERAGE(OFFSET($EN$3,0,0,'Données projet'!$E$15+1,1))-AVERAGE(OFFSET($H$3,0,0,'Données projet'!$E$15+1,1))</f>
        <v>443.34220761968419</v>
      </c>
      <c r="EP186" s="59">
        <f t="shared" si="154"/>
        <v>546.58234447298014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8.5531333601122181</v>
      </c>
      <c r="EW186" s="21">
        <f>EXP(-LN(2)/25)*EW185+(1-EXP(-LN(2)/25))/(LN(2)/25)*Calculateur!ER186*Calculateur!ET186*VLOOKUP('Données projet'!$B$15,Paramètres!$A$1:$I$89,3,0)*0.475*44/12</f>
        <v>0.31541306745284431</v>
      </c>
      <c r="EX186" s="21">
        <f>EXP(-LN(2)/2)*EX185+(1-EXP(-LN(2)/2))/(LN(2)/2)*ER186*EU186*VLOOKUP('Données projet'!$B$15,Paramètres!$A$1:$I$89,3,0)*0.475*44/12</f>
        <v>5.6542036870432197E-23</v>
      </c>
      <c r="EY186" s="22">
        <f t="shared" si="181"/>
        <v>8.8685464275650627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224.00000000000006</v>
      </c>
      <c r="O187" s="13">
        <f>N187*VLOOKUP('Données projet'!$B$9,Paramètres!$A$1:$I$89,3,0)*VLOOKUP('Données projet'!$B$9,Paramètres!$A$1:$I$89,5,0)</f>
        <v>195.68640000000008</v>
      </c>
      <c r="P187" s="13">
        <f t="shared" si="141"/>
        <v>48.794969360985156</v>
      </c>
      <c r="Q187" s="20">
        <f t="shared" si="162"/>
        <v>425.8050516370493</v>
      </c>
      <c r="R187" s="59">
        <f t="shared" si="109"/>
        <v>719.13838497038262</v>
      </c>
      <c r="S187" s="59">
        <f ca="1">AVERAGE(OFFSET($R$3,0,0,'Données projet'!$E$9+1,1))-AVERAGE(OFFSET($H$3,0,0,'Données projet'!$E$9+1,1))</f>
        <v>304.32767345253382</v>
      </c>
      <c r="T187" s="59">
        <f t="shared" si="142"/>
        <v>427.16091343339173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5.4072307354909528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5.4072307354909528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367.99999999999972</v>
      </c>
      <c r="AJ187" s="13">
        <f>AI187*VLOOKUP('Données projet'!$B$10,Paramètres!$A$1:$I$89,3,0)*VLOOKUP('Données projet'!$B$10,Paramètres!$A$1:$I$89,5,0)</f>
        <v>292.78079999999977</v>
      </c>
      <c r="AK187" s="13">
        <f t="shared" si="164"/>
        <v>69.660903052386217</v>
      </c>
      <c r="AL187" s="20">
        <f t="shared" si="165"/>
        <v>631.25263281623893</v>
      </c>
      <c r="AM187" s="59">
        <f t="shared" si="113"/>
        <v>924.58596614957219</v>
      </c>
      <c r="AN187" s="59">
        <f ca="1">AVERAGE(OFFSET($AM$3,0,0,'Données projet'!$E$10+1,1))-AVERAGE(OFFSET($H$3,0,0,'Données projet'!$E$10+1,1))</f>
        <v>405.40026823646758</v>
      </c>
      <c r="AO187" s="59">
        <f t="shared" si="144"/>
        <v>393.0787141050053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7.8581802655987545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7.8581802655987545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739.99999999999966</v>
      </c>
      <c r="BE187" s="13">
        <f>BD187*VLOOKUP('Données projet'!$B$11,Paramètres!$A$1:$I$89,3,0)*VLOOKUP('Données projet'!$B$11,Paramètres!$A$1:$I$89,5,0)</f>
        <v>413.65999999999985</v>
      </c>
      <c r="BF187" s="13">
        <f t="shared" si="167"/>
        <v>94.540585122244352</v>
      </c>
      <c r="BG187" s="20">
        <f t="shared" si="168"/>
        <v>885.11601908790863</v>
      </c>
      <c r="BH187" s="59">
        <f t="shared" si="116"/>
        <v>1178.4493524212419</v>
      </c>
      <c r="BI187" s="59">
        <f ca="1">AVERAGE(OFFSET($BH$3,0,0,'Données projet'!$E$11+1,1))-AVERAGE(OFFSET($H$3,0,0,'Données projet'!$E$11+1,1))</f>
        <v>555.15881087162279</v>
      </c>
      <c r="BJ187" s="59">
        <f t="shared" si="146"/>
        <v>668.20427590250733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10.59612131632457</v>
      </c>
      <c r="BQ187" s="21">
        <f>EXP(-LN(2)/25)*BQ186+(1-EXP(-LN(2)/25))/(LN(2)/25)*Calculateur!BL187*Calculateur!BN187*VLOOKUP('Données projet'!$B$11,Paramètres!$A$1:$I$89,3,0)*0.475*44/12</f>
        <v>0.80806295236480141</v>
      </c>
      <c r="BR187" s="21">
        <f>EXP(-LN(2)/2)*BR186+(1-EXP(-LN(2)/2))/(LN(2)/2)*BL187*BO187*VLOOKUP('Données projet'!$B$11,Paramètres!$A$1:$I$89,3,0)*0.475*44/12</f>
        <v>5.6280268181217261E-24</v>
      </c>
      <c r="BS187" s="22">
        <f t="shared" si="169"/>
        <v>11.404184268689372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367.99999999999972</v>
      </c>
      <c r="BZ187" s="13">
        <f>BY187*VLOOKUP('Données projet'!$B$12,Paramètres!$A$1:$I$89,3,0)*VLOOKUP('Données projet'!$B$12,Paramètres!$A$1:$I$89,5,0)</f>
        <v>241.11359999999982</v>
      </c>
      <c r="CA187" s="13">
        <f t="shared" si="170"/>
        <v>58.6790623558988</v>
      </c>
      <c r="CB187" s="20">
        <f t="shared" si="171"/>
        <v>522.13888693652348</v>
      </c>
      <c r="CC187" s="59">
        <f t="shared" si="119"/>
        <v>815.47222026985673</v>
      </c>
      <c r="CD187" s="59">
        <f ca="1">AVERAGE(OFFSET($CC$3,0,0,'Données projet'!$E$12+1,1))-AVERAGE(OFFSET($H$3,0,0,'Données projet'!$E$12+1,1))</f>
        <v>340.49092994349405</v>
      </c>
      <c r="CE187" s="59">
        <f t="shared" si="148"/>
        <v>331.54434271908832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5.2504156713545482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5.2504156713545482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306.99999999999994</v>
      </c>
      <c r="CU187" s="17">
        <f>CT187*VLOOKUP('Données projet'!$B$13,Paramètres!$A$1:$I$89,3,0)*VLOOKUP('Données projet'!$B$13,Paramètres!$A$1:$I$89,5,0)</f>
        <v>277.77359999999993</v>
      </c>
      <c r="CV187" s="13">
        <f t="shared" si="173"/>
        <v>66.496288176842356</v>
      </c>
      <c r="CW187" s="20">
        <f t="shared" si="174"/>
        <v>599.60338857466706</v>
      </c>
      <c r="CX187" s="59">
        <f t="shared" si="122"/>
        <v>892.93672190800044</v>
      </c>
      <c r="CY187" s="59">
        <f ca="1">AVERAGE(OFFSET($CX$3,0,0,'Données projet'!$E$13+1,1))-AVERAGE(OFFSET($H$3,0,0,'Données projet'!$E$13+1,1))</f>
        <v>439.19854273764042</v>
      </c>
      <c r="CZ187" s="59">
        <f t="shared" si="150"/>
        <v>278.21741231699929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25.524853976568355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25.524853976568355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306.99999999999994</v>
      </c>
      <c r="DP187" s="17">
        <f>DO187*VLOOKUP('Données projet'!$B$14,Paramètres!$A$1:$I$89,3,0)*VLOOKUP('Données projet'!$B$14,Paramètres!$A$1:$I$89,5,0)</f>
        <v>258.61679999999996</v>
      </c>
      <c r="DQ187" s="13">
        <f t="shared" si="176"/>
        <v>62.427444141032439</v>
      </c>
      <c r="DR187" s="20">
        <f t="shared" si="177"/>
        <v>559.15205854563135</v>
      </c>
      <c r="DS187" s="59">
        <f t="shared" si="125"/>
        <v>852.48539187896472</v>
      </c>
      <c r="DT187" s="59">
        <f ca="1">AVERAGE(OFFSET($DS$3,0,0,'Données projet'!$E$14+1,1))-AVERAGE(OFFSET($H$3,0,0,'Données projet'!$E$14+1,1))</f>
        <v>411.72284844766</v>
      </c>
      <c r="DU187" s="59">
        <f t="shared" si="152"/>
        <v>261.95434270986397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23.764519219563642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23.764519219563642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636.99999999999977</v>
      </c>
      <c r="EK187" s="17">
        <f>EJ187*VLOOKUP('Données projet'!$B$15,Paramètres!$A$1:$I$89,3,0)*VLOOKUP('Données projet'!$B$15,Paramètres!$A$1:$I$89,5,0)</f>
        <v>356.08299999999991</v>
      </c>
      <c r="EL187" s="13">
        <f t="shared" si="179"/>
        <v>82.813805255716545</v>
      </c>
      <c r="EM187" s="20">
        <f t="shared" si="180"/>
        <v>764.41193582037283</v>
      </c>
      <c r="EN187" s="59">
        <f t="shared" si="128"/>
        <v>1057.7452691537062</v>
      </c>
      <c r="EO187" s="59">
        <f ca="1">AVERAGE(OFFSET($EN$3,0,0,'Données projet'!$E$15+1,1))-AVERAGE(OFFSET($H$3,0,0,'Données projet'!$E$15+1,1))</f>
        <v>443.34220761968419</v>
      </c>
      <c r="EP187" s="59">
        <f t="shared" si="154"/>
        <v>546.58234447298014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8.3854116318166412</v>
      </c>
      <c r="EW187" s="21">
        <f>EXP(-LN(2)/25)*EW186+(1-EXP(-LN(2)/25))/(LN(2)/25)*Calculateur!ER187*Calculateur!ET187*VLOOKUP('Données projet'!$B$15,Paramètres!$A$1:$I$89,3,0)*0.475*44/12</f>
        <v>0.30678808053649392</v>
      </c>
      <c r="EX187" s="21">
        <f>EXP(-LN(2)/2)*EX186+(1-EXP(-LN(2)/2))/(LN(2)/2)*ER187*EU187*VLOOKUP('Données projet'!$B$15,Paramètres!$A$1:$I$89,3,0)*0.475*44/12</f>
        <v>3.9981257693182402E-23</v>
      </c>
      <c r="EY187" s="22">
        <f t="shared" si="181"/>
        <v>8.6921997123531352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224.00000000000006</v>
      </c>
      <c r="O188" s="13">
        <f>N188*VLOOKUP('Données projet'!$B$9,Paramètres!$A$1:$I$89,3,0)*VLOOKUP('Données projet'!$B$9,Paramètres!$A$1:$I$89,5,0)</f>
        <v>195.68640000000008</v>
      </c>
      <c r="P188" s="13">
        <f t="shared" si="141"/>
        <v>48.794969360985156</v>
      </c>
      <c r="Q188" s="20">
        <f t="shared" si="162"/>
        <v>425.8050516370493</v>
      </c>
      <c r="R188" s="59">
        <f t="shared" si="109"/>
        <v>719.13838497038262</v>
      </c>
      <c r="S188" s="59">
        <f ca="1">AVERAGE(OFFSET($R$3,0,0,'Données projet'!$E$9+1,1))-AVERAGE(OFFSET($H$3,0,0,'Données projet'!$E$9+1,1))</f>
        <v>304.32767345253382</v>
      </c>
      <c r="T188" s="59">
        <f t="shared" si="142"/>
        <v>427.16091343339173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5.3011982388530647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5.3011982388530647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367.99999999999972</v>
      </c>
      <c r="AJ188" s="13">
        <f>AI188*VLOOKUP('Données projet'!$B$10,Paramètres!$A$1:$I$89,3,0)*VLOOKUP('Données projet'!$B$10,Paramètres!$A$1:$I$89,5,0)</f>
        <v>292.78079999999977</v>
      </c>
      <c r="AK188" s="13">
        <f t="shared" si="164"/>
        <v>69.660903052386217</v>
      </c>
      <c r="AL188" s="20">
        <f t="shared" si="165"/>
        <v>631.25263281623893</v>
      </c>
      <c r="AM188" s="59">
        <f t="shared" si="113"/>
        <v>924.58596614957219</v>
      </c>
      <c r="AN188" s="59">
        <f ca="1">AVERAGE(OFFSET($AM$3,0,0,'Données projet'!$E$10+1,1))-AVERAGE(OFFSET($H$3,0,0,'Données projet'!$E$10+1,1))</f>
        <v>405.40026823646758</v>
      </c>
      <c r="AO188" s="59">
        <f t="shared" si="144"/>
        <v>393.0787141050053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7.7040861436070536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7.7040861436070536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739.99999999999966</v>
      </c>
      <c r="BE188" s="13">
        <f>BD188*VLOOKUP('Données projet'!$B$11,Paramètres!$A$1:$I$89,3,0)*VLOOKUP('Données projet'!$B$11,Paramètres!$A$1:$I$89,5,0)</f>
        <v>413.65999999999985</v>
      </c>
      <c r="BF188" s="13">
        <f t="shared" si="167"/>
        <v>94.540585122244352</v>
      </c>
      <c r="BG188" s="20">
        <f t="shared" si="168"/>
        <v>885.11601908790863</v>
      </c>
      <c r="BH188" s="59">
        <f t="shared" si="116"/>
        <v>1178.4493524212419</v>
      </c>
      <c r="BI188" s="59">
        <f ca="1">AVERAGE(OFFSET($BH$3,0,0,'Données projet'!$E$11+1,1))-AVERAGE(OFFSET($H$3,0,0,'Données projet'!$E$11+1,1))</f>
        <v>555.15881087162279</v>
      </c>
      <c r="BJ188" s="59">
        <f t="shared" si="146"/>
        <v>668.20427590250733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10.38833784030728</v>
      </c>
      <c r="BQ188" s="21">
        <f>EXP(-LN(2)/25)*BQ187+(1-EXP(-LN(2)/25))/(LN(2)/25)*Calculateur!BL188*Calculateur!BN188*VLOOKUP('Données projet'!$B$11,Paramètres!$A$1:$I$89,3,0)*0.475*44/12</f>
        <v>0.78596642843820208</v>
      </c>
      <c r="BR188" s="21">
        <f>EXP(-LN(2)/2)*BR187+(1-EXP(-LN(2)/2))/(LN(2)/2)*BL188*BO188*VLOOKUP('Données projet'!$B$11,Paramètres!$A$1:$I$89,3,0)*0.475*44/12</f>
        <v>3.9796159277936206E-24</v>
      </c>
      <c r="BS188" s="22">
        <f t="shared" si="169"/>
        <v>11.174304268745482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367.99999999999972</v>
      </c>
      <c r="BZ188" s="13">
        <f>BY188*VLOOKUP('Données projet'!$B$12,Paramètres!$A$1:$I$89,3,0)*VLOOKUP('Données projet'!$B$12,Paramètres!$A$1:$I$89,5,0)</f>
        <v>241.11359999999982</v>
      </c>
      <c r="CA188" s="13">
        <f t="shared" si="170"/>
        <v>58.6790623558988</v>
      </c>
      <c r="CB188" s="20">
        <f t="shared" si="171"/>
        <v>522.13888693652348</v>
      </c>
      <c r="CC188" s="59">
        <f t="shared" si="119"/>
        <v>815.47222026985673</v>
      </c>
      <c r="CD188" s="59">
        <f ca="1">AVERAGE(OFFSET($CC$3,0,0,'Données projet'!$E$12+1,1))-AVERAGE(OFFSET($H$3,0,0,'Données projet'!$E$12+1,1))</f>
        <v>340.49092994349405</v>
      </c>
      <c r="CE188" s="59">
        <f t="shared" si="148"/>
        <v>331.54434271908832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5.1474582224766303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5.1474582224766303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306.99999999999994</v>
      </c>
      <c r="CU188" s="17">
        <f>CT188*VLOOKUP('Données projet'!$B$13,Paramètres!$A$1:$I$89,3,0)*VLOOKUP('Données projet'!$B$13,Paramètres!$A$1:$I$89,5,0)</f>
        <v>277.77359999999993</v>
      </c>
      <c r="CV188" s="13">
        <f t="shared" si="173"/>
        <v>66.496288176842356</v>
      </c>
      <c r="CW188" s="20">
        <f t="shared" si="174"/>
        <v>599.60338857466706</v>
      </c>
      <c r="CX188" s="59">
        <f t="shared" si="122"/>
        <v>892.93672190800044</v>
      </c>
      <c r="CY188" s="59">
        <f ca="1">AVERAGE(OFFSET($CX$3,0,0,'Données projet'!$E$13+1,1))-AVERAGE(OFFSET($H$3,0,0,'Données projet'!$E$13+1,1))</f>
        <v>439.19854273764042</v>
      </c>
      <c r="CZ188" s="59">
        <f t="shared" si="150"/>
        <v>278.21741231699929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25.0243271587115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25.0243271587115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306.99999999999994</v>
      </c>
      <c r="DP188" s="17">
        <f>DO188*VLOOKUP('Données projet'!$B$14,Paramètres!$A$1:$I$89,3,0)*VLOOKUP('Données projet'!$B$14,Paramètres!$A$1:$I$89,5,0)</f>
        <v>258.61679999999996</v>
      </c>
      <c r="DQ188" s="13">
        <f t="shared" si="176"/>
        <v>62.427444141032439</v>
      </c>
      <c r="DR188" s="20">
        <f t="shared" si="177"/>
        <v>559.15205854563135</v>
      </c>
      <c r="DS188" s="59">
        <f t="shared" si="125"/>
        <v>852.48539187896472</v>
      </c>
      <c r="DT188" s="59">
        <f ca="1">AVERAGE(OFFSET($DS$3,0,0,'Données projet'!$E$14+1,1))-AVERAGE(OFFSET($H$3,0,0,'Données projet'!$E$14+1,1))</f>
        <v>411.72284844766</v>
      </c>
      <c r="DU188" s="59">
        <f t="shared" si="152"/>
        <v>261.95434270986397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23.29851149259347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23.29851149259347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636.99999999999977</v>
      </c>
      <c r="EK188" s="17">
        <f>EJ188*VLOOKUP('Données projet'!$B$15,Paramètres!$A$1:$I$89,3,0)*VLOOKUP('Données projet'!$B$15,Paramètres!$A$1:$I$89,5,0)</f>
        <v>356.08299999999991</v>
      </c>
      <c r="EL188" s="13">
        <f t="shared" si="179"/>
        <v>82.813805255716545</v>
      </c>
      <c r="EM188" s="20">
        <f t="shared" si="180"/>
        <v>764.41193582037283</v>
      </c>
      <c r="EN188" s="59">
        <f t="shared" si="128"/>
        <v>1057.7452691537062</v>
      </c>
      <c r="EO188" s="59">
        <f ca="1">AVERAGE(OFFSET($EN$3,0,0,'Données projet'!$E$15+1,1))-AVERAGE(OFFSET($H$3,0,0,'Données projet'!$E$15+1,1))</f>
        <v>443.34220761968419</v>
      </c>
      <c r="EP188" s="59">
        <f t="shared" si="154"/>
        <v>546.58234447298014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8.2209788243127875</v>
      </c>
      <c r="EW188" s="21">
        <f>EXP(-LN(2)/25)*EW187+(1-EXP(-LN(2)/25))/(LN(2)/25)*Calculateur!ER188*Calculateur!ET188*VLOOKUP('Données projet'!$B$15,Paramètres!$A$1:$I$89,3,0)*0.475*44/12</f>
        <v>0.2983989443409395</v>
      </c>
      <c r="EX188" s="21">
        <f>EXP(-LN(2)/2)*EX187+(1-EXP(-LN(2)/2))/(LN(2)/2)*ER188*EU188*VLOOKUP('Données projet'!$B$15,Paramètres!$A$1:$I$89,3,0)*0.475*44/12</f>
        <v>2.8271018435216099E-23</v>
      </c>
      <c r="EY188" s="22">
        <f t="shared" si="181"/>
        <v>8.5193777686537278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224.00000000000006</v>
      </c>
      <c r="O189" s="13">
        <f>N189*VLOOKUP('Données projet'!$B$9,Paramètres!$A$1:$I$89,3,0)*VLOOKUP('Données projet'!$B$9,Paramètres!$A$1:$I$89,5,0)</f>
        <v>195.68640000000008</v>
      </c>
      <c r="P189" s="13">
        <f t="shared" si="141"/>
        <v>48.794969360985156</v>
      </c>
      <c r="Q189" s="20">
        <f t="shared" si="162"/>
        <v>425.8050516370493</v>
      </c>
      <c r="R189" s="59">
        <f t="shared" si="109"/>
        <v>719.13838497038262</v>
      </c>
      <c r="S189" s="59">
        <f ca="1">AVERAGE(OFFSET($R$3,0,0,'Données projet'!$E$9+1,1))-AVERAGE(OFFSET($H$3,0,0,'Données projet'!$E$9+1,1))</f>
        <v>304.32767345253382</v>
      </c>
      <c r="T189" s="59">
        <f t="shared" si="142"/>
        <v>427.16091343339173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5.1972449748008094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5.1972449748008094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367.99999999999972</v>
      </c>
      <c r="AJ189" s="13">
        <f>AI189*VLOOKUP('Données projet'!$B$10,Paramètres!$A$1:$I$89,3,0)*VLOOKUP('Données projet'!$B$10,Paramètres!$A$1:$I$89,5,0)</f>
        <v>292.78079999999977</v>
      </c>
      <c r="AK189" s="13">
        <f t="shared" si="164"/>
        <v>69.660903052386217</v>
      </c>
      <c r="AL189" s="20">
        <f t="shared" si="165"/>
        <v>631.25263281623893</v>
      </c>
      <c r="AM189" s="59">
        <f t="shared" si="113"/>
        <v>924.58596614957219</v>
      </c>
      <c r="AN189" s="59">
        <f ca="1">AVERAGE(OFFSET($AM$3,0,0,'Données projet'!$E$10+1,1))-AVERAGE(OFFSET($H$3,0,0,'Données projet'!$E$10+1,1))</f>
        <v>405.40026823646758</v>
      </c>
      <c r="AO189" s="59">
        <f t="shared" si="144"/>
        <v>393.0787141050053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7.5530137133594764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7.5530137133594764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739.99999999999966</v>
      </c>
      <c r="BE189" s="13">
        <f>BD189*VLOOKUP('Données projet'!$B$11,Paramètres!$A$1:$I$89,3,0)*VLOOKUP('Données projet'!$B$11,Paramètres!$A$1:$I$89,5,0)</f>
        <v>413.65999999999985</v>
      </c>
      <c r="BF189" s="13">
        <f t="shared" si="167"/>
        <v>94.540585122244352</v>
      </c>
      <c r="BG189" s="20">
        <f t="shared" si="168"/>
        <v>885.11601908790863</v>
      </c>
      <c r="BH189" s="59">
        <f t="shared" si="116"/>
        <v>1178.4493524212419</v>
      </c>
      <c r="BI189" s="59">
        <f ca="1">AVERAGE(OFFSET($BH$3,0,0,'Données projet'!$E$11+1,1))-AVERAGE(OFFSET($H$3,0,0,'Données projet'!$E$11+1,1))</f>
        <v>555.15881087162279</v>
      </c>
      <c r="BJ189" s="59">
        <f t="shared" si="146"/>
        <v>668.20427590250733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10.184628871519283</v>
      </c>
      <c r="BQ189" s="21">
        <f>EXP(-LN(2)/25)*BQ188+(1-EXP(-LN(2)/25))/(LN(2)/25)*Calculateur!BL189*Calculateur!BN189*VLOOKUP('Données projet'!$B$11,Paramètres!$A$1:$I$89,3,0)*0.475*44/12</f>
        <v>0.76447413512038132</v>
      </c>
      <c r="BR189" s="21">
        <f>EXP(-LN(2)/2)*BR188+(1-EXP(-LN(2)/2))/(LN(2)/2)*BL189*BO189*VLOOKUP('Données projet'!$B$11,Paramètres!$A$1:$I$89,3,0)*0.475*44/12</f>
        <v>2.814013409060863E-24</v>
      </c>
      <c r="BS189" s="22">
        <f t="shared" si="169"/>
        <v>10.949103006639664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367.99999999999972</v>
      </c>
      <c r="BZ189" s="13">
        <f>BY189*VLOOKUP('Données projet'!$B$12,Paramètres!$A$1:$I$89,3,0)*VLOOKUP('Données projet'!$B$12,Paramètres!$A$1:$I$89,5,0)</f>
        <v>241.11359999999982</v>
      </c>
      <c r="CA189" s="13">
        <f t="shared" si="170"/>
        <v>58.6790623558988</v>
      </c>
      <c r="CB189" s="20">
        <f t="shared" si="171"/>
        <v>522.13888693652348</v>
      </c>
      <c r="CC189" s="59">
        <f t="shared" si="119"/>
        <v>815.47222026985673</v>
      </c>
      <c r="CD189" s="59">
        <f ca="1">AVERAGE(OFFSET($CC$3,0,0,'Données projet'!$E$12+1,1))-AVERAGE(OFFSET($H$3,0,0,'Données projet'!$E$12+1,1))</f>
        <v>340.49092994349405</v>
      </c>
      <c r="CE189" s="59">
        <f t="shared" si="148"/>
        <v>331.54434271908832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5.046519706373366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5.046519706373366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306.99999999999994</v>
      </c>
      <c r="CU189" s="17">
        <f>CT189*VLOOKUP('Données projet'!$B$13,Paramètres!$A$1:$I$89,3,0)*VLOOKUP('Données projet'!$B$13,Paramètres!$A$1:$I$89,5,0)</f>
        <v>277.77359999999993</v>
      </c>
      <c r="CV189" s="13">
        <f t="shared" si="173"/>
        <v>66.496288176842356</v>
      </c>
      <c r="CW189" s="20">
        <f t="shared" si="174"/>
        <v>599.60338857466706</v>
      </c>
      <c r="CX189" s="59">
        <f t="shared" si="122"/>
        <v>892.93672190800044</v>
      </c>
      <c r="CY189" s="59">
        <f ca="1">AVERAGE(OFFSET($CX$3,0,0,'Données projet'!$E$13+1,1))-AVERAGE(OFFSET($H$3,0,0,'Données projet'!$E$13+1,1))</f>
        <v>439.19854273764042</v>
      </c>
      <c r="CZ189" s="59">
        <f t="shared" si="150"/>
        <v>278.21741231699929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24.533615366461607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24.533615366461607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306.99999999999994</v>
      </c>
      <c r="DP189" s="17">
        <f>DO189*VLOOKUP('Données projet'!$B$14,Paramètres!$A$1:$I$89,3,0)*VLOOKUP('Données projet'!$B$14,Paramètres!$A$1:$I$89,5,0)</f>
        <v>258.61679999999996</v>
      </c>
      <c r="DQ189" s="13">
        <f t="shared" si="176"/>
        <v>62.427444141032439</v>
      </c>
      <c r="DR189" s="20">
        <f t="shared" si="177"/>
        <v>559.15205854563135</v>
      </c>
      <c r="DS189" s="59">
        <f t="shared" si="125"/>
        <v>852.48539187896472</v>
      </c>
      <c r="DT189" s="59">
        <f ca="1">AVERAGE(OFFSET($DS$3,0,0,'Données projet'!$E$14+1,1))-AVERAGE(OFFSET($H$3,0,0,'Données projet'!$E$14+1,1))</f>
        <v>411.72284844766</v>
      </c>
      <c r="DU189" s="59">
        <f t="shared" si="152"/>
        <v>261.95434270986397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22.841641892912534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22.841641892912534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636.99999999999977</v>
      </c>
      <c r="EK189" s="17">
        <f>EJ189*VLOOKUP('Données projet'!$B$15,Paramètres!$A$1:$I$89,3,0)*VLOOKUP('Données projet'!$B$15,Paramètres!$A$1:$I$89,5,0)</f>
        <v>356.08299999999991</v>
      </c>
      <c r="EL189" s="13">
        <f t="shared" si="179"/>
        <v>82.813805255716545</v>
      </c>
      <c r="EM189" s="20">
        <f t="shared" si="180"/>
        <v>764.41193582037283</v>
      </c>
      <c r="EN189" s="59">
        <f t="shared" si="128"/>
        <v>1057.7452691537062</v>
      </c>
      <c r="EO189" s="59">
        <f ca="1">AVERAGE(OFFSET($EN$3,0,0,'Données projet'!$E$15+1,1))-AVERAGE(OFFSET($H$3,0,0,'Données projet'!$E$15+1,1))</f>
        <v>443.34220761968419</v>
      </c>
      <c r="EP189" s="59">
        <f t="shared" si="154"/>
        <v>546.58234447298014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8.0597704438699758</v>
      </c>
      <c r="EW189" s="21">
        <f>EXP(-LN(2)/25)*EW188+(1-EXP(-LN(2)/25))/(LN(2)/25)*Calculateur!ER189*Calculateur!ET189*VLOOKUP('Données projet'!$B$15,Paramètres!$A$1:$I$89,3,0)*0.475*44/12</f>
        <v>0.290239209515818</v>
      </c>
      <c r="EX189" s="21">
        <f>EXP(-LN(2)/2)*EX188+(1-EXP(-LN(2)/2))/(LN(2)/2)*ER189*EU189*VLOOKUP('Données projet'!$B$15,Paramètres!$A$1:$I$89,3,0)*0.475*44/12</f>
        <v>1.9990628846591201E-23</v>
      </c>
      <c r="EY189" s="22">
        <f t="shared" si="181"/>
        <v>8.3500096533857935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224.00000000000006</v>
      </c>
      <c r="O190" s="13">
        <f>N190*VLOOKUP('Données projet'!$B$9,Paramètres!$A$1:$I$89,3,0)*VLOOKUP('Données projet'!$B$9,Paramètres!$A$1:$I$89,5,0)</f>
        <v>195.68640000000008</v>
      </c>
      <c r="P190" s="13">
        <f t="shared" si="141"/>
        <v>48.794969360985156</v>
      </c>
      <c r="Q190" s="20">
        <f t="shared" si="162"/>
        <v>425.8050516370493</v>
      </c>
      <c r="R190" s="59">
        <f t="shared" si="109"/>
        <v>719.13838497038262</v>
      </c>
      <c r="S190" s="59">
        <f ca="1">AVERAGE(OFFSET($R$3,0,0,'Données projet'!$E$9+1,1))-AVERAGE(OFFSET($H$3,0,0,'Données projet'!$E$9+1,1))</f>
        <v>304.32767345253382</v>
      </c>
      <c r="T190" s="59">
        <f t="shared" si="142"/>
        <v>427.16091343339173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5.0953301708513878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5.0953301708513878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367.99999999999972</v>
      </c>
      <c r="AJ190" s="13">
        <f>AI190*VLOOKUP('Données projet'!$B$10,Paramètres!$A$1:$I$89,3,0)*VLOOKUP('Données projet'!$B$10,Paramètres!$A$1:$I$89,5,0)</f>
        <v>292.78079999999977</v>
      </c>
      <c r="AK190" s="13">
        <f t="shared" si="164"/>
        <v>69.660903052386217</v>
      </c>
      <c r="AL190" s="20">
        <f t="shared" si="165"/>
        <v>631.25263281623893</v>
      </c>
      <c r="AM190" s="59">
        <f t="shared" si="113"/>
        <v>924.58596614957219</v>
      </c>
      <c r="AN190" s="59">
        <f ca="1">AVERAGE(OFFSET($AM$3,0,0,'Données projet'!$E$10+1,1))-AVERAGE(OFFSET($H$3,0,0,'Données projet'!$E$10+1,1))</f>
        <v>405.40026823646758</v>
      </c>
      <c r="AO190" s="59">
        <f t="shared" si="144"/>
        <v>393.0787141050053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7.4049037213239703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7.4049037213239703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739.99999999999966</v>
      </c>
      <c r="BE190" s="13">
        <f>BD190*VLOOKUP('Données projet'!$B$11,Paramètres!$A$1:$I$89,3,0)*VLOOKUP('Données projet'!$B$11,Paramètres!$A$1:$I$89,5,0)</f>
        <v>413.65999999999985</v>
      </c>
      <c r="BF190" s="13">
        <f t="shared" si="167"/>
        <v>94.540585122244352</v>
      </c>
      <c r="BG190" s="20">
        <f t="shared" si="168"/>
        <v>885.11601908790863</v>
      </c>
      <c r="BH190" s="59">
        <f t="shared" si="116"/>
        <v>1178.4493524212419</v>
      </c>
      <c r="BI190" s="59">
        <f ca="1">AVERAGE(OFFSET($BH$3,0,0,'Données projet'!$E$11+1,1))-AVERAGE(OFFSET($H$3,0,0,'Données projet'!$E$11+1,1))</f>
        <v>555.15881087162279</v>
      </c>
      <c r="BJ190" s="59">
        <f t="shared" si="146"/>
        <v>668.20427590250733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9.9849145113590172</v>
      </c>
      <c r="BQ190" s="21">
        <f>EXP(-LN(2)/25)*BQ189+(1-EXP(-LN(2)/25))/(LN(2)/25)*Calculateur!BL190*Calculateur!BN190*VLOOKUP('Données projet'!$B$11,Paramètres!$A$1:$I$89,3,0)*0.475*44/12</f>
        <v>0.74356954969356692</v>
      </c>
      <c r="BR190" s="21">
        <f>EXP(-LN(2)/2)*BR189+(1-EXP(-LN(2)/2))/(LN(2)/2)*BL190*BO190*VLOOKUP('Données projet'!$B$11,Paramètres!$A$1:$I$89,3,0)*0.475*44/12</f>
        <v>1.9898079638968103E-24</v>
      </c>
      <c r="BS190" s="22">
        <f t="shared" si="169"/>
        <v>10.728484061052583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367.99999999999972</v>
      </c>
      <c r="BZ190" s="13">
        <f>BY190*VLOOKUP('Données projet'!$B$12,Paramètres!$A$1:$I$89,3,0)*VLOOKUP('Données projet'!$B$12,Paramètres!$A$1:$I$89,5,0)</f>
        <v>241.11359999999982</v>
      </c>
      <c r="CA190" s="13">
        <f t="shared" si="170"/>
        <v>58.6790623558988</v>
      </c>
      <c r="CB190" s="20">
        <f t="shared" si="171"/>
        <v>522.13888693652348</v>
      </c>
      <c r="CC190" s="59">
        <f t="shared" si="119"/>
        <v>815.47222026985673</v>
      </c>
      <c r="CD190" s="59">
        <f ca="1">AVERAGE(OFFSET($CC$3,0,0,'Données projet'!$E$12+1,1))-AVERAGE(OFFSET($H$3,0,0,'Données projet'!$E$12+1,1))</f>
        <v>340.49092994349405</v>
      </c>
      <c r="CE190" s="59">
        <f t="shared" si="148"/>
        <v>331.54434271908832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4.947560533004471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4.947560533004471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306.99999999999994</v>
      </c>
      <c r="CU190" s="17">
        <f>CT190*VLOOKUP('Données projet'!$B$13,Paramètres!$A$1:$I$89,3,0)*VLOOKUP('Données projet'!$B$13,Paramètres!$A$1:$I$89,5,0)</f>
        <v>277.77359999999993</v>
      </c>
      <c r="CV190" s="13">
        <f t="shared" si="173"/>
        <v>66.496288176842356</v>
      </c>
      <c r="CW190" s="20">
        <f t="shared" si="174"/>
        <v>599.60338857466706</v>
      </c>
      <c r="CX190" s="59">
        <f t="shared" si="122"/>
        <v>892.93672190800044</v>
      </c>
      <c r="CY190" s="59">
        <f ca="1">AVERAGE(OFFSET($CX$3,0,0,'Données projet'!$E$13+1,1))-AVERAGE(OFFSET($H$3,0,0,'Données projet'!$E$13+1,1))</f>
        <v>439.19854273764042</v>
      </c>
      <c r="CZ190" s="59">
        <f t="shared" si="150"/>
        <v>278.21741231699929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24.052526133153094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24.052526133153094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306.99999999999994</v>
      </c>
      <c r="DP190" s="17">
        <f>DO190*VLOOKUP('Données projet'!$B$14,Paramètres!$A$1:$I$89,3,0)*VLOOKUP('Données projet'!$B$14,Paramètres!$A$1:$I$89,5,0)</f>
        <v>258.61679999999996</v>
      </c>
      <c r="DQ190" s="13">
        <f t="shared" si="176"/>
        <v>62.427444141032439</v>
      </c>
      <c r="DR190" s="20">
        <f t="shared" si="177"/>
        <v>559.15205854563135</v>
      </c>
      <c r="DS190" s="59">
        <f t="shared" si="125"/>
        <v>852.48539187896472</v>
      </c>
      <c r="DT190" s="59">
        <f ca="1">AVERAGE(OFFSET($DS$3,0,0,'Données projet'!$E$14+1,1))-AVERAGE(OFFSET($H$3,0,0,'Données projet'!$E$14+1,1))</f>
        <v>411.72284844766</v>
      </c>
      <c r="DU190" s="59">
        <f t="shared" si="152"/>
        <v>261.95434270986397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22.393731227418399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22.393731227418399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636.99999999999977</v>
      </c>
      <c r="EK190" s="17">
        <f>EJ190*VLOOKUP('Données projet'!$B$15,Paramètres!$A$1:$I$89,3,0)*VLOOKUP('Données projet'!$B$15,Paramètres!$A$1:$I$89,5,0)</f>
        <v>356.08299999999991</v>
      </c>
      <c r="EL190" s="13">
        <f t="shared" si="179"/>
        <v>82.813805255716545</v>
      </c>
      <c r="EM190" s="20">
        <f t="shared" si="180"/>
        <v>764.41193582037283</v>
      </c>
      <c r="EN190" s="59">
        <f t="shared" si="128"/>
        <v>1057.7452691537062</v>
      </c>
      <c r="EO190" s="59">
        <f ca="1">AVERAGE(OFFSET($EN$3,0,0,'Données projet'!$E$15+1,1))-AVERAGE(OFFSET($H$3,0,0,'Données projet'!$E$15+1,1))</f>
        <v>443.34220761968419</v>
      </c>
      <c r="EP190" s="59">
        <f t="shared" si="154"/>
        <v>546.58234447298014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7.9017232614402442</v>
      </c>
      <c r="EW190" s="21">
        <f>EXP(-LN(2)/25)*EW189+(1-EXP(-LN(2)/25))/(LN(2)/25)*Calculateur!ER190*Calculateur!ET190*VLOOKUP('Données projet'!$B$15,Paramètres!$A$1:$I$89,3,0)*0.475*44/12</f>
        <v>0.28230260306859128</v>
      </c>
      <c r="EX190" s="21">
        <f>EXP(-LN(2)/2)*EX189+(1-EXP(-LN(2)/2))/(LN(2)/2)*ER190*EU190*VLOOKUP('Données projet'!$B$15,Paramètres!$A$1:$I$89,3,0)*0.475*44/12</f>
        <v>1.4135509217608049E-23</v>
      </c>
      <c r="EY190" s="22">
        <f t="shared" si="181"/>
        <v>8.1840258645088362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224.00000000000006</v>
      </c>
      <c r="O191" s="13">
        <f>N191*VLOOKUP('Données projet'!$B$9,Paramètres!$A$1:$I$89,3,0)*VLOOKUP('Données projet'!$B$9,Paramètres!$A$1:$I$89,5,0)</f>
        <v>195.68640000000008</v>
      </c>
      <c r="P191" s="13">
        <f t="shared" si="141"/>
        <v>48.794969360985156</v>
      </c>
      <c r="Q191" s="20">
        <f t="shared" si="162"/>
        <v>425.8050516370493</v>
      </c>
      <c r="R191" s="59">
        <f t="shared" si="109"/>
        <v>719.13838497038262</v>
      </c>
      <c r="S191" s="59">
        <f ca="1">AVERAGE(OFFSET($R$3,0,0,'Données projet'!$E$9+1,1))-AVERAGE(OFFSET($H$3,0,0,'Données projet'!$E$9+1,1))</f>
        <v>304.32767345253382</v>
      </c>
      <c r="T191" s="59">
        <f t="shared" si="142"/>
        <v>427.16091343339173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4.9954138540455224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4.9954138540455224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367.99999999999972</v>
      </c>
      <c r="AJ191" s="13">
        <f>AI191*VLOOKUP('Données projet'!$B$10,Paramètres!$A$1:$I$89,3,0)*VLOOKUP('Données projet'!$B$10,Paramètres!$A$1:$I$89,5,0)</f>
        <v>292.78079999999977</v>
      </c>
      <c r="AK191" s="13">
        <f t="shared" si="164"/>
        <v>69.660903052386217</v>
      </c>
      <c r="AL191" s="20">
        <f t="shared" si="165"/>
        <v>631.25263281623893</v>
      </c>
      <c r="AM191" s="59">
        <f t="shared" si="113"/>
        <v>924.58596614957219</v>
      </c>
      <c r="AN191" s="59">
        <f ca="1">AVERAGE(OFFSET($AM$3,0,0,'Données projet'!$E$10+1,1))-AVERAGE(OFFSET($H$3,0,0,'Données projet'!$E$10+1,1))</f>
        <v>405.40026823646758</v>
      </c>
      <c r="AO191" s="59">
        <f t="shared" si="144"/>
        <v>393.0787141050053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7.2596980758941054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7.2596980758941054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739.99999999999966</v>
      </c>
      <c r="BE191" s="13">
        <f>BD191*VLOOKUP('Données projet'!$B$11,Paramètres!$A$1:$I$89,3,0)*VLOOKUP('Données projet'!$B$11,Paramètres!$A$1:$I$89,5,0)</f>
        <v>413.65999999999985</v>
      </c>
      <c r="BF191" s="13">
        <f t="shared" si="167"/>
        <v>94.540585122244352</v>
      </c>
      <c r="BG191" s="20">
        <f t="shared" si="168"/>
        <v>885.11601908790863</v>
      </c>
      <c r="BH191" s="59">
        <f t="shared" si="116"/>
        <v>1178.4493524212419</v>
      </c>
      <c r="BI191" s="59">
        <f ca="1">AVERAGE(OFFSET($BH$3,0,0,'Données projet'!$E$11+1,1))-AVERAGE(OFFSET($H$3,0,0,'Données projet'!$E$11+1,1))</f>
        <v>555.15881087162279</v>
      </c>
      <c r="BJ191" s="59">
        <f t="shared" si="146"/>
        <v>668.20427590250733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9.7891164279877625</v>
      </c>
      <c r="BQ191" s="21">
        <f>EXP(-LN(2)/25)*BQ190+(1-EXP(-LN(2)/25))/(LN(2)/25)*Calculateur!BL191*Calculateur!BN191*VLOOKUP('Données projet'!$B$11,Paramètres!$A$1:$I$89,3,0)*0.475*44/12</f>
        <v>0.72323660125457312</v>
      </c>
      <c r="BR191" s="21">
        <f>EXP(-LN(2)/2)*BR190+(1-EXP(-LN(2)/2))/(LN(2)/2)*BL191*BO191*VLOOKUP('Données projet'!$B$11,Paramètres!$A$1:$I$89,3,0)*0.475*44/12</f>
        <v>1.4070067045304315E-24</v>
      </c>
      <c r="BS191" s="22">
        <f t="shared" si="169"/>
        <v>10.512353029242336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367.99999999999972</v>
      </c>
      <c r="BZ191" s="13">
        <f>BY191*VLOOKUP('Données projet'!$B$12,Paramètres!$A$1:$I$89,3,0)*VLOOKUP('Données projet'!$B$12,Paramètres!$A$1:$I$89,5,0)</f>
        <v>241.11359999999982</v>
      </c>
      <c r="CA191" s="13">
        <f t="shared" si="170"/>
        <v>58.6790623558988</v>
      </c>
      <c r="CB191" s="20">
        <f t="shared" si="171"/>
        <v>522.13888693652348</v>
      </c>
      <c r="CC191" s="59">
        <f t="shared" si="119"/>
        <v>815.47222026985673</v>
      </c>
      <c r="CD191" s="59">
        <f ca="1">AVERAGE(OFFSET($CC$3,0,0,'Données projet'!$E$12+1,1))-AVERAGE(OFFSET($H$3,0,0,'Données projet'!$E$12+1,1))</f>
        <v>340.49092994349405</v>
      </c>
      <c r="CE191" s="59">
        <f t="shared" si="148"/>
        <v>331.54434271908832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4.8505418886662035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4.8505418886662035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306.99999999999994</v>
      </c>
      <c r="CU191" s="17">
        <f>CT191*VLOOKUP('Données projet'!$B$13,Paramètres!$A$1:$I$89,3,0)*VLOOKUP('Données projet'!$B$13,Paramètres!$A$1:$I$89,5,0)</f>
        <v>277.77359999999993</v>
      </c>
      <c r="CV191" s="13">
        <f t="shared" si="173"/>
        <v>66.496288176842356</v>
      </c>
      <c r="CW191" s="20">
        <f t="shared" si="174"/>
        <v>599.60338857466706</v>
      </c>
      <c r="CX191" s="59">
        <f t="shared" si="122"/>
        <v>892.93672190800044</v>
      </c>
      <c r="CY191" s="59">
        <f ca="1">AVERAGE(OFFSET($CX$3,0,0,'Données projet'!$E$13+1,1))-AVERAGE(OFFSET($H$3,0,0,'Données projet'!$E$13+1,1))</f>
        <v>439.19854273764042</v>
      </c>
      <c r="CZ191" s="59">
        <f t="shared" si="150"/>
        <v>278.21741231699929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23.580870766274302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23.580870766274302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306.99999999999994</v>
      </c>
      <c r="DP191" s="17">
        <f>DO191*VLOOKUP('Données projet'!$B$14,Paramètres!$A$1:$I$89,3,0)*VLOOKUP('Données projet'!$B$14,Paramètres!$A$1:$I$89,5,0)</f>
        <v>258.61679999999996</v>
      </c>
      <c r="DQ191" s="13">
        <f t="shared" si="176"/>
        <v>62.427444141032439</v>
      </c>
      <c r="DR191" s="20">
        <f t="shared" si="177"/>
        <v>559.15205854563135</v>
      </c>
      <c r="DS191" s="59">
        <f t="shared" si="125"/>
        <v>852.48539187896472</v>
      </c>
      <c r="DT191" s="59">
        <f ca="1">AVERAGE(OFFSET($DS$3,0,0,'Données projet'!$E$14+1,1))-AVERAGE(OFFSET($H$3,0,0,'Données projet'!$E$14+1,1))</f>
        <v>411.72284844766</v>
      </c>
      <c r="DU191" s="59">
        <f t="shared" si="152"/>
        <v>261.95434270986397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21.954603816876077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21.954603816876077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636.99999999999977</v>
      </c>
      <c r="EK191" s="17">
        <f>EJ191*VLOOKUP('Données projet'!$B$15,Paramètres!$A$1:$I$89,3,0)*VLOOKUP('Données projet'!$B$15,Paramètres!$A$1:$I$89,5,0)</f>
        <v>356.08299999999991</v>
      </c>
      <c r="EL191" s="13">
        <f t="shared" si="179"/>
        <v>82.813805255716545</v>
      </c>
      <c r="EM191" s="20">
        <f t="shared" si="180"/>
        <v>764.41193582037283</v>
      </c>
      <c r="EN191" s="59">
        <f t="shared" si="128"/>
        <v>1057.7452691537062</v>
      </c>
      <c r="EO191" s="59">
        <f ca="1">AVERAGE(OFFSET($EN$3,0,0,'Données projet'!$E$15+1,1))-AVERAGE(OFFSET($H$3,0,0,'Données projet'!$E$15+1,1))</f>
        <v>443.34220761968419</v>
      </c>
      <c r="EP191" s="59">
        <f t="shared" si="154"/>
        <v>546.58234447298014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7.7467752878586973</v>
      </c>
      <c r="EW191" s="21">
        <f>EXP(-LN(2)/25)*EW190+(1-EXP(-LN(2)/25))/(LN(2)/25)*Calculateur!ER191*Calculateur!ET191*VLOOKUP('Données projet'!$B$15,Paramètres!$A$1:$I$89,3,0)*0.475*44/12</f>
        <v>0.27458302354203196</v>
      </c>
      <c r="EX191" s="21">
        <f>EXP(-LN(2)/2)*EX190+(1-EXP(-LN(2)/2))/(LN(2)/2)*ER191*EU191*VLOOKUP('Données projet'!$B$15,Paramètres!$A$1:$I$89,3,0)*0.475*44/12</f>
        <v>9.9953144232956006E-24</v>
      </c>
      <c r="EY191" s="22">
        <f t="shared" si="181"/>
        <v>8.0213583114007285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224.00000000000006</v>
      </c>
      <c r="O192" s="13">
        <f>N192*VLOOKUP('Données projet'!$B$9,Paramètres!$A$1:$I$89,3,0)*VLOOKUP('Données projet'!$B$9,Paramètres!$A$1:$I$89,5,0)</f>
        <v>195.68640000000008</v>
      </c>
      <c r="P192" s="13">
        <f t="shared" si="141"/>
        <v>48.794969360985156</v>
      </c>
      <c r="Q192" s="20">
        <f t="shared" si="162"/>
        <v>425.8050516370493</v>
      </c>
      <c r="R192" s="59">
        <f t="shared" si="109"/>
        <v>719.13838497038262</v>
      </c>
      <c r="S192" s="59">
        <f ca="1">AVERAGE(OFFSET($R$3,0,0,'Données projet'!$E$9+1,1))-AVERAGE(OFFSET($H$3,0,0,'Données projet'!$E$9+1,1))</f>
        <v>304.32767345253382</v>
      </c>
      <c r="T192" s="59">
        <f t="shared" si="142"/>
        <v>427.16091343339173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4.897456835269284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4.897456835269284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367.99999999999972</v>
      </c>
      <c r="AJ192" s="13">
        <f>AI192*VLOOKUP('Données projet'!$B$10,Paramètres!$A$1:$I$89,3,0)*VLOOKUP('Données projet'!$B$10,Paramètres!$A$1:$I$89,5,0)</f>
        <v>292.78079999999977</v>
      </c>
      <c r="AK192" s="13">
        <f t="shared" si="164"/>
        <v>69.660903052386217</v>
      </c>
      <c r="AL192" s="20">
        <f t="shared" si="165"/>
        <v>631.25263281623893</v>
      </c>
      <c r="AM192" s="59">
        <f t="shared" si="113"/>
        <v>924.58596614957219</v>
      </c>
      <c r="AN192" s="59">
        <f ca="1">AVERAGE(OFFSET($AM$3,0,0,'Données projet'!$E$10+1,1))-AVERAGE(OFFSET($H$3,0,0,'Données projet'!$E$10+1,1))</f>
        <v>405.40026823646758</v>
      </c>
      <c r="AO192" s="59">
        <f t="shared" si="144"/>
        <v>393.0787141050053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7.1173398246044215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7.1173398246044215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739.99999999999966</v>
      </c>
      <c r="BE192" s="13">
        <f>BD192*VLOOKUP('Données projet'!$B$11,Paramètres!$A$1:$I$89,3,0)*VLOOKUP('Données projet'!$B$11,Paramètres!$A$1:$I$89,5,0)</f>
        <v>413.65999999999985</v>
      </c>
      <c r="BF192" s="13">
        <f t="shared" si="167"/>
        <v>94.540585122244352</v>
      </c>
      <c r="BG192" s="20">
        <f t="shared" si="168"/>
        <v>885.11601908790863</v>
      </c>
      <c r="BH192" s="59">
        <f t="shared" si="116"/>
        <v>1178.4493524212419</v>
      </c>
      <c r="BI192" s="59">
        <f ca="1">AVERAGE(OFFSET($BH$3,0,0,'Données projet'!$E$11+1,1))-AVERAGE(OFFSET($H$3,0,0,'Données projet'!$E$11+1,1))</f>
        <v>555.15881087162279</v>
      </c>
      <c r="BJ192" s="59">
        <f t="shared" si="146"/>
        <v>668.20427590250733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9.597157825606379</v>
      </c>
      <c r="BQ192" s="21">
        <f>EXP(-LN(2)/25)*BQ191+(1-EXP(-LN(2)/25))/(LN(2)/25)*Calculateur!BL192*Calculateur!BN192*VLOOKUP('Données projet'!$B$11,Paramètres!$A$1:$I$89,3,0)*0.475*44/12</f>
        <v>0.70345965835990698</v>
      </c>
      <c r="BR192" s="21">
        <f>EXP(-LN(2)/2)*BR191+(1-EXP(-LN(2)/2))/(LN(2)/2)*BL192*BO192*VLOOKUP('Données projet'!$B$11,Paramètres!$A$1:$I$89,3,0)*0.475*44/12</f>
        <v>9.9490398194840515E-25</v>
      </c>
      <c r="BS192" s="22">
        <f t="shared" si="169"/>
        <v>10.300617483966287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367.99999999999972</v>
      </c>
      <c r="BZ192" s="13">
        <f>BY192*VLOOKUP('Données projet'!$B$12,Paramètres!$A$1:$I$89,3,0)*VLOOKUP('Données projet'!$B$12,Paramètres!$A$1:$I$89,5,0)</f>
        <v>241.11359999999982</v>
      </c>
      <c r="CA192" s="13">
        <f t="shared" si="170"/>
        <v>58.6790623558988</v>
      </c>
      <c r="CB192" s="20">
        <f t="shared" si="171"/>
        <v>522.13888693652348</v>
      </c>
      <c r="CC192" s="59">
        <f t="shared" si="119"/>
        <v>815.47222026985673</v>
      </c>
      <c r="CD192" s="59">
        <f ca="1">AVERAGE(OFFSET($CC$3,0,0,'Données projet'!$E$12+1,1))-AVERAGE(OFFSET($H$3,0,0,'Données projet'!$E$12+1,1))</f>
        <v>340.49092994349405</v>
      </c>
      <c r="CE192" s="59">
        <f t="shared" si="148"/>
        <v>331.54434271908832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4.7554257207678798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4.7554257207678798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306.99999999999994</v>
      </c>
      <c r="CU192" s="17">
        <f>CT192*VLOOKUP('Données projet'!$B$13,Paramètres!$A$1:$I$89,3,0)*VLOOKUP('Données projet'!$B$13,Paramètres!$A$1:$I$89,5,0)</f>
        <v>277.77359999999993</v>
      </c>
      <c r="CV192" s="13">
        <f t="shared" si="173"/>
        <v>66.496288176842356</v>
      </c>
      <c r="CW192" s="20">
        <f t="shared" si="174"/>
        <v>599.60338857466706</v>
      </c>
      <c r="CX192" s="59">
        <f t="shared" si="122"/>
        <v>892.93672190800044</v>
      </c>
      <c r="CY192" s="59">
        <f ca="1">AVERAGE(OFFSET($CX$3,0,0,'Données projet'!$E$13+1,1))-AVERAGE(OFFSET($H$3,0,0,'Données projet'!$E$13+1,1))</f>
        <v>439.19854273764042</v>
      </c>
      <c r="CZ192" s="59">
        <f t="shared" si="150"/>
        <v>278.21741231699929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23.118464273458635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23.118464273458635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306.99999999999994</v>
      </c>
      <c r="DP192" s="17">
        <f>DO192*VLOOKUP('Données projet'!$B$14,Paramètres!$A$1:$I$89,3,0)*VLOOKUP('Données projet'!$B$14,Paramètres!$A$1:$I$89,5,0)</f>
        <v>258.61679999999996</v>
      </c>
      <c r="DQ192" s="13">
        <f t="shared" si="176"/>
        <v>62.427444141032439</v>
      </c>
      <c r="DR192" s="20">
        <f t="shared" si="177"/>
        <v>559.15205854563135</v>
      </c>
      <c r="DS192" s="59">
        <f t="shared" si="125"/>
        <v>852.48539187896472</v>
      </c>
      <c r="DT192" s="59">
        <f ca="1">AVERAGE(OFFSET($DS$3,0,0,'Données projet'!$E$14+1,1))-AVERAGE(OFFSET($H$3,0,0,'Données projet'!$E$14+1,1))</f>
        <v>411.72284844766</v>
      </c>
      <c r="DU192" s="59">
        <f t="shared" si="152"/>
        <v>261.95434270986397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21.524087427013214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21.524087427013214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636.99999999999977</v>
      </c>
      <c r="EK192" s="17">
        <f>EJ192*VLOOKUP('Données projet'!$B$15,Paramètres!$A$1:$I$89,3,0)*VLOOKUP('Données projet'!$B$15,Paramètres!$A$1:$I$89,5,0)</f>
        <v>356.08299999999991</v>
      </c>
      <c r="EL192" s="13">
        <f t="shared" si="179"/>
        <v>82.813805255716545</v>
      </c>
      <c r="EM192" s="20">
        <f t="shared" si="180"/>
        <v>764.41193582037283</v>
      </c>
      <c r="EN192" s="59">
        <f t="shared" si="128"/>
        <v>1057.7452691537062</v>
      </c>
      <c r="EO192" s="59">
        <f ca="1">AVERAGE(OFFSET($EN$3,0,0,'Données projet'!$E$15+1,1))-AVERAGE(OFFSET($H$3,0,0,'Données projet'!$E$15+1,1))</f>
        <v>443.34220761968419</v>
      </c>
      <c r="EP192" s="59">
        <f t="shared" si="154"/>
        <v>546.58234447298014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7.5948657495301521</v>
      </c>
      <c r="EW192" s="21">
        <f>EXP(-LN(2)/25)*EW191+(1-EXP(-LN(2)/25))/(LN(2)/25)*Calculateur!ER192*Calculateur!ET192*VLOOKUP('Données projet'!$B$15,Paramètres!$A$1:$I$89,3,0)*0.475*44/12</f>
        <v>0.26707453632358147</v>
      </c>
      <c r="EX192" s="21">
        <f>EXP(-LN(2)/2)*EX191+(1-EXP(-LN(2)/2))/(LN(2)/2)*ER192*EU192*VLOOKUP('Données projet'!$B$15,Paramètres!$A$1:$I$89,3,0)*0.475*44/12</f>
        <v>7.0677546088040246E-24</v>
      </c>
      <c r="EY192" s="22">
        <f t="shared" si="181"/>
        <v>7.8619402858537333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224.00000000000006</v>
      </c>
      <c r="O193" s="13">
        <f>N193*VLOOKUP('Données projet'!$B$9,Paramètres!$A$1:$I$89,3,0)*VLOOKUP('Données projet'!$B$9,Paramètres!$A$1:$I$89,5,0)</f>
        <v>195.68640000000008</v>
      </c>
      <c r="P193" s="13">
        <f t="shared" si="141"/>
        <v>48.794969360985156</v>
      </c>
      <c r="Q193" s="20">
        <f t="shared" si="162"/>
        <v>425.8050516370493</v>
      </c>
      <c r="R193" s="59">
        <f t="shared" si="109"/>
        <v>719.13838497038262</v>
      </c>
      <c r="S193" s="59">
        <f ca="1">AVERAGE(OFFSET($R$3,0,0,'Données projet'!$E$9+1,1))-AVERAGE(OFFSET($H$3,0,0,'Données projet'!$E$9+1,1))</f>
        <v>304.32767345253382</v>
      </c>
      <c r="T193" s="59">
        <f t="shared" si="142"/>
        <v>427.16091343339173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4.8014206938833661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4.8014206938833661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367.99999999999972</v>
      </c>
      <c r="AJ193" s="13">
        <f>AI193*VLOOKUP('Données projet'!$B$10,Paramètres!$A$1:$I$89,3,0)*VLOOKUP('Données projet'!$B$10,Paramètres!$A$1:$I$89,5,0)</f>
        <v>292.78079999999977</v>
      </c>
      <c r="AK193" s="13">
        <f t="shared" si="164"/>
        <v>69.660903052386217</v>
      </c>
      <c r="AL193" s="20">
        <f t="shared" si="165"/>
        <v>631.25263281623893</v>
      </c>
      <c r="AM193" s="59">
        <f t="shared" si="113"/>
        <v>924.58596614957219</v>
      </c>
      <c r="AN193" s="59">
        <f ca="1">AVERAGE(OFFSET($AM$3,0,0,'Données projet'!$E$10+1,1))-AVERAGE(OFFSET($H$3,0,0,'Données projet'!$E$10+1,1))</f>
        <v>405.40026823646758</v>
      </c>
      <c r="AO193" s="59">
        <f t="shared" si="144"/>
        <v>393.0787141050053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6.9777731317925689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6.9777731317925689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739.99999999999966</v>
      </c>
      <c r="BE193" s="13">
        <f>BD193*VLOOKUP('Données projet'!$B$11,Paramètres!$A$1:$I$89,3,0)*VLOOKUP('Données projet'!$B$11,Paramètres!$A$1:$I$89,5,0)</f>
        <v>413.65999999999985</v>
      </c>
      <c r="BF193" s="13">
        <f t="shared" si="167"/>
        <v>94.540585122244352</v>
      </c>
      <c r="BG193" s="20">
        <f t="shared" si="168"/>
        <v>885.11601908790863</v>
      </c>
      <c r="BH193" s="59">
        <f t="shared" si="116"/>
        <v>1178.4493524212419</v>
      </c>
      <c r="BI193" s="59">
        <f ca="1">AVERAGE(OFFSET($BH$3,0,0,'Données projet'!$E$11+1,1))-AVERAGE(OFFSET($H$3,0,0,'Données projet'!$E$11+1,1))</f>
        <v>555.15881087162279</v>
      </c>
      <c r="BJ193" s="59">
        <f t="shared" si="146"/>
        <v>668.20427590250733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9.408963414334508</v>
      </c>
      <c r="BQ193" s="21">
        <f>EXP(-LN(2)/25)*BQ192+(1-EXP(-LN(2)/25))/(LN(2)/25)*Calculateur!BL193*Calculateur!BN193*VLOOKUP('Données projet'!$B$11,Paramètres!$A$1:$I$89,3,0)*0.475*44/12</f>
        <v>0.68422351700871964</v>
      </c>
      <c r="BR193" s="21">
        <f>EXP(-LN(2)/2)*BR192+(1-EXP(-LN(2)/2))/(LN(2)/2)*BL193*BO193*VLOOKUP('Données projet'!$B$11,Paramètres!$A$1:$I$89,3,0)*0.475*44/12</f>
        <v>7.0350335226521576E-25</v>
      </c>
      <c r="BS193" s="22">
        <f t="shared" si="169"/>
        <v>10.093186931343228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367.99999999999972</v>
      </c>
      <c r="BZ193" s="13">
        <f>BY193*VLOOKUP('Données projet'!$B$12,Paramètres!$A$1:$I$89,3,0)*VLOOKUP('Données projet'!$B$12,Paramètres!$A$1:$I$89,5,0)</f>
        <v>241.11359999999982</v>
      </c>
      <c r="CA193" s="13">
        <f t="shared" si="170"/>
        <v>58.6790623558988</v>
      </c>
      <c r="CB193" s="20">
        <f t="shared" si="171"/>
        <v>522.13888693652348</v>
      </c>
      <c r="CC193" s="59">
        <f t="shared" si="119"/>
        <v>815.47222026985673</v>
      </c>
      <c r="CD193" s="59">
        <f ca="1">AVERAGE(OFFSET($CC$3,0,0,'Données projet'!$E$12+1,1))-AVERAGE(OFFSET($H$3,0,0,'Données projet'!$E$12+1,1))</f>
        <v>340.49092994349405</v>
      </c>
      <c r="CE193" s="59">
        <f t="shared" si="148"/>
        <v>331.54434271908832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4.6621747229069088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4.6621747229069088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306.99999999999994</v>
      </c>
      <c r="CU193" s="17">
        <f>CT193*VLOOKUP('Données projet'!$B$13,Paramètres!$A$1:$I$89,3,0)*VLOOKUP('Données projet'!$B$13,Paramètres!$A$1:$I$89,5,0)</f>
        <v>277.77359999999993</v>
      </c>
      <c r="CV193" s="13">
        <f t="shared" si="173"/>
        <v>66.496288176842356</v>
      </c>
      <c r="CW193" s="20">
        <f t="shared" si="174"/>
        <v>599.60338857466706</v>
      </c>
      <c r="CX193" s="59">
        <f t="shared" si="122"/>
        <v>892.93672190800044</v>
      </c>
      <c r="CY193" s="59">
        <f ca="1">AVERAGE(OFFSET($CX$3,0,0,'Données projet'!$E$13+1,1))-AVERAGE(OFFSET($H$3,0,0,'Données projet'!$E$13+1,1))</f>
        <v>439.19854273764042</v>
      </c>
      <c r="CZ193" s="59">
        <f t="shared" si="150"/>
        <v>278.21741231699929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22.665125289926973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22.665125289926973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306.99999999999994</v>
      </c>
      <c r="DP193" s="17">
        <f>DO193*VLOOKUP('Données projet'!$B$14,Paramètres!$A$1:$I$89,3,0)*VLOOKUP('Données projet'!$B$14,Paramètres!$A$1:$I$89,5,0)</f>
        <v>258.61679999999996</v>
      </c>
      <c r="DQ193" s="13">
        <f t="shared" si="176"/>
        <v>62.427444141032439</v>
      </c>
      <c r="DR193" s="20">
        <f t="shared" si="177"/>
        <v>559.15205854563135</v>
      </c>
      <c r="DS193" s="59">
        <f t="shared" si="125"/>
        <v>852.48539187896472</v>
      </c>
      <c r="DT193" s="59">
        <f ca="1">AVERAGE(OFFSET($DS$3,0,0,'Données projet'!$E$14+1,1))-AVERAGE(OFFSET($H$3,0,0,'Données projet'!$E$14+1,1))</f>
        <v>411.72284844766</v>
      </c>
      <c r="DU193" s="59">
        <f t="shared" si="152"/>
        <v>261.95434270986397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21.102013200966493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21.102013200966493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636.99999999999977</v>
      </c>
      <c r="EK193" s="17">
        <f>EJ193*VLOOKUP('Données projet'!$B$15,Paramètres!$A$1:$I$89,3,0)*VLOOKUP('Données projet'!$B$15,Paramètres!$A$1:$I$89,5,0)</f>
        <v>356.08299999999991</v>
      </c>
      <c r="EL193" s="13">
        <f t="shared" si="179"/>
        <v>82.813805255716545</v>
      </c>
      <c r="EM193" s="20">
        <f t="shared" si="180"/>
        <v>764.41193582037283</v>
      </c>
      <c r="EN193" s="59">
        <f t="shared" si="128"/>
        <v>1057.7452691537062</v>
      </c>
      <c r="EO193" s="59">
        <f ca="1">AVERAGE(OFFSET($EN$3,0,0,'Données projet'!$E$15+1,1))-AVERAGE(OFFSET($H$3,0,0,'Données projet'!$E$15+1,1))</f>
        <v>443.34220761968419</v>
      </c>
      <c r="EP193" s="59">
        <f t="shared" si="154"/>
        <v>546.58234447298014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7.4459350645925602</v>
      </c>
      <c r="EW193" s="21">
        <f>EXP(-LN(2)/25)*EW192+(1-EXP(-LN(2)/25))/(LN(2)/25)*Calculateur!ER193*Calculateur!ET193*VLOOKUP('Données projet'!$B$15,Paramètres!$A$1:$I$89,3,0)*0.475*44/12</f>
        <v>0.25977136908297366</v>
      </c>
      <c r="EX193" s="21">
        <f>EXP(-LN(2)/2)*EX192+(1-EXP(-LN(2)/2))/(LN(2)/2)*ER193*EU193*VLOOKUP('Données projet'!$B$15,Paramètres!$A$1:$I$89,3,0)*0.475*44/12</f>
        <v>4.9976572116478003E-24</v>
      </c>
      <c r="EY193" s="22">
        <f t="shared" si="181"/>
        <v>7.7057064336755339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224.00000000000006</v>
      </c>
      <c r="O194" s="13">
        <f>N194*VLOOKUP('Données projet'!$B$9,Paramètres!$A$1:$I$89,3,0)*VLOOKUP('Données projet'!$B$9,Paramètres!$A$1:$I$89,5,0)</f>
        <v>195.68640000000008</v>
      </c>
      <c r="P194" s="13">
        <f t="shared" si="141"/>
        <v>48.794969360985156</v>
      </c>
      <c r="Q194" s="20">
        <f t="shared" si="162"/>
        <v>425.8050516370493</v>
      </c>
      <c r="R194" s="59">
        <f t="shared" si="109"/>
        <v>719.13838497038262</v>
      </c>
      <c r="S194" s="59">
        <f ca="1">AVERAGE(OFFSET($R$3,0,0,'Données projet'!$E$9+1,1))-AVERAGE(OFFSET($H$3,0,0,'Données projet'!$E$9+1,1))</f>
        <v>304.32767345253382</v>
      </c>
      <c r="T194" s="59">
        <f t="shared" si="142"/>
        <v>427.16091343339173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4.707267762653764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4.707267762653764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367.99999999999972</v>
      </c>
      <c r="AJ194" s="13">
        <f>AI194*VLOOKUP('Données projet'!$B$10,Paramètres!$A$1:$I$89,3,0)*VLOOKUP('Données projet'!$B$10,Paramètres!$A$1:$I$89,5,0)</f>
        <v>292.78079999999977</v>
      </c>
      <c r="AK194" s="13">
        <f t="shared" si="164"/>
        <v>69.660903052386217</v>
      </c>
      <c r="AL194" s="20">
        <f t="shared" si="165"/>
        <v>631.25263281623893</v>
      </c>
      <c r="AM194" s="59">
        <f t="shared" si="113"/>
        <v>924.58596614957219</v>
      </c>
      <c r="AN194" s="59">
        <f ca="1">AVERAGE(OFFSET($AM$3,0,0,'Données projet'!$E$10+1,1))-AVERAGE(OFFSET($H$3,0,0,'Données projet'!$E$10+1,1))</f>
        <v>405.40026823646758</v>
      </c>
      <c r="AO194" s="59">
        <f t="shared" si="144"/>
        <v>393.0787141050053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6.8409432566994797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6.8409432566994797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739.99999999999966</v>
      </c>
      <c r="BE194" s="13">
        <f>BD194*VLOOKUP('Données projet'!$B$11,Paramètres!$A$1:$I$89,3,0)*VLOOKUP('Données projet'!$B$11,Paramètres!$A$1:$I$89,5,0)</f>
        <v>413.65999999999985</v>
      </c>
      <c r="BF194" s="13">
        <f t="shared" si="167"/>
        <v>94.540585122244352</v>
      </c>
      <c r="BG194" s="20">
        <f t="shared" si="168"/>
        <v>885.11601908790863</v>
      </c>
      <c r="BH194" s="59">
        <f t="shared" si="116"/>
        <v>1178.4493524212419</v>
      </c>
      <c r="BI194" s="59">
        <f ca="1">AVERAGE(OFFSET($BH$3,0,0,'Données projet'!$E$11+1,1))-AVERAGE(OFFSET($H$3,0,0,'Données projet'!$E$11+1,1))</f>
        <v>555.15881087162279</v>
      </c>
      <c r="BJ194" s="59">
        <f t="shared" si="146"/>
        <v>668.20427590250733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9.2244593806804218</v>
      </c>
      <c r="BQ194" s="21">
        <f>EXP(-LN(2)/25)*BQ193+(1-EXP(-LN(2)/25))/(LN(2)/25)*Calculateur!BL194*Calculateur!BN194*VLOOKUP('Données projet'!$B$11,Paramètres!$A$1:$I$89,3,0)*0.475*44/12</f>
        <v>0.66551338895436529</v>
      </c>
      <c r="BR194" s="21">
        <f>EXP(-LN(2)/2)*BR193+(1-EXP(-LN(2)/2))/(LN(2)/2)*BL194*BO194*VLOOKUP('Données projet'!$B$11,Paramètres!$A$1:$I$89,3,0)*0.475*44/12</f>
        <v>4.9745199097420257E-25</v>
      </c>
      <c r="BS194" s="22">
        <f t="shared" si="169"/>
        <v>9.8899727696347863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367.99999999999972</v>
      </c>
      <c r="BZ194" s="13">
        <f>BY194*VLOOKUP('Données projet'!$B$12,Paramètres!$A$1:$I$89,3,0)*VLOOKUP('Données projet'!$B$12,Paramètres!$A$1:$I$89,5,0)</f>
        <v>241.11359999999982</v>
      </c>
      <c r="CA194" s="13">
        <f t="shared" si="170"/>
        <v>58.6790623558988</v>
      </c>
      <c r="CB194" s="20">
        <f t="shared" si="171"/>
        <v>522.13888693652348</v>
      </c>
      <c r="CC194" s="59">
        <f t="shared" si="119"/>
        <v>815.47222026985673</v>
      </c>
      <c r="CD194" s="59">
        <f ca="1">AVERAGE(OFFSET($CC$3,0,0,'Données projet'!$E$12+1,1))-AVERAGE(OFFSET($H$3,0,0,'Données projet'!$E$12+1,1))</f>
        <v>340.49092994349405</v>
      </c>
      <c r="CE194" s="59">
        <f t="shared" si="148"/>
        <v>331.54434271908832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4.5707523202364984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4.5707523202364984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306.99999999999994</v>
      </c>
      <c r="CU194" s="17">
        <f>CT194*VLOOKUP('Données projet'!$B$13,Paramètres!$A$1:$I$89,3,0)*VLOOKUP('Données projet'!$B$13,Paramètres!$A$1:$I$89,5,0)</f>
        <v>277.77359999999993</v>
      </c>
      <c r="CV194" s="13">
        <f t="shared" si="173"/>
        <v>66.496288176842356</v>
      </c>
      <c r="CW194" s="20">
        <f t="shared" si="174"/>
        <v>599.60338857466706</v>
      </c>
      <c r="CX194" s="59">
        <f t="shared" si="122"/>
        <v>892.93672190800044</v>
      </c>
      <c r="CY194" s="59">
        <f ca="1">AVERAGE(OFFSET($CX$3,0,0,'Données projet'!$E$13+1,1))-AVERAGE(OFFSET($H$3,0,0,'Données projet'!$E$13+1,1))</f>
        <v>439.19854273764042</v>
      </c>
      <c r="CZ194" s="59">
        <f t="shared" si="150"/>
        <v>278.21741231699929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22.220676007352889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22.220676007352889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306.99999999999994</v>
      </c>
      <c r="DP194" s="17">
        <f>DO194*VLOOKUP('Données projet'!$B$14,Paramètres!$A$1:$I$89,3,0)*VLOOKUP('Données projet'!$B$14,Paramètres!$A$1:$I$89,5,0)</f>
        <v>258.61679999999996</v>
      </c>
      <c r="DQ194" s="13">
        <f t="shared" si="176"/>
        <v>62.427444141032439</v>
      </c>
      <c r="DR194" s="20">
        <f t="shared" si="177"/>
        <v>559.15205854563135</v>
      </c>
      <c r="DS194" s="59">
        <f t="shared" si="125"/>
        <v>852.48539187896472</v>
      </c>
      <c r="DT194" s="59">
        <f ca="1">AVERAGE(OFFSET($DS$3,0,0,'Données projet'!$E$14+1,1))-AVERAGE(OFFSET($H$3,0,0,'Données projet'!$E$14+1,1))</f>
        <v>411.72284844766</v>
      </c>
      <c r="DU194" s="59">
        <f t="shared" si="152"/>
        <v>261.95434270986397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20.688215593052689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20.688215593052689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636.99999999999977</v>
      </c>
      <c r="EK194" s="17">
        <f>EJ194*VLOOKUP('Données projet'!$B$15,Paramètres!$A$1:$I$89,3,0)*VLOOKUP('Données projet'!$B$15,Paramètres!$A$1:$I$89,5,0)</f>
        <v>356.08299999999991</v>
      </c>
      <c r="EL194" s="13">
        <f t="shared" si="179"/>
        <v>82.813805255716545</v>
      </c>
      <c r="EM194" s="20">
        <f t="shared" si="180"/>
        <v>764.41193582037283</v>
      </c>
      <c r="EN194" s="59">
        <f t="shared" si="128"/>
        <v>1057.7452691537062</v>
      </c>
      <c r="EO194" s="59">
        <f ca="1">AVERAGE(OFFSET($EN$3,0,0,'Données projet'!$E$15+1,1))-AVERAGE(OFFSET($H$3,0,0,'Données projet'!$E$15+1,1))</f>
        <v>443.34220761968419</v>
      </c>
      <c r="EP194" s="59">
        <f t="shared" si="154"/>
        <v>546.58234447298014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7.2999248195478463</v>
      </c>
      <c r="EW194" s="21">
        <f>EXP(-LN(2)/25)*EW193+(1-EXP(-LN(2)/25))/(LN(2)/25)*Calculateur!ER194*Calculateur!ET194*VLOOKUP('Données projet'!$B$15,Paramètres!$A$1:$I$89,3,0)*0.475*44/12</f>
        <v>0.25266790733461714</v>
      </c>
      <c r="EX194" s="21">
        <f>EXP(-LN(2)/2)*EX193+(1-EXP(-LN(2)/2))/(LN(2)/2)*ER194*EU194*VLOOKUP('Données projet'!$B$15,Paramètres!$A$1:$I$89,3,0)*0.475*44/12</f>
        <v>3.5338773044020123E-24</v>
      </c>
      <c r="EY194" s="22">
        <f t="shared" si="181"/>
        <v>7.5525927268824633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224.00000000000006</v>
      </c>
      <c r="O195" s="13">
        <f>N195*VLOOKUP('Données projet'!$B$9,Paramètres!$A$1:$I$89,3,0)*VLOOKUP('Données projet'!$B$9,Paramètres!$A$1:$I$89,5,0)</f>
        <v>195.68640000000008</v>
      </c>
      <c r="P195" s="13">
        <f t="shared" si="141"/>
        <v>48.794969360985156</v>
      </c>
      <c r="Q195" s="20">
        <f t="shared" si="162"/>
        <v>425.8050516370493</v>
      </c>
      <c r="R195" s="59">
        <f t="shared" ref="R195:R203" si="191">Q195+(I195+J195)*44/12</f>
        <v>719.13838497038262</v>
      </c>
      <c r="S195" s="59">
        <f ca="1">AVERAGE(OFFSET($R$3,0,0,'Données projet'!$E$9+1,1))-AVERAGE(OFFSET($H$3,0,0,'Données projet'!$E$9+1,1))</f>
        <v>304.32767345253382</v>
      </c>
      <c r="T195" s="59">
        <f t="shared" si="142"/>
        <v>427.16091343339173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4.6149611129779569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4.6149611129779569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367.99999999999972</v>
      </c>
      <c r="AJ195" s="13">
        <f>AI195*VLOOKUP('Données projet'!$B$10,Paramètres!$A$1:$I$89,3,0)*VLOOKUP('Données projet'!$B$10,Paramètres!$A$1:$I$89,5,0)</f>
        <v>292.78079999999977</v>
      </c>
      <c r="AK195" s="13">
        <f t="shared" si="164"/>
        <v>69.660903052386217</v>
      </c>
      <c r="AL195" s="20">
        <f t="shared" si="165"/>
        <v>631.25263281623893</v>
      </c>
      <c r="AM195" s="59">
        <f t="shared" si="113"/>
        <v>924.58596614957219</v>
      </c>
      <c r="AN195" s="59">
        <f ca="1">AVERAGE(OFFSET($AM$3,0,0,'Données projet'!$E$10+1,1))-AVERAGE(OFFSET($H$3,0,0,'Données projet'!$E$10+1,1))</f>
        <v>405.40026823646758</v>
      </c>
      <c r="AO195" s="59">
        <f t="shared" si="144"/>
        <v>393.0787141050053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6.7067965319989833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6.7067965319989833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739.99999999999966</v>
      </c>
      <c r="BE195" s="13">
        <f>BD195*VLOOKUP('Données projet'!$B$11,Paramètres!$A$1:$I$89,3,0)*VLOOKUP('Données projet'!$B$11,Paramètres!$A$1:$I$89,5,0)</f>
        <v>413.65999999999985</v>
      </c>
      <c r="BF195" s="13">
        <f t="shared" si="167"/>
        <v>94.540585122244352</v>
      </c>
      <c r="BG195" s="20">
        <f t="shared" si="168"/>
        <v>885.11601908790863</v>
      </c>
      <c r="BH195" s="59">
        <f t="shared" si="116"/>
        <v>1178.4493524212419</v>
      </c>
      <c r="BI195" s="59">
        <f ca="1">AVERAGE(OFFSET($BH$3,0,0,'Données projet'!$E$11+1,1))-AVERAGE(OFFSET($H$3,0,0,'Données projet'!$E$11+1,1))</f>
        <v>555.15881087162279</v>
      </c>
      <c r="BJ195" s="59">
        <f t="shared" si="146"/>
        <v>668.20427590250733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9.0435733585899438</v>
      </c>
      <c r="BQ195" s="21">
        <f>EXP(-LN(2)/25)*BQ194+(1-EXP(-LN(2)/25))/(LN(2)/25)*Calculateur!BL195*Calculateur!BN195*VLOOKUP('Données projet'!$B$11,Paramètres!$A$1:$I$89,3,0)*0.475*44/12</f>
        <v>0.6473148903355801</v>
      </c>
      <c r="BR195" s="21">
        <f>EXP(-LN(2)/2)*BR194+(1-EXP(-LN(2)/2))/(LN(2)/2)*BL195*BO195*VLOOKUP('Données projet'!$B$11,Paramètres!$A$1:$I$89,3,0)*0.475*44/12</f>
        <v>3.5175167613260788E-25</v>
      </c>
      <c r="BS195" s="22">
        <f t="shared" si="169"/>
        <v>9.6908882489255248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367.99999999999972</v>
      </c>
      <c r="BZ195" s="13">
        <f>BY195*VLOOKUP('Données projet'!$B$12,Paramètres!$A$1:$I$89,3,0)*VLOOKUP('Données projet'!$B$12,Paramètres!$A$1:$I$89,5,0)</f>
        <v>241.11359999999982</v>
      </c>
      <c r="CA195" s="13">
        <f t="shared" si="170"/>
        <v>58.6790623558988</v>
      </c>
      <c r="CB195" s="20">
        <f t="shared" si="171"/>
        <v>522.13888693652348</v>
      </c>
      <c r="CC195" s="59">
        <f t="shared" si="119"/>
        <v>815.47222026985673</v>
      </c>
      <c r="CD195" s="59">
        <f ca="1">AVERAGE(OFFSET($CC$3,0,0,'Données projet'!$E$12+1,1))-AVERAGE(OFFSET($H$3,0,0,'Données projet'!$E$12+1,1))</f>
        <v>340.49092994349405</v>
      </c>
      <c r="CE195" s="59">
        <f t="shared" si="148"/>
        <v>331.54434271908832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4.481122655120295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4.481122655120295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306.99999999999994</v>
      </c>
      <c r="CU195" s="17">
        <f>CT195*VLOOKUP('Données projet'!$B$13,Paramètres!$A$1:$I$89,3,0)*VLOOKUP('Données projet'!$B$13,Paramètres!$A$1:$I$89,5,0)</f>
        <v>277.77359999999993</v>
      </c>
      <c r="CV195" s="13">
        <f t="shared" si="173"/>
        <v>66.496288176842356</v>
      </c>
      <c r="CW195" s="20">
        <f t="shared" si="174"/>
        <v>599.60338857466706</v>
      </c>
      <c r="CX195" s="59">
        <f t="shared" si="122"/>
        <v>892.93672190800044</v>
      </c>
      <c r="CY195" s="59">
        <f ca="1">AVERAGE(OFFSET($CX$3,0,0,'Données projet'!$E$13+1,1))-AVERAGE(OFFSET($H$3,0,0,'Données projet'!$E$13+1,1))</f>
        <v>439.19854273764042</v>
      </c>
      <c r="CZ195" s="59">
        <f t="shared" si="150"/>
        <v>278.21741231699929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21.784942104122788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21.784942104122788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306.99999999999994</v>
      </c>
      <c r="DP195" s="17">
        <f>DO195*VLOOKUP('Données projet'!$B$14,Paramètres!$A$1:$I$89,3,0)*VLOOKUP('Données projet'!$B$14,Paramètres!$A$1:$I$89,5,0)</f>
        <v>258.61679999999996</v>
      </c>
      <c r="DQ195" s="13">
        <f t="shared" si="176"/>
        <v>62.427444141032439</v>
      </c>
      <c r="DR195" s="20">
        <f t="shared" si="177"/>
        <v>559.15205854563135</v>
      </c>
      <c r="DS195" s="59">
        <f t="shared" si="125"/>
        <v>852.48539187896472</v>
      </c>
      <c r="DT195" s="59">
        <f ca="1">AVERAGE(OFFSET($DS$3,0,0,'Données projet'!$E$14+1,1))-AVERAGE(OFFSET($H$3,0,0,'Données projet'!$E$14+1,1))</f>
        <v>411.72284844766</v>
      </c>
      <c r="DU195" s="59">
        <f t="shared" si="152"/>
        <v>261.95434270986397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20.282532303838458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20.282532303838458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636.99999999999977</v>
      </c>
      <c r="EK195" s="17">
        <f>EJ195*VLOOKUP('Données projet'!$B$15,Paramètres!$A$1:$I$89,3,0)*VLOOKUP('Données projet'!$B$15,Paramètres!$A$1:$I$89,5,0)</f>
        <v>356.08299999999991</v>
      </c>
      <c r="EL195" s="13">
        <f t="shared" si="179"/>
        <v>82.813805255716545</v>
      </c>
      <c r="EM195" s="20">
        <f t="shared" si="180"/>
        <v>764.41193582037283</v>
      </c>
      <c r="EN195" s="59">
        <f t="shared" si="128"/>
        <v>1057.7452691537062</v>
      </c>
      <c r="EO195" s="59">
        <f ca="1">AVERAGE(OFFSET($EN$3,0,0,'Données projet'!$E$15+1,1))-AVERAGE(OFFSET($H$3,0,0,'Données projet'!$E$15+1,1))</f>
        <v>443.34220761968419</v>
      </c>
      <c r="EP195" s="59">
        <f t="shared" si="154"/>
        <v>546.58234447298014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7.1567777463510041</v>
      </c>
      <c r="EW195" s="21">
        <f>EXP(-LN(2)/25)*EW194+(1-EXP(-LN(2)/25))/(LN(2)/25)*Calculateur!ER195*Calculateur!ET195*VLOOKUP('Données projet'!$B$15,Paramètres!$A$1:$I$89,3,0)*0.475*44/12</f>
        <v>0.24575869012132426</v>
      </c>
      <c r="EX195" s="21">
        <f>EXP(-LN(2)/2)*EX194+(1-EXP(-LN(2)/2))/(LN(2)/2)*ER195*EU195*VLOOKUP('Données projet'!$B$15,Paramètres!$A$1:$I$89,3,0)*0.475*44/12</f>
        <v>2.4988286058239002E-24</v>
      </c>
      <c r="EY195" s="22">
        <f t="shared" si="181"/>
        <v>7.4025364364723281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224.00000000000006</v>
      </c>
      <c r="O196" s="13">
        <f>N196*VLOOKUP('Données projet'!$B$9,Paramètres!$A$1:$I$89,3,0)*VLOOKUP('Données projet'!$B$9,Paramètres!$A$1:$I$89,5,0)</f>
        <v>195.68640000000008</v>
      </c>
      <c r="P196" s="13">
        <f t="shared" si="141"/>
        <v>48.794969360985156</v>
      </c>
      <c r="Q196" s="20">
        <f t="shared" si="162"/>
        <v>425.8050516370493</v>
      </c>
      <c r="R196" s="59">
        <f t="shared" si="191"/>
        <v>719.13838497038262</v>
      </c>
      <c r="S196" s="59">
        <f ca="1">AVERAGE(OFFSET($R$3,0,0,'Données projet'!$E$9+1,1))-AVERAGE(OFFSET($H$3,0,0,'Données projet'!$E$9+1,1))</f>
        <v>304.32767345253382</v>
      </c>
      <c r="T196" s="59">
        <f t="shared" si="142"/>
        <v>427.16091343339173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4.5244645404007953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4.5244645404007953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367.99999999999972</v>
      </c>
      <c r="AJ196" s="13">
        <f>AI196*VLOOKUP('Données projet'!$B$10,Paramètres!$A$1:$I$89,3,0)*VLOOKUP('Données projet'!$B$10,Paramètres!$A$1:$I$89,5,0)</f>
        <v>292.78079999999977</v>
      </c>
      <c r="AK196" s="13">
        <f t="shared" si="164"/>
        <v>69.660903052386217</v>
      </c>
      <c r="AL196" s="20">
        <f t="shared" si="165"/>
        <v>631.25263281623893</v>
      </c>
      <c r="AM196" s="59">
        <f t="shared" ref="AM196:AM203" si="193">AL196+(AD196+AE196)*44/12</f>
        <v>924.58596614957219</v>
      </c>
      <c r="AN196" s="59">
        <f ca="1">AVERAGE(OFFSET($AM$3,0,0,'Données projet'!$E$10+1,1))-AVERAGE(OFFSET($H$3,0,0,'Données projet'!$E$10+1,1))</f>
        <v>405.40026823646758</v>
      </c>
      <c r="AO196" s="59">
        <f t="shared" si="144"/>
        <v>393.0787141050053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6.5752803427484405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6.5752803427484405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739.99999999999966</v>
      </c>
      <c r="BE196" s="13">
        <f>BD196*VLOOKUP('Données projet'!$B$11,Paramètres!$A$1:$I$89,3,0)*VLOOKUP('Données projet'!$B$11,Paramètres!$A$1:$I$89,5,0)</f>
        <v>413.65999999999985</v>
      </c>
      <c r="BF196" s="13">
        <f t="shared" si="167"/>
        <v>94.540585122244352</v>
      </c>
      <c r="BG196" s="20">
        <f t="shared" si="168"/>
        <v>885.11601908790863</v>
      </c>
      <c r="BH196" s="59">
        <f t="shared" ref="BH196:BH203" si="194">BG196+(AY196+AZ196)*44/12</f>
        <v>1178.4493524212419</v>
      </c>
      <c r="BI196" s="59">
        <f ca="1">AVERAGE(OFFSET($BH$3,0,0,'Données projet'!$E$11+1,1))-AVERAGE(OFFSET($H$3,0,0,'Données projet'!$E$11+1,1))</f>
        <v>555.15881087162279</v>
      </c>
      <c r="BJ196" s="59">
        <f t="shared" si="146"/>
        <v>668.20427590250733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8.86623440106308</v>
      </c>
      <c r="BQ196" s="21">
        <f>EXP(-LN(2)/25)*BQ195+(1-EXP(-LN(2)/25))/(LN(2)/25)*Calculateur!BL196*Calculateur!BN196*VLOOKUP('Données projet'!$B$11,Paramètres!$A$1:$I$89,3,0)*0.475*44/12</f>
        <v>0.62961403061854304</v>
      </c>
      <c r="BR196" s="21">
        <f>EXP(-LN(2)/2)*BR195+(1-EXP(-LN(2)/2))/(LN(2)/2)*BL196*BO196*VLOOKUP('Données projet'!$B$11,Paramètres!$A$1:$I$89,3,0)*0.475*44/12</f>
        <v>2.4872599548710129E-25</v>
      </c>
      <c r="BS196" s="22">
        <f t="shared" si="169"/>
        <v>9.4958484316816225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367.99999999999972</v>
      </c>
      <c r="BZ196" s="13">
        <f>BY196*VLOOKUP('Données projet'!$B$12,Paramètres!$A$1:$I$89,3,0)*VLOOKUP('Données projet'!$B$12,Paramètres!$A$1:$I$89,5,0)</f>
        <v>241.11359999999982</v>
      </c>
      <c r="CA196" s="13">
        <f t="shared" si="170"/>
        <v>58.6790623558988</v>
      </c>
      <c r="CB196" s="20">
        <f t="shared" si="171"/>
        <v>522.13888693652348</v>
      </c>
      <c r="CC196" s="59">
        <f t="shared" ref="CC196:CC203" si="195">CB196+(BT196+BU196)*44/12</f>
        <v>815.47222026985673</v>
      </c>
      <c r="CD196" s="59">
        <f ca="1">AVERAGE(OFFSET($CC$3,0,0,'Données projet'!$E$12+1,1))-AVERAGE(OFFSET($H$3,0,0,'Données projet'!$E$12+1,1))</f>
        <v>340.49092994349405</v>
      </c>
      <c r="CE196" s="59">
        <f t="shared" si="148"/>
        <v>331.54434271908832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4.3932505730683227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4.3932505730683227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306.99999999999994</v>
      </c>
      <c r="CU196" s="17">
        <f>CT196*VLOOKUP('Données projet'!$B$13,Paramètres!$A$1:$I$89,3,0)*VLOOKUP('Données projet'!$B$13,Paramètres!$A$1:$I$89,5,0)</f>
        <v>277.77359999999993</v>
      </c>
      <c r="CV196" s="13">
        <f t="shared" si="173"/>
        <v>66.496288176842356</v>
      </c>
      <c r="CW196" s="20">
        <f t="shared" si="174"/>
        <v>599.60338857466706</v>
      </c>
      <c r="CX196" s="59">
        <f t="shared" ref="CX196:CX203" si="196">CW196+(CO196+CP196)*44/12</f>
        <v>892.93672190800044</v>
      </c>
      <c r="CY196" s="59">
        <f ca="1">AVERAGE(OFFSET($CX$3,0,0,'Données projet'!$E$13+1,1))-AVERAGE(OFFSET($H$3,0,0,'Données projet'!$E$13+1,1))</f>
        <v>439.19854273764042</v>
      </c>
      <c r="CZ196" s="59">
        <f t="shared" si="150"/>
        <v>278.21741231699929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21.357752676963592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21.357752676963592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306.99999999999994</v>
      </c>
      <c r="DP196" s="17">
        <f>DO196*VLOOKUP('Données projet'!$B$14,Paramètres!$A$1:$I$89,3,0)*VLOOKUP('Données projet'!$B$14,Paramètres!$A$1:$I$89,5,0)</f>
        <v>258.61679999999996</v>
      </c>
      <c r="DQ196" s="13">
        <f t="shared" si="176"/>
        <v>62.427444141032439</v>
      </c>
      <c r="DR196" s="20">
        <f t="shared" si="177"/>
        <v>559.15205854563135</v>
      </c>
      <c r="DS196" s="59">
        <f t="shared" ref="DS196:DS203" si="197">DR196+(DJ196+DK196)*44/12</f>
        <v>852.48539187896472</v>
      </c>
      <c r="DT196" s="59">
        <f ca="1">AVERAGE(OFFSET($DS$3,0,0,'Données projet'!$E$14+1,1))-AVERAGE(OFFSET($H$3,0,0,'Données projet'!$E$14+1,1))</f>
        <v>411.72284844766</v>
      </c>
      <c r="DU196" s="59">
        <f t="shared" si="152"/>
        <v>261.95434270986397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19.884804216483346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19.884804216483346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636.99999999999977</v>
      </c>
      <c r="EK196" s="17">
        <f>EJ196*VLOOKUP('Données projet'!$B$15,Paramètres!$A$1:$I$89,3,0)*VLOOKUP('Données projet'!$B$15,Paramètres!$A$1:$I$89,5,0)</f>
        <v>356.08299999999991</v>
      </c>
      <c r="EL196" s="13">
        <f t="shared" si="179"/>
        <v>82.813805255716545</v>
      </c>
      <c r="EM196" s="20">
        <f t="shared" si="180"/>
        <v>764.41193582037283</v>
      </c>
      <c r="EN196" s="59">
        <f t="shared" ref="EN196:EN203" si="198">EM196+(EE196+EF196)*44/12</f>
        <v>1057.7452691537062</v>
      </c>
      <c r="EO196" s="59">
        <f ca="1">AVERAGE(OFFSET($EN$3,0,0,'Données projet'!$E$15+1,1))-AVERAGE(OFFSET($H$3,0,0,'Données projet'!$E$15+1,1))</f>
        <v>443.34220761968419</v>
      </c>
      <c r="EP196" s="59">
        <f t="shared" si="154"/>
        <v>546.58234447298014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7.0164376999484581</v>
      </c>
      <c r="EW196" s="21">
        <f>EXP(-LN(2)/25)*EW195+(1-EXP(-LN(2)/25))/(LN(2)/25)*Calculateur!ER196*Calculateur!ET196*VLOOKUP('Données projet'!$B$15,Paramètres!$A$1:$I$89,3,0)*0.475*44/12</f>
        <v>0.23903840581606883</v>
      </c>
      <c r="EX196" s="21">
        <f>EXP(-LN(2)/2)*EX195+(1-EXP(-LN(2)/2))/(LN(2)/2)*ER196*EU196*VLOOKUP('Données projet'!$B$15,Paramètres!$A$1:$I$89,3,0)*0.475*44/12</f>
        <v>1.7669386522010062E-24</v>
      </c>
      <c r="EY196" s="22">
        <f t="shared" si="181"/>
        <v>7.2554761057645267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224.00000000000006</v>
      </c>
      <c r="O197" s="13">
        <f>N197*VLOOKUP('Données projet'!$B$9,Paramètres!$A$1:$I$89,3,0)*VLOOKUP('Données projet'!$B$9,Paramètres!$A$1:$I$89,5,0)</f>
        <v>195.68640000000008</v>
      </c>
      <c r="P197" s="13">
        <f t="shared" ref="P197:P203" si="203">EXP(-1.0587+0.8836*LN(O197)+0.284)</f>
        <v>48.794969360985156</v>
      </c>
      <c r="Q197" s="20">
        <f t="shared" si="162"/>
        <v>425.8050516370493</v>
      </c>
      <c r="R197" s="59">
        <f t="shared" si="191"/>
        <v>719.13838497038262</v>
      </c>
      <c r="S197" s="59">
        <f ca="1">AVERAGE(OFFSET($R$3,0,0,'Données projet'!$E$9+1,1))-AVERAGE(OFFSET($H$3,0,0,'Données projet'!$E$9+1,1))</f>
        <v>304.32767345253382</v>
      </c>
      <c r="T197" s="59">
        <f t="shared" ref="T197:T203" si="204">$T$3</f>
        <v>427.16091343339173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4.4357425504144121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4.4357425504144121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367.99999999999972</v>
      </c>
      <c r="AJ197" s="13">
        <f>AI197*VLOOKUP('Données projet'!$B$10,Paramètres!$A$1:$I$89,3,0)*VLOOKUP('Données projet'!$B$10,Paramètres!$A$1:$I$89,5,0)</f>
        <v>292.78079999999977</v>
      </c>
      <c r="AK197" s="13">
        <f t="shared" si="164"/>
        <v>69.660903052386217</v>
      </c>
      <c r="AL197" s="20">
        <f t="shared" si="165"/>
        <v>631.25263281623893</v>
      </c>
      <c r="AM197" s="59">
        <f t="shared" si="193"/>
        <v>924.58596614957219</v>
      </c>
      <c r="AN197" s="59">
        <f ca="1">AVERAGE(OFFSET($AM$3,0,0,'Données projet'!$E$10+1,1))-AVERAGE(OFFSET($H$3,0,0,'Données projet'!$E$10+1,1))</f>
        <v>405.40026823646758</v>
      </c>
      <c r="AO197" s="59">
        <f t="shared" ref="AO197:AO203" si="205">$AO$3</f>
        <v>393.0787141050053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6.4463431057521463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6.4463431057521463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739.99999999999966</v>
      </c>
      <c r="BE197" s="13">
        <f>BD197*VLOOKUP('Données projet'!$B$11,Paramètres!$A$1:$I$89,3,0)*VLOOKUP('Données projet'!$B$11,Paramètres!$A$1:$I$89,5,0)</f>
        <v>413.65999999999985</v>
      </c>
      <c r="BF197" s="13">
        <f t="shared" si="167"/>
        <v>94.540585122244352</v>
      </c>
      <c r="BG197" s="20">
        <f t="shared" si="168"/>
        <v>885.11601908790863</v>
      </c>
      <c r="BH197" s="59">
        <f t="shared" si="194"/>
        <v>1178.4493524212419</v>
      </c>
      <c r="BI197" s="59">
        <f ca="1">AVERAGE(OFFSET($BH$3,0,0,'Données projet'!$E$11+1,1))-AVERAGE(OFFSET($H$3,0,0,'Données projet'!$E$11+1,1))</f>
        <v>555.15881087162279</v>
      </c>
      <c r="BJ197" s="59">
        <f t="shared" ref="BJ197:BJ203" si="206">$BJ$3</f>
        <v>668.20427590250733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8.6923729523272346</v>
      </c>
      <c r="BQ197" s="21">
        <f>EXP(-LN(2)/25)*BQ196+(1-EXP(-LN(2)/25))/(LN(2)/25)*Calculateur!BL197*Calculateur!BN197*VLOOKUP('Données projet'!$B$11,Paramètres!$A$1:$I$89,3,0)*0.475*44/12</f>
        <v>0.61239720184131607</v>
      </c>
      <c r="BR197" s="21">
        <f>EXP(-LN(2)/2)*BR196+(1-EXP(-LN(2)/2))/(LN(2)/2)*BL197*BO197*VLOOKUP('Données projet'!$B$11,Paramètres!$A$1:$I$89,3,0)*0.475*44/12</f>
        <v>1.7587583806630394E-25</v>
      </c>
      <c r="BS197" s="22">
        <f t="shared" si="169"/>
        <v>9.3047701541685512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367.99999999999972</v>
      </c>
      <c r="BZ197" s="13">
        <f>BY197*VLOOKUP('Données projet'!$B$12,Paramètres!$A$1:$I$89,3,0)*VLOOKUP('Données projet'!$B$12,Paramètres!$A$1:$I$89,5,0)</f>
        <v>241.11359999999982</v>
      </c>
      <c r="CA197" s="13">
        <f t="shared" si="170"/>
        <v>58.6790623558988</v>
      </c>
      <c r="CB197" s="20">
        <f t="shared" si="171"/>
        <v>522.13888693652348</v>
      </c>
      <c r="CC197" s="59">
        <f t="shared" si="195"/>
        <v>815.47222026985673</v>
      </c>
      <c r="CD197" s="59">
        <f ca="1">AVERAGE(OFFSET($CC$3,0,0,'Données projet'!$E$12+1,1))-AVERAGE(OFFSET($H$3,0,0,'Données projet'!$E$12+1,1))</f>
        <v>340.49092994349405</v>
      </c>
      <c r="CE197" s="59">
        <f t="shared" ref="CE197:CE203" si="207">$CE$3</f>
        <v>331.54434271908832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4.3071016089487122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4.3071016089487122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306.99999999999994</v>
      </c>
      <c r="CU197" s="17">
        <f>CT197*VLOOKUP('Données projet'!$B$13,Paramètres!$A$1:$I$89,3,0)*VLOOKUP('Données projet'!$B$13,Paramètres!$A$1:$I$89,5,0)</f>
        <v>277.77359999999993</v>
      </c>
      <c r="CV197" s="13">
        <f t="shared" si="173"/>
        <v>66.496288176842356</v>
      </c>
      <c r="CW197" s="20">
        <f t="shared" si="174"/>
        <v>599.60338857466706</v>
      </c>
      <c r="CX197" s="59">
        <f t="shared" si="196"/>
        <v>892.93672190800044</v>
      </c>
      <c r="CY197" s="59">
        <f ca="1">AVERAGE(OFFSET($CX$3,0,0,'Données projet'!$E$13+1,1))-AVERAGE(OFFSET($H$3,0,0,'Données projet'!$E$13+1,1))</f>
        <v>439.19854273764042</v>
      </c>
      <c r="CZ197" s="59">
        <f t="shared" ref="CZ197:CZ203" si="208">$CZ$3</f>
        <v>278.21741231699929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20.938940173911167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20.938940173911167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306.99999999999994</v>
      </c>
      <c r="DP197" s="17">
        <f>DO197*VLOOKUP('Données projet'!$B$14,Paramètres!$A$1:$I$89,3,0)*VLOOKUP('Données projet'!$B$14,Paramètres!$A$1:$I$89,5,0)</f>
        <v>258.61679999999996</v>
      </c>
      <c r="DQ197" s="13">
        <f t="shared" si="176"/>
        <v>62.427444141032439</v>
      </c>
      <c r="DR197" s="20">
        <f t="shared" si="177"/>
        <v>559.15205854563135</v>
      </c>
      <c r="DS197" s="59">
        <f t="shared" si="197"/>
        <v>852.48539187896472</v>
      </c>
      <c r="DT197" s="59">
        <f ca="1">AVERAGE(OFFSET($DS$3,0,0,'Données projet'!$E$14+1,1))-AVERAGE(OFFSET($H$3,0,0,'Données projet'!$E$14+1,1))</f>
        <v>411.72284844766</v>
      </c>
      <c r="DU197" s="59">
        <f t="shared" ref="DU197:DU203" si="209">$DU$3</f>
        <v>261.95434270986397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19.494875334331088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19.494875334331088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636.99999999999977</v>
      </c>
      <c r="EK197" s="17">
        <f>EJ197*VLOOKUP('Données projet'!$B$15,Paramètres!$A$1:$I$89,3,0)*VLOOKUP('Données projet'!$B$15,Paramètres!$A$1:$I$89,5,0)</f>
        <v>356.08299999999991</v>
      </c>
      <c r="EL197" s="13">
        <f t="shared" si="179"/>
        <v>82.813805255716545</v>
      </c>
      <c r="EM197" s="20">
        <f t="shared" si="180"/>
        <v>764.41193582037283</v>
      </c>
      <c r="EN197" s="59">
        <f t="shared" si="198"/>
        <v>1057.7452691537062</v>
      </c>
      <c r="EO197" s="59">
        <f ca="1">AVERAGE(OFFSET($EN$3,0,0,'Données projet'!$E$15+1,1))-AVERAGE(OFFSET($H$3,0,0,'Données projet'!$E$15+1,1))</f>
        <v>443.34220761968419</v>
      </c>
      <c r="EP197" s="59">
        <f t="shared" ref="EP197:EP203" si="210">$EP$3</f>
        <v>546.58234447298014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6.8788496362568896</v>
      </c>
      <c r="EW197" s="21">
        <f>EXP(-LN(2)/25)*EW196+(1-EXP(-LN(2)/25))/(LN(2)/25)*Calculateur!ER197*Calculateur!ET197*VLOOKUP('Données projet'!$B$15,Paramètres!$A$1:$I$89,3,0)*0.475*44/12</f>
        <v>0.23250188803854499</v>
      </c>
      <c r="EX197" s="21">
        <f>EXP(-LN(2)/2)*EX196+(1-EXP(-LN(2)/2))/(LN(2)/2)*ER197*EU197*VLOOKUP('Données projet'!$B$15,Paramètres!$A$1:$I$89,3,0)*0.475*44/12</f>
        <v>1.2494143029119501E-24</v>
      </c>
      <c r="EY197" s="22">
        <f t="shared" si="181"/>
        <v>7.1113515242954346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224.00000000000006</v>
      </c>
      <c r="O198" s="13">
        <f>N198*VLOOKUP('Données projet'!$B$9,Paramètres!$A$1:$I$89,3,0)*VLOOKUP('Données projet'!$B$9,Paramètres!$A$1:$I$89,5,0)</f>
        <v>195.68640000000008</v>
      </c>
      <c r="P198" s="13">
        <f t="shared" si="203"/>
        <v>48.794969360985156</v>
      </c>
      <c r="Q198" s="20">
        <f t="shared" si="162"/>
        <v>425.8050516370493</v>
      </c>
      <c r="R198" s="59">
        <f t="shared" si="191"/>
        <v>719.13838497038262</v>
      </c>
      <c r="S198" s="59">
        <f ca="1">AVERAGE(OFFSET($R$3,0,0,'Données projet'!$E$9+1,1))-AVERAGE(OFFSET($H$3,0,0,'Données projet'!$E$9+1,1))</f>
        <v>304.32767345253382</v>
      </c>
      <c r="T198" s="59">
        <f t="shared" si="204"/>
        <v>427.16091343339173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4.3487603445365917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4.3487603445365917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367.99999999999972</v>
      </c>
      <c r="AJ198" s="13">
        <f>AI198*VLOOKUP('Données projet'!$B$10,Paramètres!$A$1:$I$89,3,0)*VLOOKUP('Données projet'!$B$10,Paramètres!$A$1:$I$89,5,0)</f>
        <v>292.78079999999977</v>
      </c>
      <c r="AK198" s="13">
        <f t="shared" si="164"/>
        <v>69.660903052386217</v>
      </c>
      <c r="AL198" s="20">
        <f t="shared" si="165"/>
        <v>631.25263281623893</v>
      </c>
      <c r="AM198" s="59">
        <f t="shared" si="193"/>
        <v>924.58596614957219</v>
      </c>
      <c r="AN198" s="59">
        <f ca="1">AVERAGE(OFFSET($AM$3,0,0,'Données projet'!$E$10+1,1))-AVERAGE(OFFSET($H$3,0,0,'Données projet'!$E$10+1,1))</f>
        <v>405.40026823646758</v>
      </c>
      <c r="AO198" s="59">
        <f t="shared" si="205"/>
        <v>393.0787141050053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6.3199342493294006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6.3199342493294006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739.99999999999966</v>
      </c>
      <c r="BE198" s="13">
        <f>BD198*VLOOKUP('Données projet'!$B$11,Paramètres!$A$1:$I$89,3,0)*VLOOKUP('Données projet'!$B$11,Paramètres!$A$1:$I$89,5,0)</f>
        <v>413.65999999999985</v>
      </c>
      <c r="BF198" s="13">
        <f t="shared" si="167"/>
        <v>94.540585122244352</v>
      </c>
      <c r="BG198" s="20">
        <f t="shared" si="168"/>
        <v>885.11601908790863</v>
      </c>
      <c r="BH198" s="59">
        <f t="shared" si="194"/>
        <v>1178.4493524212419</v>
      </c>
      <c r="BI198" s="59">
        <f ca="1">AVERAGE(OFFSET($BH$3,0,0,'Données projet'!$E$11+1,1))-AVERAGE(OFFSET($H$3,0,0,'Données projet'!$E$11+1,1))</f>
        <v>555.15881087162279</v>
      </c>
      <c r="BJ198" s="59">
        <f t="shared" si="206"/>
        <v>668.20427590250733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8.5219208205560868</v>
      </c>
      <c r="BQ198" s="21">
        <f>EXP(-LN(2)/25)*BQ197+(1-EXP(-LN(2)/25))/(LN(2)/25)*Calculateur!BL198*Calculateur!BN198*VLOOKUP('Données projet'!$B$11,Paramètres!$A$1:$I$89,3,0)*0.475*44/12</f>
        <v>0.59565116815239605</v>
      </c>
      <c r="BR198" s="21">
        <f>EXP(-LN(2)/2)*BR197+(1-EXP(-LN(2)/2))/(LN(2)/2)*BL198*BO198*VLOOKUP('Données projet'!$B$11,Paramètres!$A$1:$I$89,3,0)*0.475*44/12</f>
        <v>1.2436299774355064E-25</v>
      </c>
      <c r="BS198" s="22">
        <f t="shared" si="169"/>
        <v>9.1175719887084821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367.99999999999972</v>
      </c>
      <c r="BZ198" s="13">
        <f>BY198*VLOOKUP('Données projet'!$B$12,Paramètres!$A$1:$I$89,3,0)*VLOOKUP('Données projet'!$B$12,Paramètres!$A$1:$I$89,5,0)</f>
        <v>241.11359999999982</v>
      </c>
      <c r="CA198" s="13">
        <f t="shared" si="170"/>
        <v>58.6790623558988</v>
      </c>
      <c r="CB198" s="20">
        <f t="shared" si="171"/>
        <v>522.13888693652348</v>
      </c>
      <c r="CC198" s="59">
        <f t="shared" si="195"/>
        <v>815.47222026985673</v>
      </c>
      <c r="CD198" s="59">
        <f ca="1">AVERAGE(OFFSET($CC$3,0,0,'Données projet'!$E$12+1,1))-AVERAGE(OFFSET($H$3,0,0,'Données projet'!$E$12+1,1))</f>
        <v>340.49092994349405</v>
      </c>
      <c r="CE198" s="59">
        <f t="shared" si="207"/>
        <v>331.54434271908832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4.2226419734698073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4.2226419734698073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306.99999999999994</v>
      </c>
      <c r="CU198" s="17">
        <f>CT198*VLOOKUP('Données projet'!$B$13,Paramètres!$A$1:$I$89,3,0)*VLOOKUP('Données projet'!$B$13,Paramètres!$A$1:$I$89,5,0)</f>
        <v>277.77359999999993</v>
      </c>
      <c r="CV198" s="13">
        <f t="shared" si="173"/>
        <v>66.496288176842356</v>
      </c>
      <c r="CW198" s="20">
        <f t="shared" si="174"/>
        <v>599.60338857466706</v>
      </c>
      <c r="CX198" s="59">
        <f t="shared" si="196"/>
        <v>892.93672190800044</v>
      </c>
      <c r="CY198" s="59">
        <f ca="1">AVERAGE(OFFSET($CX$3,0,0,'Données projet'!$E$13+1,1))-AVERAGE(OFFSET($H$3,0,0,'Données projet'!$E$13+1,1))</f>
        <v>439.19854273764042</v>
      </c>
      <c r="CZ198" s="59">
        <f t="shared" si="208"/>
        <v>278.21741231699929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20.528340328593195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20.528340328593195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306.99999999999994</v>
      </c>
      <c r="DP198" s="17">
        <f>DO198*VLOOKUP('Données projet'!$B$14,Paramètres!$A$1:$I$89,3,0)*VLOOKUP('Données projet'!$B$14,Paramètres!$A$1:$I$89,5,0)</f>
        <v>258.61679999999996</v>
      </c>
      <c r="DQ198" s="13">
        <f t="shared" si="176"/>
        <v>62.427444141032439</v>
      </c>
      <c r="DR198" s="20">
        <f t="shared" si="177"/>
        <v>559.15205854563135</v>
      </c>
      <c r="DS198" s="59">
        <f t="shared" si="197"/>
        <v>852.48539187896472</v>
      </c>
      <c r="DT198" s="59">
        <f ca="1">AVERAGE(OFFSET($DS$3,0,0,'Données projet'!$E$14+1,1))-AVERAGE(OFFSET($H$3,0,0,'Données projet'!$E$14+1,1))</f>
        <v>411.72284844766</v>
      </c>
      <c r="DU198" s="59">
        <f t="shared" si="209"/>
        <v>261.95434270986397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19.112592719724699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19.112592719724699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636.99999999999977</v>
      </c>
      <c r="EK198" s="17">
        <f>EJ198*VLOOKUP('Données projet'!$B$15,Paramètres!$A$1:$I$89,3,0)*VLOOKUP('Données projet'!$B$15,Paramètres!$A$1:$I$89,5,0)</f>
        <v>356.08299999999991</v>
      </c>
      <c r="EL198" s="13">
        <f t="shared" si="179"/>
        <v>82.813805255716545</v>
      </c>
      <c r="EM198" s="20">
        <f t="shared" si="180"/>
        <v>764.41193582037283</v>
      </c>
      <c r="EN198" s="59">
        <f t="shared" si="198"/>
        <v>1057.7452691537062</v>
      </c>
      <c r="EO198" s="59">
        <f ca="1">AVERAGE(OFFSET($EN$3,0,0,'Données projet'!$E$15+1,1))-AVERAGE(OFFSET($H$3,0,0,'Données projet'!$E$15+1,1))</f>
        <v>443.34220761968419</v>
      </c>
      <c r="EP198" s="59">
        <f t="shared" si="210"/>
        <v>546.58234447298014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6.7439595905738807</v>
      </c>
      <c r="EW198" s="21">
        <f>EXP(-LN(2)/25)*EW197+(1-EXP(-LN(2)/25))/(LN(2)/25)*Calculateur!ER198*Calculateur!ET198*VLOOKUP('Données projet'!$B$15,Paramètres!$A$1:$I$89,3,0)*0.475*44/12</f>
        <v>0.22614411168338808</v>
      </c>
      <c r="EX198" s="21">
        <f>EXP(-LN(2)/2)*EX197+(1-EXP(-LN(2)/2))/(LN(2)/2)*ER198*EU198*VLOOKUP('Données projet'!$B$15,Paramètres!$A$1:$I$89,3,0)*0.475*44/12</f>
        <v>8.8346932610050308E-25</v>
      </c>
      <c r="EY198" s="22">
        <f t="shared" si="181"/>
        <v>6.9701037022572692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224.00000000000006</v>
      </c>
      <c r="O199" s="13">
        <f>N199*VLOOKUP('Données projet'!$B$9,Paramètres!$A$1:$I$89,3,0)*VLOOKUP('Données projet'!$B$9,Paramètres!$A$1:$I$89,5,0)</f>
        <v>195.68640000000008</v>
      </c>
      <c r="P199" s="13">
        <f t="shared" si="203"/>
        <v>48.794969360985156</v>
      </c>
      <c r="Q199" s="20">
        <f t="shared" si="162"/>
        <v>425.8050516370493</v>
      </c>
      <c r="R199" s="59">
        <f t="shared" si="191"/>
        <v>719.13838497038262</v>
      </c>
      <c r="S199" s="59">
        <f ca="1">AVERAGE(OFFSET($R$3,0,0,'Données projet'!$E$9+1,1))-AVERAGE(OFFSET($H$3,0,0,'Données projet'!$E$9+1,1))</f>
        <v>304.32767345253382</v>
      </c>
      <c r="T199" s="59">
        <f t="shared" si="204"/>
        <v>427.16091343339173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4.2634838066621281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4.2634838066621281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367.99999999999972</v>
      </c>
      <c r="AJ199" s="13">
        <f>AI199*VLOOKUP('Données projet'!$B$10,Paramètres!$A$1:$I$89,3,0)*VLOOKUP('Données projet'!$B$10,Paramètres!$A$1:$I$89,5,0)</f>
        <v>292.78079999999977</v>
      </c>
      <c r="AK199" s="13">
        <f t="shared" si="164"/>
        <v>69.660903052386217</v>
      </c>
      <c r="AL199" s="20">
        <f t="shared" si="165"/>
        <v>631.25263281623893</v>
      </c>
      <c r="AM199" s="59">
        <f t="shared" si="193"/>
        <v>924.58596614957219</v>
      </c>
      <c r="AN199" s="59">
        <f ca="1">AVERAGE(OFFSET($AM$3,0,0,'Données projet'!$E$10+1,1))-AVERAGE(OFFSET($H$3,0,0,'Données projet'!$E$10+1,1))</f>
        <v>405.40026823646758</v>
      </c>
      <c r="AO199" s="59">
        <f t="shared" si="205"/>
        <v>393.0787141050053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6.1960041934793155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6.1960041934793155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739.99999999999966</v>
      </c>
      <c r="BE199" s="13">
        <f>BD199*VLOOKUP('Données projet'!$B$11,Paramètres!$A$1:$I$89,3,0)*VLOOKUP('Données projet'!$B$11,Paramètres!$A$1:$I$89,5,0)</f>
        <v>413.65999999999985</v>
      </c>
      <c r="BF199" s="13">
        <f t="shared" si="167"/>
        <v>94.540585122244352</v>
      </c>
      <c r="BG199" s="20">
        <f t="shared" si="168"/>
        <v>885.11601908790863</v>
      </c>
      <c r="BH199" s="59">
        <f t="shared" si="194"/>
        <v>1178.4493524212419</v>
      </c>
      <c r="BI199" s="59">
        <f ca="1">AVERAGE(OFFSET($BH$3,0,0,'Données projet'!$E$11+1,1))-AVERAGE(OFFSET($H$3,0,0,'Données projet'!$E$11+1,1))</f>
        <v>555.15881087162279</v>
      </c>
      <c r="BJ199" s="59">
        <f t="shared" si="206"/>
        <v>668.20427590250733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8.3548111511234371</v>
      </c>
      <c r="BQ199" s="21">
        <f>EXP(-LN(2)/25)*BQ198+(1-EXP(-LN(2)/25))/(LN(2)/25)*Calculateur!BL199*Calculateur!BN199*VLOOKUP('Données projet'!$B$11,Paramètres!$A$1:$I$89,3,0)*0.475*44/12</f>
        <v>0.57936305563533519</v>
      </c>
      <c r="BR199" s="21">
        <f>EXP(-LN(2)/2)*BR198+(1-EXP(-LN(2)/2))/(LN(2)/2)*BL199*BO199*VLOOKUP('Données projet'!$B$11,Paramètres!$A$1:$I$89,3,0)*0.475*44/12</f>
        <v>8.793791903315197E-26</v>
      </c>
      <c r="BS199" s="22">
        <f t="shared" si="169"/>
        <v>8.9341742067587724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367.99999999999972</v>
      </c>
      <c r="BZ199" s="13">
        <f>BY199*VLOOKUP('Données projet'!$B$12,Paramètres!$A$1:$I$89,3,0)*VLOOKUP('Données projet'!$B$12,Paramètres!$A$1:$I$89,5,0)</f>
        <v>241.11359999999982</v>
      </c>
      <c r="CA199" s="13">
        <f t="shared" si="170"/>
        <v>58.6790623558988</v>
      </c>
      <c r="CB199" s="20">
        <f t="shared" si="171"/>
        <v>522.13888693652348</v>
      </c>
      <c r="CC199" s="59">
        <f t="shared" si="195"/>
        <v>815.47222026985673</v>
      </c>
      <c r="CD199" s="59">
        <f ca="1">AVERAGE(OFFSET($CC$3,0,0,'Données projet'!$E$12+1,1))-AVERAGE(OFFSET($H$3,0,0,'Données projet'!$E$12+1,1))</f>
        <v>340.49092994349405</v>
      </c>
      <c r="CE199" s="59">
        <f t="shared" si="207"/>
        <v>331.54434271908832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4.1398385399273527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4.1398385399273527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306.99999999999994</v>
      </c>
      <c r="CU199" s="17">
        <f>CT199*VLOOKUP('Données projet'!$B$13,Paramètres!$A$1:$I$89,3,0)*VLOOKUP('Données projet'!$B$13,Paramètres!$A$1:$I$89,5,0)</f>
        <v>277.77359999999993</v>
      </c>
      <c r="CV199" s="13">
        <f t="shared" si="173"/>
        <v>66.496288176842356</v>
      </c>
      <c r="CW199" s="20">
        <f t="shared" si="174"/>
        <v>599.60338857466706</v>
      </c>
      <c r="CX199" s="59">
        <f t="shared" si="196"/>
        <v>892.93672190800044</v>
      </c>
      <c r="CY199" s="59">
        <f ca="1">AVERAGE(OFFSET($CX$3,0,0,'Données projet'!$E$13+1,1))-AVERAGE(OFFSET($H$3,0,0,'Données projet'!$E$13+1,1))</f>
        <v>439.19854273764042</v>
      </c>
      <c r="CZ199" s="59">
        <f t="shared" si="208"/>
        <v>278.21741231699929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20.125792095800733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20.125792095800733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306.99999999999994</v>
      </c>
      <c r="DP199" s="17">
        <f>DO199*VLOOKUP('Données projet'!$B$14,Paramètres!$A$1:$I$89,3,0)*VLOOKUP('Données projet'!$B$14,Paramètres!$A$1:$I$89,5,0)</f>
        <v>258.61679999999996</v>
      </c>
      <c r="DQ199" s="13">
        <f t="shared" si="176"/>
        <v>62.427444141032439</v>
      </c>
      <c r="DR199" s="20">
        <f t="shared" si="177"/>
        <v>559.15205854563135</v>
      </c>
      <c r="DS199" s="59">
        <f t="shared" si="197"/>
        <v>852.48539187896472</v>
      </c>
      <c r="DT199" s="59">
        <f ca="1">AVERAGE(OFFSET($DS$3,0,0,'Données projet'!$E$14+1,1))-AVERAGE(OFFSET($H$3,0,0,'Données projet'!$E$14+1,1))</f>
        <v>411.72284844766</v>
      </c>
      <c r="DU199" s="59">
        <f t="shared" si="209"/>
        <v>261.95434270986397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18.737806434021373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18.737806434021373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636.99999999999977</v>
      </c>
      <c r="EK199" s="17">
        <f>EJ199*VLOOKUP('Données projet'!$B$15,Paramètres!$A$1:$I$89,3,0)*VLOOKUP('Données projet'!$B$15,Paramètres!$A$1:$I$89,5,0)</f>
        <v>356.08299999999991</v>
      </c>
      <c r="EL199" s="13">
        <f t="shared" si="179"/>
        <v>82.813805255716545</v>
      </c>
      <c r="EM199" s="20">
        <f t="shared" si="180"/>
        <v>764.41193582037283</v>
      </c>
      <c r="EN199" s="59">
        <f t="shared" si="198"/>
        <v>1057.7452691537062</v>
      </c>
      <c r="EO199" s="59">
        <f ca="1">AVERAGE(OFFSET($EN$3,0,0,'Données projet'!$E$15+1,1))-AVERAGE(OFFSET($H$3,0,0,'Données projet'!$E$15+1,1))</f>
        <v>443.34220761968419</v>
      </c>
      <c r="EP199" s="59">
        <f t="shared" si="210"/>
        <v>546.58234447298014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6.6117146564119116</v>
      </c>
      <c r="EW199" s="21">
        <f>EXP(-LN(2)/25)*EW198+(1-EXP(-LN(2)/25))/(LN(2)/25)*Calculateur!ER199*Calculateur!ET199*VLOOKUP('Données projet'!$B$15,Paramètres!$A$1:$I$89,3,0)*0.475*44/12</f>
        <v>0.21996018905700385</v>
      </c>
      <c r="EX199" s="21">
        <f>EXP(-LN(2)/2)*EX198+(1-EXP(-LN(2)/2))/(LN(2)/2)*ER199*EU199*VLOOKUP('Données projet'!$B$15,Paramètres!$A$1:$I$89,3,0)*0.475*44/12</f>
        <v>6.2470715145597504E-25</v>
      </c>
      <c r="EY199" s="22">
        <f t="shared" si="181"/>
        <v>6.8316748454689158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224.00000000000006</v>
      </c>
      <c r="O200" s="13">
        <f>N200*VLOOKUP('Données projet'!$B$9,Paramètres!$A$1:$I$89,3,0)*VLOOKUP('Données projet'!$B$9,Paramètres!$A$1:$I$89,5,0)</f>
        <v>195.68640000000008</v>
      </c>
      <c r="P200" s="13">
        <f t="shared" si="203"/>
        <v>48.794969360985156</v>
      </c>
      <c r="Q200" s="20">
        <f t="shared" si="162"/>
        <v>425.8050516370493</v>
      </c>
      <c r="R200" s="59">
        <f t="shared" si="191"/>
        <v>719.13838497038262</v>
      </c>
      <c r="S200" s="59">
        <f ca="1">AVERAGE(OFFSET($R$3,0,0,'Données projet'!$E$9+1,1))-AVERAGE(OFFSET($H$3,0,0,'Données projet'!$E$9+1,1))</f>
        <v>304.32767345253382</v>
      </c>
      <c r="T200" s="59">
        <f t="shared" si="204"/>
        <v>427.16091343339173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4.1798794896818308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4.1798794896818308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367.99999999999972</v>
      </c>
      <c r="AJ200" s="13">
        <f>AI200*VLOOKUP('Données projet'!$B$10,Paramètres!$A$1:$I$89,3,0)*VLOOKUP('Données projet'!$B$10,Paramètres!$A$1:$I$89,5,0)</f>
        <v>292.78079999999977</v>
      </c>
      <c r="AK200" s="13">
        <f t="shared" si="164"/>
        <v>69.660903052386217</v>
      </c>
      <c r="AL200" s="20">
        <f t="shared" si="165"/>
        <v>631.25263281623893</v>
      </c>
      <c r="AM200" s="59">
        <f t="shared" si="193"/>
        <v>924.58596614957219</v>
      </c>
      <c r="AN200" s="59">
        <f ca="1">AVERAGE(OFFSET($AM$3,0,0,'Données projet'!$E$10+1,1))-AVERAGE(OFFSET($H$3,0,0,'Données projet'!$E$10+1,1))</f>
        <v>405.40026823646758</v>
      </c>
      <c r="AO200" s="59">
        <f t="shared" si="205"/>
        <v>393.0787141050053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6.0745043304345803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6.0745043304345803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739.99999999999966</v>
      </c>
      <c r="BE200" s="13">
        <f>BD200*VLOOKUP('Données projet'!$B$11,Paramètres!$A$1:$I$89,3,0)*VLOOKUP('Données projet'!$B$11,Paramètres!$A$1:$I$89,5,0)</f>
        <v>413.65999999999985</v>
      </c>
      <c r="BF200" s="13">
        <f t="shared" si="167"/>
        <v>94.540585122244352</v>
      </c>
      <c r="BG200" s="20">
        <f t="shared" si="168"/>
        <v>885.11601908790863</v>
      </c>
      <c r="BH200" s="59">
        <f t="shared" si="194"/>
        <v>1178.4493524212419</v>
      </c>
      <c r="BI200" s="59">
        <f ca="1">AVERAGE(OFFSET($BH$3,0,0,'Données projet'!$E$11+1,1))-AVERAGE(OFFSET($H$3,0,0,'Données projet'!$E$11+1,1))</f>
        <v>555.15881087162279</v>
      </c>
      <c r="BJ200" s="59">
        <f t="shared" si="206"/>
        <v>668.20427590250733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8.1909784003815265</v>
      </c>
      <c r="BQ200" s="21">
        <f>EXP(-LN(2)/25)*BQ199+(1-EXP(-LN(2)/25))/(LN(2)/25)*Calculateur!BL200*Calculateur!BN200*VLOOKUP('Données projet'!$B$11,Paramètres!$A$1:$I$89,3,0)*0.475*44/12</f>
        <v>0.56352034241160798</v>
      </c>
      <c r="BR200" s="21">
        <f>EXP(-LN(2)/2)*BR199+(1-EXP(-LN(2)/2))/(LN(2)/2)*BL200*BO200*VLOOKUP('Données projet'!$B$11,Paramètres!$A$1:$I$89,3,0)*0.475*44/12</f>
        <v>6.2181498871775322E-26</v>
      </c>
      <c r="BS200" s="22">
        <f t="shared" si="169"/>
        <v>8.7544987427931353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367.99999999999972</v>
      </c>
      <c r="BZ200" s="13">
        <f>BY200*VLOOKUP('Données projet'!$B$12,Paramètres!$A$1:$I$89,3,0)*VLOOKUP('Données projet'!$B$12,Paramètres!$A$1:$I$89,5,0)</f>
        <v>241.11359999999982</v>
      </c>
      <c r="CA200" s="13">
        <f t="shared" si="170"/>
        <v>58.6790623558988</v>
      </c>
      <c r="CB200" s="20">
        <f t="shared" si="171"/>
        <v>522.13888693652348</v>
      </c>
      <c r="CC200" s="59">
        <f t="shared" si="195"/>
        <v>815.47222026985673</v>
      </c>
      <c r="CD200" s="59">
        <f ca="1">AVERAGE(OFFSET($CC$3,0,0,'Données projet'!$E$12+1,1))-AVERAGE(OFFSET($H$3,0,0,'Données projet'!$E$12+1,1))</f>
        <v>340.49092994349405</v>
      </c>
      <c r="CE200" s="59">
        <f t="shared" si="207"/>
        <v>331.54434271908832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4.0586588312115586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4.0586588312115586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306.99999999999994</v>
      </c>
      <c r="CU200" s="17">
        <f>CT200*VLOOKUP('Données projet'!$B$13,Paramètres!$A$1:$I$89,3,0)*VLOOKUP('Données projet'!$B$13,Paramètres!$A$1:$I$89,5,0)</f>
        <v>277.77359999999993</v>
      </c>
      <c r="CV200" s="13">
        <f t="shared" si="173"/>
        <v>66.496288176842356</v>
      </c>
      <c r="CW200" s="20">
        <f t="shared" si="174"/>
        <v>599.60338857466706</v>
      </c>
      <c r="CX200" s="59">
        <f t="shared" si="196"/>
        <v>892.93672190800044</v>
      </c>
      <c r="CY200" s="59">
        <f ca="1">AVERAGE(OFFSET($CX$3,0,0,'Données projet'!$E$13+1,1))-AVERAGE(OFFSET($H$3,0,0,'Données projet'!$E$13+1,1))</f>
        <v>439.19854273764042</v>
      </c>
      <c r="CZ200" s="59">
        <f t="shared" si="208"/>
        <v>278.21741231699929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19.731137588323151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19.731137588323151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306.99999999999994</v>
      </c>
      <c r="DP200" s="17">
        <f>DO200*VLOOKUP('Données projet'!$B$14,Paramètres!$A$1:$I$89,3,0)*VLOOKUP('Données projet'!$B$14,Paramètres!$A$1:$I$89,5,0)</f>
        <v>258.61679999999996</v>
      </c>
      <c r="DQ200" s="13">
        <f t="shared" si="176"/>
        <v>62.427444141032439</v>
      </c>
      <c r="DR200" s="20">
        <f t="shared" si="177"/>
        <v>559.15205854563135</v>
      </c>
      <c r="DS200" s="59">
        <f t="shared" si="197"/>
        <v>852.48539187896472</v>
      </c>
      <c r="DT200" s="59">
        <f ca="1">AVERAGE(OFFSET($DS$3,0,0,'Données projet'!$E$14+1,1))-AVERAGE(OFFSET($H$3,0,0,'Données projet'!$E$14+1,1))</f>
        <v>411.72284844766</v>
      </c>
      <c r="DU200" s="59">
        <f t="shared" si="209"/>
        <v>261.95434270986397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18.370369478783626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18.370369478783626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636.99999999999977</v>
      </c>
      <c r="EK200" s="17">
        <f>EJ200*VLOOKUP('Données projet'!$B$15,Paramètres!$A$1:$I$89,3,0)*VLOOKUP('Données projet'!$B$15,Paramètres!$A$1:$I$89,5,0)</f>
        <v>356.08299999999991</v>
      </c>
      <c r="EL200" s="13">
        <f t="shared" si="179"/>
        <v>82.813805255716545</v>
      </c>
      <c r="EM200" s="20">
        <f t="shared" si="180"/>
        <v>764.41193582037283</v>
      </c>
      <c r="EN200" s="59">
        <f t="shared" si="198"/>
        <v>1057.7452691537062</v>
      </c>
      <c r="EO200" s="59">
        <f ca="1">AVERAGE(OFFSET($EN$3,0,0,'Données projet'!$E$15+1,1))-AVERAGE(OFFSET($H$3,0,0,'Données projet'!$E$15+1,1))</f>
        <v>443.34220761968419</v>
      </c>
      <c r="EP200" s="59">
        <f t="shared" si="210"/>
        <v>546.58234447298014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6.4820629647474135</v>
      </c>
      <c r="EW200" s="21">
        <f>EXP(-LN(2)/25)*EW199+(1-EXP(-LN(2)/25))/(LN(2)/25)*Calculateur!ER200*Calculateur!ET200*VLOOKUP('Données projet'!$B$15,Paramètres!$A$1:$I$89,3,0)*0.475*44/12</f>
        <v>0.21394536612003645</v>
      </c>
      <c r="EX200" s="21">
        <f>EXP(-LN(2)/2)*EX199+(1-EXP(-LN(2)/2))/(LN(2)/2)*ER200*EU200*VLOOKUP('Données projet'!$B$15,Paramètres!$A$1:$I$89,3,0)*0.475*44/12</f>
        <v>4.4173466305025154E-25</v>
      </c>
      <c r="EY200" s="22">
        <f t="shared" si="181"/>
        <v>6.6960083308674498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224.00000000000006</v>
      </c>
      <c r="O201" s="13">
        <f>N201*VLOOKUP('Données projet'!$B$9,Paramètres!$A$1:$I$89,3,0)*VLOOKUP('Données projet'!$B$9,Paramètres!$A$1:$I$89,5,0)</f>
        <v>195.68640000000008</v>
      </c>
      <c r="P201" s="13">
        <f t="shared" si="203"/>
        <v>48.794969360985156</v>
      </c>
      <c r="Q201" s="20">
        <f t="shared" si="162"/>
        <v>425.8050516370493</v>
      </c>
      <c r="R201" s="59">
        <f t="shared" si="191"/>
        <v>719.13838497038262</v>
      </c>
      <c r="S201" s="59">
        <f ca="1">AVERAGE(OFFSET($R$3,0,0,'Données projet'!$E$9+1,1))-AVERAGE(OFFSET($H$3,0,0,'Données projet'!$E$9+1,1))</f>
        <v>304.32767345253382</v>
      </c>
      <c r="T201" s="59">
        <f t="shared" si="204"/>
        <v>427.16091343339173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4.097914602363919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4.097914602363919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367.99999999999972</v>
      </c>
      <c r="AJ201" s="13">
        <f>AI201*VLOOKUP('Données projet'!$B$10,Paramètres!$A$1:$I$89,3,0)*VLOOKUP('Données projet'!$B$10,Paramètres!$A$1:$I$89,5,0)</f>
        <v>292.78079999999977</v>
      </c>
      <c r="AK201" s="13">
        <f t="shared" si="164"/>
        <v>69.660903052386217</v>
      </c>
      <c r="AL201" s="20">
        <f t="shared" si="165"/>
        <v>631.25263281623893</v>
      </c>
      <c r="AM201" s="59">
        <f t="shared" si="193"/>
        <v>924.58596614957219</v>
      </c>
      <c r="AN201" s="59">
        <f ca="1">AVERAGE(OFFSET($AM$3,0,0,'Données projet'!$E$10+1,1))-AVERAGE(OFFSET($H$3,0,0,'Données projet'!$E$10+1,1))</f>
        <v>405.40026823646758</v>
      </c>
      <c r="AO201" s="59">
        <f t="shared" si="205"/>
        <v>393.0787141050053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5.9553870055965534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5.9553870055965534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739.99999999999966</v>
      </c>
      <c r="BE201" s="13">
        <f>BD201*VLOOKUP('Données projet'!$B$11,Paramètres!$A$1:$I$89,3,0)*VLOOKUP('Données projet'!$B$11,Paramètres!$A$1:$I$89,5,0)</f>
        <v>413.65999999999985</v>
      </c>
      <c r="BF201" s="13">
        <f t="shared" si="167"/>
        <v>94.540585122244352</v>
      </c>
      <c r="BG201" s="20">
        <f t="shared" si="168"/>
        <v>885.11601908790863</v>
      </c>
      <c r="BH201" s="59">
        <f t="shared" si="194"/>
        <v>1178.4493524212419</v>
      </c>
      <c r="BI201" s="59">
        <f ca="1">AVERAGE(OFFSET($BH$3,0,0,'Données projet'!$E$11+1,1))-AVERAGE(OFFSET($H$3,0,0,'Données projet'!$E$11+1,1))</f>
        <v>555.15881087162279</v>
      </c>
      <c r="BJ201" s="59">
        <f t="shared" si="206"/>
        <v>668.20427590250733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8.030358309953554</v>
      </c>
      <c r="BQ201" s="21">
        <f>EXP(-LN(2)/25)*BQ200+(1-EXP(-LN(2)/25))/(LN(2)/25)*Calculateur!BL201*Calculateur!BN201*VLOOKUP('Données projet'!$B$11,Paramètres!$A$1:$I$89,3,0)*0.475*44/12</f>
        <v>0.54811084901411566</v>
      </c>
      <c r="BR201" s="21">
        <f>EXP(-LN(2)/2)*BR200+(1-EXP(-LN(2)/2))/(LN(2)/2)*BL201*BO201*VLOOKUP('Données projet'!$B$11,Paramètres!$A$1:$I$89,3,0)*0.475*44/12</f>
        <v>4.3968959516575985E-26</v>
      </c>
      <c r="BS201" s="22">
        <f t="shared" si="169"/>
        <v>8.5784691589676694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367.99999999999972</v>
      </c>
      <c r="BZ201" s="13">
        <f>BY201*VLOOKUP('Données projet'!$B$12,Paramètres!$A$1:$I$89,3,0)*VLOOKUP('Données projet'!$B$12,Paramètres!$A$1:$I$89,5,0)</f>
        <v>241.11359999999982</v>
      </c>
      <c r="CA201" s="13">
        <f t="shared" si="170"/>
        <v>58.6790623558988</v>
      </c>
      <c r="CB201" s="20">
        <f t="shared" si="171"/>
        <v>522.13888693652348</v>
      </c>
      <c r="CC201" s="59">
        <f t="shared" si="195"/>
        <v>815.47222026985673</v>
      </c>
      <c r="CD201" s="59">
        <f ca="1">AVERAGE(OFFSET($CC$3,0,0,'Données projet'!$E$12+1,1))-AVERAGE(OFFSET($H$3,0,0,'Données projet'!$E$12+1,1))</f>
        <v>340.49092994349405</v>
      </c>
      <c r="CE201" s="59">
        <f t="shared" si="207"/>
        <v>331.54434271908832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3.9790710070689479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3.9790710070689479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306.99999999999994</v>
      </c>
      <c r="CU201" s="17">
        <f>CT201*VLOOKUP('Données projet'!$B$13,Paramètres!$A$1:$I$89,3,0)*VLOOKUP('Données projet'!$B$13,Paramètres!$A$1:$I$89,5,0)</f>
        <v>277.77359999999993</v>
      </c>
      <c r="CV201" s="13">
        <f t="shared" si="173"/>
        <v>66.496288176842356</v>
      </c>
      <c r="CW201" s="20">
        <f t="shared" si="174"/>
        <v>599.60338857466706</v>
      </c>
      <c r="CX201" s="59">
        <f t="shared" si="196"/>
        <v>892.93672190800044</v>
      </c>
      <c r="CY201" s="59">
        <f ca="1">AVERAGE(OFFSET($CX$3,0,0,'Données projet'!$E$13+1,1))-AVERAGE(OFFSET($H$3,0,0,'Données projet'!$E$13+1,1))</f>
        <v>439.19854273764042</v>
      </c>
      <c r="CZ201" s="59">
        <f t="shared" si="208"/>
        <v>278.21741231699929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19.344222015021725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19.344222015021725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306.99999999999994</v>
      </c>
      <c r="DP201" s="17">
        <f>DO201*VLOOKUP('Données projet'!$B$14,Paramètres!$A$1:$I$89,3,0)*VLOOKUP('Données projet'!$B$14,Paramètres!$A$1:$I$89,5,0)</f>
        <v>258.61679999999996</v>
      </c>
      <c r="DQ201" s="13">
        <f t="shared" si="176"/>
        <v>62.427444141032439</v>
      </c>
      <c r="DR201" s="20">
        <f t="shared" si="177"/>
        <v>559.15205854563135</v>
      </c>
      <c r="DS201" s="59">
        <f t="shared" si="197"/>
        <v>852.48539187896472</v>
      </c>
      <c r="DT201" s="59">
        <f ca="1">AVERAGE(OFFSET($DS$3,0,0,'Données projet'!$E$14+1,1))-AVERAGE(OFFSET($H$3,0,0,'Données projet'!$E$14+1,1))</f>
        <v>411.72284844766</v>
      </c>
      <c r="DU201" s="59">
        <f t="shared" si="209"/>
        <v>261.95434270986397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18.010137738123678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18.010137738123678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636.99999999999977</v>
      </c>
      <c r="EK201" s="17">
        <f>EJ201*VLOOKUP('Données projet'!$B$15,Paramètres!$A$1:$I$89,3,0)*VLOOKUP('Données projet'!$B$15,Paramètres!$A$1:$I$89,5,0)</f>
        <v>356.08299999999991</v>
      </c>
      <c r="EL201" s="13">
        <f t="shared" si="179"/>
        <v>82.813805255716545</v>
      </c>
      <c r="EM201" s="20">
        <f t="shared" si="180"/>
        <v>764.41193582037283</v>
      </c>
      <c r="EN201" s="59">
        <f t="shared" si="198"/>
        <v>1057.7452691537062</v>
      </c>
      <c r="EO201" s="59">
        <f ca="1">AVERAGE(OFFSET($EN$3,0,0,'Données projet'!$E$15+1,1))-AVERAGE(OFFSET($H$3,0,0,'Données projet'!$E$15+1,1))</f>
        <v>443.34220761968419</v>
      </c>
      <c r="EP201" s="59">
        <f t="shared" si="210"/>
        <v>546.58234447298014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6.3549536636767332</v>
      </c>
      <c r="EW201" s="21">
        <f>EXP(-LN(2)/25)*EW200+(1-EXP(-LN(2)/25))/(LN(2)/25)*Calculateur!ER201*Calculateur!ET201*VLOOKUP('Données projet'!$B$15,Paramètres!$A$1:$I$89,3,0)*0.475*44/12</f>
        <v>0.20809501883258621</v>
      </c>
      <c r="EX201" s="21">
        <f>EXP(-LN(2)/2)*EX200+(1-EXP(-LN(2)/2))/(LN(2)/2)*ER201*EU201*VLOOKUP('Données projet'!$B$15,Paramètres!$A$1:$I$89,3,0)*0.475*44/12</f>
        <v>3.1235357572798752E-25</v>
      </c>
      <c r="EY201" s="22">
        <f t="shared" si="181"/>
        <v>6.5630486825093195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224.00000000000006</v>
      </c>
      <c r="O202" s="13">
        <f>N202*VLOOKUP('Données projet'!$B$9,Paramètres!$A$1:$I$89,3,0)*VLOOKUP('Données projet'!$B$9,Paramètres!$A$1:$I$89,5,0)</f>
        <v>195.68640000000008</v>
      </c>
      <c r="P202" s="13">
        <f t="shared" si="203"/>
        <v>48.794969360985156</v>
      </c>
      <c r="Q202" s="20">
        <f t="shared" si="162"/>
        <v>425.8050516370493</v>
      </c>
      <c r="R202" s="59">
        <f t="shared" si="191"/>
        <v>719.13838497038262</v>
      </c>
      <c r="S202" s="59">
        <f ca="1">AVERAGE(OFFSET($R$3,0,0,'Données projet'!$E$9+1,1))-AVERAGE(OFFSET($H$3,0,0,'Données projet'!$E$9+1,1))</f>
        <v>304.32767345253382</v>
      </c>
      <c r="T202" s="59">
        <f t="shared" si="204"/>
        <v>427.16091343339173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4.017556996492667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4.017556996492667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367.99999999999972</v>
      </c>
      <c r="AJ202" s="13">
        <f>AI202*VLOOKUP('Données projet'!$B$10,Paramètres!$A$1:$I$89,3,0)*VLOOKUP('Données projet'!$B$10,Paramètres!$A$1:$I$89,5,0)</f>
        <v>292.78079999999977</v>
      </c>
      <c r="AK202" s="13">
        <f t="shared" si="164"/>
        <v>69.660903052386217</v>
      </c>
      <c r="AL202" s="20">
        <f t="shared" si="165"/>
        <v>631.25263281623893</v>
      </c>
      <c r="AM202" s="59">
        <f t="shared" si="193"/>
        <v>924.58596614957219</v>
      </c>
      <c r="AN202" s="59">
        <f ca="1">AVERAGE(OFFSET($AM$3,0,0,'Données projet'!$E$10+1,1))-AVERAGE(OFFSET($H$3,0,0,'Données projet'!$E$10+1,1))</f>
        <v>405.40026823646758</v>
      </c>
      <c r="AO202" s="59">
        <f t="shared" si="205"/>
        <v>393.0787141050053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5.8386054988442062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5.8386054988442062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739.99999999999966</v>
      </c>
      <c r="BE202" s="13">
        <f>BD202*VLOOKUP('Données projet'!$B$11,Paramètres!$A$1:$I$89,3,0)*VLOOKUP('Données projet'!$B$11,Paramètres!$A$1:$I$89,5,0)</f>
        <v>413.65999999999985</v>
      </c>
      <c r="BF202" s="13">
        <f t="shared" si="167"/>
        <v>94.540585122244352</v>
      </c>
      <c r="BG202" s="20">
        <f t="shared" si="168"/>
        <v>885.11601908790863</v>
      </c>
      <c r="BH202" s="59">
        <f t="shared" si="194"/>
        <v>1178.4493524212419</v>
      </c>
      <c r="BI202" s="59">
        <f ca="1">AVERAGE(OFFSET($BH$3,0,0,'Données projet'!$E$11+1,1))-AVERAGE(OFFSET($H$3,0,0,'Données projet'!$E$11+1,1))</f>
        <v>555.15881087162279</v>
      </c>
      <c r="BJ202" s="59">
        <f t="shared" si="206"/>
        <v>668.20427590250733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7.8728878815302927</v>
      </c>
      <c r="BQ202" s="21">
        <f>EXP(-LN(2)/25)*BQ201+(1-EXP(-LN(2)/25))/(LN(2)/25)*Calculateur!BL202*Calculateur!BN202*VLOOKUP('Données projet'!$B$11,Paramètres!$A$1:$I$89,3,0)*0.475*44/12</f>
        <v>0.53312272902392788</v>
      </c>
      <c r="BR202" s="21">
        <f>EXP(-LN(2)/2)*BR201+(1-EXP(-LN(2)/2))/(LN(2)/2)*BL202*BO202*VLOOKUP('Données projet'!$B$11,Paramètres!$A$1:$I$89,3,0)*0.475*44/12</f>
        <v>3.1090749435887661E-26</v>
      </c>
      <c r="BS202" s="22">
        <f t="shared" si="169"/>
        <v>8.4060106105542207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367.99999999999972</v>
      </c>
      <c r="BZ202" s="13">
        <f>BY202*VLOOKUP('Données projet'!$B$12,Paramètres!$A$1:$I$89,3,0)*VLOOKUP('Données projet'!$B$12,Paramètres!$A$1:$I$89,5,0)</f>
        <v>241.11359999999982</v>
      </c>
      <c r="CA202" s="13">
        <f t="shared" si="170"/>
        <v>58.6790623558988</v>
      </c>
      <c r="CB202" s="20">
        <f t="shared" si="171"/>
        <v>522.13888693652348</v>
      </c>
      <c r="CC202" s="59">
        <f t="shared" si="195"/>
        <v>815.47222026985673</v>
      </c>
      <c r="CD202" s="59">
        <f ca="1">AVERAGE(OFFSET($CC$3,0,0,'Données projet'!$E$12+1,1))-AVERAGE(OFFSET($H$3,0,0,'Données projet'!$E$12+1,1))</f>
        <v>340.49092994349405</v>
      </c>
      <c r="CE202" s="59">
        <f t="shared" si="207"/>
        <v>331.54434271908832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3.9010438516139945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3.9010438516139945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306.99999999999994</v>
      </c>
      <c r="CU202" s="17">
        <f>CT202*VLOOKUP('Données projet'!$B$13,Paramètres!$A$1:$I$89,3,0)*VLOOKUP('Données projet'!$B$13,Paramètres!$A$1:$I$89,5,0)</f>
        <v>277.77359999999993</v>
      </c>
      <c r="CV202" s="13">
        <f t="shared" si="173"/>
        <v>66.496288176842356</v>
      </c>
      <c r="CW202" s="20">
        <f t="shared" si="174"/>
        <v>599.60338857466706</v>
      </c>
      <c r="CX202" s="59">
        <f t="shared" si="196"/>
        <v>892.93672190800044</v>
      </c>
      <c r="CY202" s="59">
        <f ca="1">AVERAGE(OFFSET($CX$3,0,0,'Données projet'!$E$13+1,1))-AVERAGE(OFFSET($H$3,0,0,'Données projet'!$E$13+1,1))</f>
        <v>439.19854273764042</v>
      </c>
      <c r="CZ202" s="59">
        <f t="shared" si="208"/>
        <v>278.21741231699929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18.964893620117543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18.964893620117543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306.99999999999994</v>
      </c>
      <c r="DP202" s="17">
        <f>DO202*VLOOKUP('Données projet'!$B$14,Paramètres!$A$1:$I$89,3,0)*VLOOKUP('Données projet'!$B$14,Paramètres!$A$1:$I$89,5,0)</f>
        <v>258.61679999999996</v>
      </c>
      <c r="DQ202" s="13">
        <f t="shared" si="176"/>
        <v>62.427444141032439</v>
      </c>
      <c r="DR202" s="20">
        <f t="shared" si="177"/>
        <v>559.15205854563135</v>
      </c>
      <c r="DS202" s="59">
        <f t="shared" si="197"/>
        <v>852.48539187896472</v>
      </c>
      <c r="DT202" s="59">
        <f ca="1">AVERAGE(OFFSET($DS$3,0,0,'Données projet'!$E$14+1,1))-AVERAGE(OFFSET($H$3,0,0,'Données projet'!$E$14+1,1))</f>
        <v>411.72284844766</v>
      </c>
      <c r="DU202" s="59">
        <f t="shared" si="209"/>
        <v>261.95434270986397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17.656969922178405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17.656969922178405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636.99999999999977</v>
      </c>
      <c r="EK202" s="17">
        <f>EJ202*VLOOKUP('Données projet'!$B$15,Paramètres!$A$1:$I$89,3,0)*VLOOKUP('Données projet'!$B$15,Paramètres!$A$1:$I$89,5,0)</f>
        <v>356.08299999999991</v>
      </c>
      <c r="EL202" s="13">
        <f t="shared" si="179"/>
        <v>82.813805255716545</v>
      </c>
      <c r="EM202" s="20">
        <f t="shared" si="180"/>
        <v>764.41193582037283</v>
      </c>
      <c r="EN202" s="59">
        <f t="shared" si="198"/>
        <v>1057.7452691537062</v>
      </c>
      <c r="EO202" s="59">
        <f ca="1">AVERAGE(OFFSET($EN$3,0,0,'Données projet'!$E$15+1,1))-AVERAGE(OFFSET($H$3,0,0,'Données projet'!$E$15+1,1))</f>
        <v>443.34220761968419</v>
      </c>
      <c r="EP202" s="59">
        <f t="shared" si="210"/>
        <v>546.58234447298014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6.2303368984710303</v>
      </c>
      <c r="EW202" s="21">
        <f>EXP(-LN(2)/25)*EW201+(1-EXP(-LN(2)/25))/(LN(2)/25)*Calculateur!ER202*Calculateur!ET202*VLOOKUP('Données projet'!$B$15,Paramètres!$A$1:$I$89,3,0)*0.475*44/12</f>
        <v>0.20240464959936771</v>
      </c>
      <c r="EX202" s="21">
        <f>EXP(-LN(2)/2)*EX201+(1-EXP(-LN(2)/2))/(LN(2)/2)*ER202*EU202*VLOOKUP('Données projet'!$B$15,Paramètres!$A$1:$I$89,3,0)*0.475*44/12</f>
        <v>2.2086733152512577E-25</v>
      </c>
      <c r="EY202" s="22">
        <f t="shared" si="181"/>
        <v>6.432741548070398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224.00000000000006</v>
      </c>
      <c r="O203" s="13">
        <f>N203*VLOOKUP('Données projet'!$B$9,Paramètres!$A$1:$I$89,3,0)*VLOOKUP('Données projet'!$B$9,Paramètres!$A$1:$I$89,5,0)</f>
        <v>195.68640000000008</v>
      </c>
      <c r="P203" s="13">
        <f t="shared" si="203"/>
        <v>48.794969360985156</v>
      </c>
      <c r="Q203" s="20">
        <f t="shared" si="162"/>
        <v>425.8050516370493</v>
      </c>
      <c r="R203" s="59">
        <f t="shared" si="191"/>
        <v>719.13838497038262</v>
      </c>
      <c r="S203" s="59">
        <f ca="1">AVERAGE(OFFSET($R$3,0,0,'Données projet'!$E$9+1,1))-AVERAGE(OFFSET($H$3,0,0,'Données projet'!$E$9+1,1))</f>
        <v>304.32767345253382</v>
      </c>
      <c r="T203" s="59">
        <f t="shared" si="204"/>
        <v>427.16091343339173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3.93877515425925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3.93877515425925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367.99999999999972</v>
      </c>
      <c r="AJ203" s="13">
        <f>AI203*VLOOKUP('Données projet'!$B$10,Paramètres!$A$1:$I$89,3,0)*VLOOKUP('Données projet'!$B$10,Paramètres!$A$1:$I$89,5,0)</f>
        <v>292.78079999999977</v>
      </c>
      <c r="AK203" s="13">
        <f t="shared" si="164"/>
        <v>69.660903052386217</v>
      </c>
      <c r="AL203" s="20">
        <f t="shared" si="165"/>
        <v>631.25263281623893</v>
      </c>
      <c r="AM203" s="59">
        <f t="shared" si="193"/>
        <v>924.58596614957219</v>
      </c>
      <c r="AN203" s="59">
        <f ca="1">AVERAGE(OFFSET($AM$3,0,0,'Données projet'!$E$10+1,1))-AVERAGE(OFFSET($H$3,0,0,'Données projet'!$E$10+1,1))</f>
        <v>405.40026823646758</v>
      </c>
      <c r="AO203" s="59">
        <f t="shared" si="205"/>
        <v>393.0787141050053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5.7241140062095868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5.7241140062095868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739.99999999999966</v>
      </c>
      <c r="BE203" s="13">
        <f>BD203*VLOOKUP('Données projet'!$B$11,Paramètres!$A$1:$I$89,3,0)*VLOOKUP('Données projet'!$B$11,Paramètres!$A$1:$I$89,5,0)</f>
        <v>413.65999999999985</v>
      </c>
      <c r="BF203" s="13">
        <f t="shared" si="167"/>
        <v>94.540585122244352</v>
      </c>
      <c r="BG203" s="20">
        <f t="shared" si="168"/>
        <v>885.11601908790863</v>
      </c>
      <c r="BH203" s="59">
        <f t="shared" si="194"/>
        <v>1178.4493524212419</v>
      </c>
      <c r="BI203" s="59">
        <f ca="1">AVERAGE(OFFSET($BH$3,0,0,'Données projet'!$E$11+1,1))-AVERAGE(OFFSET($H$3,0,0,'Données projet'!$E$11+1,1))</f>
        <v>555.15881087162279</v>
      </c>
      <c r="BJ203" s="59">
        <f t="shared" si="206"/>
        <v>668.20427590250733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7.7185053521609346</v>
      </c>
      <c r="BQ203" s="21">
        <f>EXP(-LN(2)/25)*BQ202+(1-EXP(-LN(2)/25))/(LN(2)/25)*Calculateur!BL203*Calculateur!BN203*VLOOKUP('Données projet'!$B$11,Paramètres!$A$1:$I$89,3,0)*0.475*44/12</f>
        <v>0.51854445996306275</v>
      </c>
      <c r="BR203" s="21">
        <f>EXP(-LN(2)/2)*BR202+(1-EXP(-LN(2)/2))/(LN(2)/2)*BL203*BO203*VLOOKUP('Données projet'!$B$11,Paramètres!$A$1:$I$89,3,0)*0.475*44/12</f>
        <v>2.1984479758287993E-26</v>
      </c>
      <c r="BS203" s="22">
        <f t="shared" si="169"/>
        <v>8.2370498121239972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367.99999999999972</v>
      </c>
      <c r="BZ203" s="13">
        <f>BY203*VLOOKUP('Données projet'!$B$12,Paramètres!$A$1:$I$89,3,0)*VLOOKUP('Données projet'!$B$12,Paramètres!$A$1:$I$89,5,0)</f>
        <v>241.11359999999982</v>
      </c>
      <c r="CA203" s="13">
        <f t="shared" si="170"/>
        <v>58.6790623558988</v>
      </c>
      <c r="CB203" s="20">
        <f t="shared" si="171"/>
        <v>522.13888693652348</v>
      </c>
      <c r="CC203" s="59">
        <f t="shared" si="195"/>
        <v>815.47222026985673</v>
      </c>
      <c r="CD203" s="59">
        <f ca="1">AVERAGE(OFFSET($CC$3,0,0,'Données projet'!$E$12+1,1))-AVERAGE(OFFSET($H$3,0,0,'Données projet'!$E$12+1,1))</f>
        <v>340.49092994349405</v>
      </c>
      <c r="CE203" s="59">
        <f t="shared" si="207"/>
        <v>331.54434271908832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3.8245467610856472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3.8245467610856472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306.99999999999994</v>
      </c>
      <c r="CU203" s="17">
        <f>CT203*VLOOKUP('Données projet'!$B$13,Paramètres!$A$1:$I$89,3,0)*VLOOKUP('Données projet'!$B$13,Paramètres!$A$1:$I$89,5,0)</f>
        <v>277.77359999999993</v>
      </c>
      <c r="CV203" s="13">
        <f t="shared" si="173"/>
        <v>66.496288176842356</v>
      </c>
      <c r="CW203" s="20">
        <f t="shared" si="174"/>
        <v>599.60338857466706</v>
      </c>
      <c r="CX203" s="59">
        <f t="shared" si="196"/>
        <v>892.93672190800044</v>
      </c>
      <c r="CY203" s="59">
        <f ca="1">AVERAGE(OFFSET($CX$3,0,0,'Données projet'!$E$13+1,1))-AVERAGE(OFFSET($H$3,0,0,'Données projet'!$E$13+1,1))</f>
        <v>439.19854273764042</v>
      </c>
      <c r="CZ203" s="59">
        <f t="shared" si="208"/>
        <v>278.21741231699929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18.593003623669958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18.593003623669958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306.99999999999994</v>
      </c>
      <c r="DP203" s="17">
        <f>DO203*VLOOKUP('Données projet'!$B$14,Paramètres!$A$1:$I$89,3,0)*VLOOKUP('Données projet'!$B$14,Paramètres!$A$1:$I$89,5,0)</f>
        <v>258.61679999999996</v>
      </c>
      <c r="DQ203" s="13">
        <f t="shared" si="176"/>
        <v>62.427444141032439</v>
      </c>
      <c r="DR203" s="20">
        <f t="shared" si="177"/>
        <v>559.15205854563135</v>
      </c>
      <c r="DS203" s="59">
        <f t="shared" si="197"/>
        <v>852.48539187896472</v>
      </c>
      <c r="DT203" s="59">
        <f ca="1">AVERAGE(OFFSET($DS$3,0,0,'Données projet'!$E$14+1,1))-AVERAGE(OFFSET($H$3,0,0,'Données projet'!$E$14+1,1))</f>
        <v>411.72284844766</v>
      </c>
      <c r="DU203" s="59">
        <f t="shared" si="209"/>
        <v>261.95434270986397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17.310727511692722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17.310727511692722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636.99999999999977</v>
      </c>
      <c r="EK203" s="17">
        <f>EJ203*VLOOKUP('Données projet'!$B$15,Paramètres!$A$1:$I$89,3,0)*VLOOKUP('Données projet'!$B$15,Paramètres!$A$1:$I$89,5,0)</f>
        <v>356.08299999999991</v>
      </c>
      <c r="EL203" s="13">
        <f t="shared" si="179"/>
        <v>82.813805255716545</v>
      </c>
      <c r="EM203" s="20">
        <f t="shared" si="180"/>
        <v>764.41193582037283</v>
      </c>
      <c r="EN203" s="59">
        <f t="shared" si="198"/>
        <v>1057.7452691537062</v>
      </c>
      <c r="EO203" s="59">
        <f ca="1">AVERAGE(OFFSET($EN$3,0,0,'Données projet'!$E$15+1,1))-AVERAGE(OFFSET($H$3,0,0,'Données projet'!$E$15+1,1))</f>
        <v>443.34220761968419</v>
      </c>
      <c r="EP203" s="59">
        <f t="shared" si="210"/>
        <v>546.58234447298014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6.1081637920222898</v>
      </c>
      <c r="EW203" s="21">
        <f>EXP(-LN(2)/25)*EW202+(1-EXP(-LN(2)/25))/(LN(2)/25)*Calculateur!ER203*Calculateur!ET203*VLOOKUP('Données projet'!$B$15,Paramètres!$A$1:$I$89,3,0)*0.475*44/12</f>
        <v>0.1968698838120751</v>
      </c>
      <c r="EX203" s="21">
        <f>EXP(-LN(2)/2)*EX202+(1-EXP(-LN(2)/2))/(LN(2)/2)*ER203*EU203*VLOOKUP('Données projet'!$B$15,Paramètres!$A$1:$I$89,3,0)*0.475*44/12</f>
        <v>1.5617678786399376E-25</v>
      </c>
      <c r="EY203" s="22">
        <f t="shared" si="181"/>
        <v>6.3050336758343652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1.3655017210306359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1.3423796509621049</v>
      </c>
      <c r="BA205" s="81">
        <f>EXP(LN('Données projet'!B88)/'Données projet'!A88)</f>
        <v>1.4037863041747067</v>
      </c>
      <c r="BV205" s="81">
        <f>EXP(LN('Données projet'!B114)/'Données projet'!A114)</f>
        <v>1.3423796509621049</v>
      </c>
      <c r="CQ205" s="81">
        <f>EXP(LN('Données projet'!B140)/'Données projet'!A140)</f>
        <v>1.2392705892426346</v>
      </c>
      <c r="DL205" s="81">
        <f>EXP(LN('Données projet'!B166)/'Données projet'!A166)</f>
        <v>1.2392705892426346</v>
      </c>
      <c r="EG205" s="81">
        <f>EXP(LN('Données projet'!B192)/'Données projet'!A192)</f>
        <v>1.3070441688874561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110" zoomScaleNormal="110" workbookViewId="0">
      <selection activeCell="C18" sqref="C18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rouge d'Amérique</v>
      </c>
      <c r="B6" s="144">
        <f>'Données projet'!D9</f>
        <v>2.1200000000000019</v>
      </c>
      <c r="C6" s="145">
        <f ca="1">IF(OR('Données projet'!B9="",'Données projet'!C9="",'Données projet'!C9=0%),0,Calculateur!S3)</f>
        <v>304.32767345253382</v>
      </c>
      <c r="D6" s="145">
        <f>IF(OR('Données projet'!B9="",'Données projet'!C9="",'Données projet'!C9=0%),0,Calculateur!T3)</f>
        <v>427.16091343339173</v>
      </c>
      <c r="E6" s="145">
        <f ca="1">MIN(C6,D6)</f>
        <v>304.32767345253382</v>
      </c>
      <c r="F6" s="145">
        <f ca="1">E6*B6</f>
        <v>645.17466771937222</v>
      </c>
      <c r="G6" s="145">
        <f ca="1">F6*(100%-'Données projet'!$C$24)*(100%-'Données projet'!$C$25)*(100%-'Données projet'!$C$26)*(100%-'Données projet'!$C$27)</f>
        <v>580.65720094743506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99.110000000000085</v>
      </c>
      <c r="K6" s="149">
        <f>J6*(100%-'Données projet'!$C$24)*(100%-'Données projet'!$C$25)*(100%-'Données projet'!$C$26)*(100%-'Données projet'!$C$27)</f>
        <v>89.199000000000083</v>
      </c>
      <c r="L6" s="150">
        <f ca="1">G6+I6+K6</f>
        <v>669.85620094743513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Erable sycomore</v>
      </c>
      <c r="B7" s="152">
        <f>'Données projet'!D10</f>
        <v>0.4</v>
      </c>
      <c r="C7" s="145">
        <f ca="1">IF(OR('Données projet'!B10="",'Données projet'!C10="",'Données projet'!C10=0%),0,Calculateur!AN3)</f>
        <v>405.40026823646758</v>
      </c>
      <c r="D7" s="145">
        <f>IF(OR('Données projet'!B10="",'Données projet'!C10="",'Données projet'!C10=0%),0,Calculateur!AO3)</f>
        <v>393.0787141050053</v>
      </c>
      <c r="E7" s="145">
        <f t="shared" ref="E7:E15" ca="1" si="0">MIN(C7,D7)</f>
        <v>393.0787141050053</v>
      </c>
      <c r="F7" s="145">
        <f t="shared" ref="F7:F15" ca="1" si="1">E7*B7</f>
        <v>157.23148564200213</v>
      </c>
      <c r="G7" s="145">
        <f ca="1">F7*(100%-'Données projet'!$C$24)*(100%-'Données projet'!$C$25)*(100%-'Données projet'!$C$26)*(100%-'Données projet'!$C$27)</f>
        <v>141.50833707780191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17.5</v>
      </c>
      <c r="K7" s="149">
        <f>J7*(100%-'Données projet'!$C$24)*(100%-'Données projet'!$C$25)*(100%-'Données projet'!$C$26)*(100%-'Données projet'!$C$27)</f>
        <v>15.75</v>
      </c>
      <c r="L7" s="150">
        <f t="shared" ref="L7:L15" ca="1" si="2">G7+I7+K7</f>
        <v>157.25833707780191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Douglas</v>
      </c>
      <c r="B8" s="152">
        <f>'Données projet'!D11</f>
        <v>1.2000000000000004</v>
      </c>
      <c r="C8" s="145">
        <f ca="1">IF(OR('Données projet'!B11="",'Données projet'!C11="",'Données projet'!C11=0%),0,Calculateur!BI3)</f>
        <v>555.15881087162279</v>
      </c>
      <c r="D8" s="145">
        <f>IF(OR('Données projet'!B11="",'Données projet'!C11="",'Données projet'!C11=0%),0,Calculateur!BJ3)</f>
        <v>668.20427590250733</v>
      </c>
      <c r="E8" s="145">
        <f t="shared" ca="1" si="0"/>
        <v>555.15881087162279</v>
      </c>
      <c r="F8" s="145">
        <f t="shared" ca="1" si="1"/>
        <v>666.19057304594753</v>
      </c>
      <c r="G8" s="145">
        <f ca="1">F8*(100%-'Données projet'!$C$24)*(100%-'Données projet'!$C$25)*(100%-'Données projet'!$C$26)*(100%-'Données projet'!$C$27)</f>
        <v>599.57151574135275</v>
      </c>
      <c r="H8" s="153">
        <f>IF(OR('Données projet'!B11="",'Données projet'!C11="",'Données projet'!C11=0%),0,AVERAGE(Calculateur!$BS$3:$BS$33)*B8)</f>
        <v>10.220757045700049</v>
      </c>
      <c r="I8" s="147">
        <f>H8*(100%-'Données projet'!$C$24)*(100%-'Données projet'!$C$25)*(100%-'Données projet'!$C$26)*(100%-'Données projet'!$C$27)</f>
        <v>9.1986813411300439</v>
      </c>
      <c r="J8" s="148">
        <f>IF(OR('Données projet'!B11="",'Données projet'!C11="",'Données projet'!C11=0%),0,SUM(Calculateur!$BL$3:$BL$33)*VLOOKUP('Données projet'!$B$11,Paramètres!$A$1:$I$89,9,0)*B8)</f>
        <v>99.588000000000022</v>
      </c>
      <c r="K8" s="149">
        <f>J8*(100%-'Données projet'!$C$24)*(100%-'Données projet'!$C$25)*(100%-'Données projet'!$C$26)*(100%-'Données projet'!$C$27)</f>
        <v>89.629200000000026</v>
      </c>
      <c r="L8" s="150">
        <f t="shared" ca="1" si="2"/>
        <v>698.39939708248289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Aulne glutineux</v>
      </c>
      <c r="B9" s="152">
        <f>'Données projet'!D12</f>
        <v>0.70000000000000007</v>
      </c>
      <c r="C9" s="145">
        <f ca="1">IF(OR('Données projet'!B12="",'Données projet'!C12="",'Données projet'!C12=0%),0,Calculateur!CD3)</f>
        <v>340.49092994349405</v>
      </c>
      <c r="D9" s="145">
        <f>IF(OR('Données projet'!B12="",'Données projet'!C12="",'Données projet'!C12=0%),0,Calculateur!CE3)</f>
        <v>331.54434271908832</v>
      </c>
      <c r="E9" s="145">
        <f t="shared" ca="1" si="0"/>
        <v>331.54434271908832</v>
      </c>
      <c r="F9" s="145">
        <f t="shared" ca="1" si="1"/>
        <v>232.08103990336184</v>
      </c>
      <c r="G9" s="145">
        <f ca="1">F9*(100%-'Données projet'!$C$24)*(100%-'Données projet'!$C$25)*(100%-'Données projet'!$C$26)*(100%-'Données projet'!$C$27)</f>
        <v>208.87293591302566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30.625000000000004</v>
      </c>
      <c r="K9" s="149">
        <f>J9*(100%-'Données projet'!$C$24)*(100%-'Données projet'!$C$25)*(100%-'Données projet'!$C$26)*(100%-'Données projet'!$C$27)</f>
        <v>27.562500000000004</v>
      </c>
      <c r="L9" s="150">
        <f t="shared" ca="1" si="2"/>
        <v>236.43543591302566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Chêne sessile</v>
      </c>
      <c r="B10" s="152">
        <f>'Données projet'!D13</f>
        <v>0.68</v>
      </c>
      <c r="C10" s="145">
        <f ca="1">IF(OR('Données projet'!B13="",'Données projet'!C13="",'Données projet'!C13=0%),0,Calculateur!CY3)</f>
        <v>439.19854273764042</v>
      </c>
      <c r="D10" s="145">
        <f>IF(OR('Données projet'!B13="",'Données projet'!C13="",'Données projet'!C13=0%),0,Calculateur!CZ3)</f>
        <v>278.21741231699929</v>
      </c>
      <c r="E10" s="145">
        <f t="shared" ca="1" si="0"/>
        <v>278.21741231699929</v>
      </c>
      <c r="F10" s="145">
        <f t="shared" ca="1" si="1"/>
        <v>189.18784037555952</v>
      </c>
      <c r="G10" s="145">
        <f ca="1">F10*(100%-'Données projet'!$C$24)*(100%-'Données projet'!$C$25)*(100%-'Données projet'!$C$26)*(100%-'Données projet'!$C$27)</f>
        <v>170.26905633800357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10.540000000000001</v>
      </c>
      <c r="K10" s="149">
        <f>J10*(100%-'Données projet'!$C$24)*(100%-'Données projet'!$C$25)*(100%-'Données projet'!$C$26)*(100%-'Données projet'!$C$27)</f>
        <v>9.4860000000000007</v>
      </c>
      <c r="L10" s="150">
        <f t="shared" ca="1" si="2"/>
        <v>179.75505633800356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Chêne pédonculé</v>
      </c>
      <c r="B11" s="152">
        <f>'Données projet'!D14</f>
        <v>0.52000000000000013</v>
      </c>
      <c r="C11" s="145">
        <f ca="1">IF(OR('Données projet'!B14="",'Données projet'!C14="",'Données projet'!C14=0%),0,Calculateur!DT3)</f>
        <v>411.72284844766</v>
      </c>
      <c r="D11" s="145">
        <f>IF(OR('Données projet'!B14="",'Données projet'!C14="",'Données projet'!C14=0%),0,Calculateur!DU3)</f>
        <v>261.95434270986397</v>
      </c>
      <c r="E11" s="145">
        <f t="shared" ca="1" si="0"/>
        <v>261.95434270986397</v>
      </c>
      <c r="F11" s="145">
        <f t="shared" ca="1" si="1"/>
        <v>136.21625820912931</v>
      </c>
      <c r="G11" s="145">
        <f ca="1">F11*(100%-'Données projet'!$C$24)*(100%-'Données projet'!$C$25)*(100%-'Données projet'!$C$26)*(100%-'Données projet'!$C$27)</f>
        <v>122.59463238821638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8.0600000000000023</v>
      </c>
      <c r="K11" s="149">
        <f>J11*(100%-'Données projet'!$C$24)*(100%-'Données projet'!$C$25)*(100%-'Données projet'!$C$26)*(100%-'Données projet'!$C$27)</f>
        <v>7.2540000000000022</v>
      </c>
      <c r="L11" s="150">
        <f t="shared" ca="1" si="2"/>
        <v>129.84863238821637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Douglas</v>
      </c>
      <c r="B12" s="152">
        <f>'Données projet'!D15</f>
        <v>0.58000000000000007</v>
      </c>
      <c r="C12" s="145">
        <f ca="1">IF(OR('Données projet'!B15="",'Données projet'!C15="",'Données projet'!C15=0%),0,Calculateur!EO3)</f>
        <v>443.34220761968419</v>
      </c>
      <c r="D12" s="145">
        <f>IF(OR('Données projet'!B15="",'Données projet'!C15="",'Données projet'!C15=0%),0,Calculateur!EP3)</f>
        <v>546.58234447298014</v>
      </c>
      <c r="E12" s="145">
        <f t="shared" ca="1" si="0"/>
        <v>443.34220761968419</v>
      </c>
      <c r="F12" s="145">
        <f t="shared" ca="1" si="1"/>
        <v>257.13848041941685</v>
      </c>
      <c r="G12" s="145">
        <f ca="1">F12*(100%-'Données projet'!$C$24)*(100%-'Données projet'!$C$25)*(100%-'Données projet'!$C$26)*(100%-'Données projet'!$C$27)</f>
        <v>231.42463237747518</v>
      </c>
      <c r="H12" s="153">
        <f>IF(OR('Données projet'!B15="",'Données projet'!C15="",'Données projet'!C15=0%),0,AVERAGE(Calculateur!$EY$3:$EY$33)*B12)</f>
        <v>2.3207599723913561</v>
      </c>
      <c r="I12" s="147">
        <f>H12*(100%-'Données projet'!$C$24)*(100%-'Données projet'!$C$25)*(100%-'Données projet'!$C$26)*(100%-'Données projet'!$C$27)</f>
        <v>2.0886839751522204</v>
      </c>
      <c r="J12" s="148">
        <f>IF(OR('Données projet'!B15="",'Données projet'!C15="",'Données projet'!C15=0%),0,SUM(Calculateur!$ER$3:$ER$33)*VLOOKUP('Données projet'!$B$15,Paramètres!$A$1:$I$89,9,0)*B12)</f>
        <v>26.935200000000002</v>
      </c>
      <c r="K12" s="149">
        <f>J12*(100%-'Données projet'!$C$24)*(100%-'Données projet'!$C$25)*(100%-'Données projet'!$C$26)*(100%-'Données projet'!$C$27)</f>
        <v>24.241680000000002</v>
      </c>
      <c r="L12" s="150">
        <f t="shared" ca="1" si="2"/>
        <v>257.75499635262736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2283.2203453147895</v>
      </c>
      <c r="G16" s="164">
        <f t="shared" ca="1" si="3"/>
        <v>2054.8983107833105</v>
      </c>
      <c r="H16" s="165">
        <f t="shared" si="3"/>
        <v>12.541517018091405</v>
      </c>
      <c r="I16" s="165">
        <f t="shared" si="3"/>
        <v>11.287365316282264</v>
      </c>
      <c r="J16" s="166">
        <f t="shared" si="3"/>
        <v>292.35820000000012</v>
      </c>
      <c r="K16" s="166">
        <f t="shared" si="3"/>
        <v>263.12238000000008</v>
      </c>
      <c r="L16" s="167">
        <f t="shared" ca="1" si="3"/>
        <v>2329.3080560995932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rouge d'Amérique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Erable sycomore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Aulne glutineux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Chêne sessile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Chêne pédonculé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Douglas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T36" sqref="T3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rouge d'Amérique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-4010.8263450554746</v>
      </c>
      <c r="U10" s="176">
        <f>'Données projet'!D9</f>
        <v>2.1200000000000019</v>
      </c>
      <c r="V10" s="175">
        <f>U10*T10</f>
        <v>-8502.9518515176132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Erable sycomore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-3885.566306327818</v>
      </c>
      <c r="U11" s="176">
        <f>'Données projet'!D10</f>
        <v>0.4</v>
      </c>
      <c r="V11" s="175">
        <f t="shared" ref="V11" si="0">U11*T11</f>
        <v>-1554.2265225311273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Douglas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-2865.235153647518</v>
      </c>
      <c r="U12" s="176">
        <f>'Données projet'!D11</f>
        <v>1.2000000000000004</v>
      </c>
      <c r="V12" s="175">
        <f t="shared" ref="V12:V19" si="1">U12*T12</f>
        <v>-3438.282184377023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Aulne glutineux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-999.44589288790257</v>
      </c>
      <c r="U13" s="176">
        <f>'Données projet'!D12</f>
        <v>0.70000000000000007</v>
      </c>
      <c r="V13" s="175">
        <f t="shared" si="1"/>
        <v>-699.61212502153182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rouge d'Amérique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Chêne sessile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-3906.3381445001651</v>
      </c>
      <c r="U14" s="176">
        <f>'Données projet'!D13</f>
        <v>0.68</v>
      </c>
      <c r="V14" s="175">
        <f t="shared" si="1"/>
        <v>-2656.3099382601126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Chêne pédonculé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-4169.9523626525634</v>
      </c>
      <c r="U15" s="176">
        <f>'Données projet'!D14</f>
        <v>0.52000000000000013</v>
      </c>
      <c r="V15" s="175">
        <f t="shared" si="1"/>
        <v>-2168.3752285793335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>Douglas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-3159.6154246950864</v>
      </c>
      <c r="U16" s="176">
        <f>'Données projet'!D15</f>
        <v>0.58000000000000007</v>
      </c>
      <c r="V16" s="175">
        <f t="shared" si="1"/>
        <v>-1832.5769463231504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3075.6771150334735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>
        <v>574.83870967741939</v>
      </c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>
        <v>574.83870967741939</v>
      </c>
      <c r="F20" s="228"/>
      <c r="G20" s="312"/>
      <c r="H20" s="188">
        <v>0</v>
      </c>
      <c r="I20" s="189">
        <v>5261.31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>
        <v>574.83870967741939</v>
      </c>
      <c r="F21" s="228"/>
      <c r="H21" s="188">
        <v>1</v>
      </c>
      <c r="I21" s="189">
        <v>371.61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>
        <v>574.83870967741939</v>
      </c>
      <c r="F22" s="228"/>
      <c r="H22" s="188">
        <v>2</v>
      </c>
      <c r="I22" s="189">
        <v>371.61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15</v>
      </c>
      <c r="B23" s="179">
        <f>'Données projet'!D36</f>
        <v>34</v>
      </c>
      <c r="C23" s="191">
        <v>15</v>
      </c>
      <c r="D23" s="180">
        <f>B23*C23</f>
        <v>510</v>
      </c>
      <c r="E23" s="191"/>
      <c r="F23" s="228"/>
      <c r="H23" s="188">
        <v>3</v>
      </c>
      <c r="I23" s="189">
        <v>371.61</v>
      </c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-63586.884196193496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20</v>
      </c>
      <c r="B24" s="179">
        <f>'Données projet'!D37</f>
        <v>50</v>
      </c>
      <c r="C24" s="191">
        <v>15</v>
      </c>
      <c r="D24" s="180">
        <f t="shared" ref="D24:D42" si="2">B24*C24</f>
        <v>750</v>
      </c>
      <c r="E24" s="191"/>
      <c r="F24" s="231"/>
      <c r="H24" s="188">
        <v>4</v>
      </c>
      <c r="I24" s="189">
        <v>371.61</v>
      </c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9221.6409261970184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25</v>
      </c>
      <c r="B25" s="179">
        <f>'Données projet'!D38</f>
        <v>52</v>
      </c>
      <c r="C25" s="191">
        <v>15</v>
      </c>
      <c r="D25" s="180">
        <f t="shared" si="2"/>
        <v>780</v>
      </c>
      <c r="E25" s="191"/>
      <c r="F25" s="231"/>
      <c r="H25" s="188">
        <v>5</v>
      </c>
      <c r="I25" s="189">
        <v>371.61</v>
      </c>
      <c r="K25" s="206"/>
      <c r="L25" s="128" t="s">
        <v>285</v>
      </c>
      <c r="M25" s="128"/>
      <c r="N25" s="128"/>
      <c r="O25" s="128"/>
      <c r="P25" s="190">
        <v>70</v>
      </c>
      <c r="Q25" s="232"/>
      <c r="R25" s="23"/>
      <c r="S25" s="184" t="s">
        <v>266</v>
      </c>
      <c r="T25" s="308">
        <f ca="1">T23-T24</f>
        <v>-72808.525122390507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51</v>
      </c>
      <c r="C26" s="191">
        <v>15</v>
      </c>
      <c r="D26" s="180">
        <f t="shared" si="2"/>
        <v>765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35</v>
      </c>
      <c r="B27" s="179">
        <f>'Données projet'!D40</f>
        <v>49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40</v>
      </c>
      <c r="B28" s="179">
        <f>'Données projet'!D41</f>
        <v>45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45</v>
      </c>
      <c r="B29" s="179">
        <f>'Données projet'!D42</f>
        <v>41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50</v>
      </c>
      <c r="B30" s="179">
        <f>'Données projet'!D43</f>
        <v>37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1487.3614397091965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55</v>
      </c>
      <c r="B31" s="179">
        <f>'Données projet'!D44</f>
        <v>34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70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66.985645933014354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64.10109658661662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61.340762283843652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58.699294051525044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56.171573255047889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53.752701679471677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51.437992037771934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49.222958887820049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47.10330994049766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45.074937742103032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43.133911714931131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Erable sycomore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41.27647054060396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39.499014871391346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37.798100355398425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2618.7903225806449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36.170430962103758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34.612852595314614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>
        <v>574.83870967741939</v>
      </c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33.122346981162309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>
        <v>574.83870967741939</v>
      </c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31.696025819294082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>
        <v>574.83870967741939</v>
      </c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30.331125185927352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>
        <v>574.83870967741939</v>
      </c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29.025000177920919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7</v>
      </c>
      <c r="C54" s="189">
        <v>15</v>
      </c>
      <c r="D54" s="177">
        <f>B54*C54</f>
        <v>105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27.77511978748413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42</v>
      </c>
      <c r="C55" s="189">
        <v>15</v>
      </c>
      <c r="D55" s="177">
        <f t="shared" ref="D55:D73" si="4">B55*C55</f>
        <v>630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26.579061997592479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42</v>
      </c>
      <c r="C56" s="189">
        <v>15</v>
      </c>
      <c r="D56" s="177">
        <f t="shared" si="4"/>
        <v>630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25.434509088605239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42</v>
      </c>
      <c r="C57" s="189">
        <v>15</v>
      </c>
      <c r="D57" s="177">
        <f t="shared" si="4"/>
        <v>630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24.339243146990665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42</v>
      </c>
      <c r="C58" s="189">
        <v>15</v>
      </c>
      <c r="D58" s="177">
        <f t="shared" si="4"/>
        <v>630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23.291141767455183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42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22.288173940148507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40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21.328396114974648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26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20.409948435382443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21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19.531051134337261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18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18.690001085490209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17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17.885168502861443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65</v>
      </c>
      <c r="B65" s="179">
        <f>'Données projet'!D73</f>
        <v>16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17.114993782642536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70</v>
      </c>
      <c r="B66" s="179">
        <f>'Données projet'!D74</f>
        <v>15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16.377984480997647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75</v>
      </c>
      <c r="B67" s="179">
        <f>'Données projet'!D75</f>
        <v>14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15.672712422007319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80</v>
      </c>
      <c r="B68" s="179">
        <f>'Données projet'!D76</f>
        <v>13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14.997810930150544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14.351972181962246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13.733944671734207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13.142530786348525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12.576584484544044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12.035009076118705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11.516755096764312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11.020818274415612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Douglas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10.546237583172834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10.092093381026636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9.6575056277766862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1510.0262776368254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9.24163217969061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8.8436671575986701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>
        <v>574.83870967741939</v>
      </c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8.4628393852618888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>
        <v>574.83870967741939</v>
      </c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8.0984108949874525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>
        <v>574.83870967741939</v>
      </c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7.7496754975956508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>
        <v>574.83870967741939</v>
      </c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7.4159574139671296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15</v>
      </c>
      <c r="B85" s="179">
        <f>'Données projet'!D88</f>
        <v>0</v>
      </c>
      <c r="C85" s="189">
        <v>10</v>
      </c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7.0966099655187858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20</v>
      </c>
      <c r="B86" s="179">
        <f>'Données projet'!D89</f>
        <v>43</v>
      </c>
      <c r="C86" s="189">
        <v>10</v>
      </c>
      <c r="D86" s="177">
        <f t="shared" ref="D86:D104" si="6">B86*C86</f>
        <v>430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6.791014321070608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25</v>
      </c>
      <c r="B87" s="179">
        <f>'Données projet'!D90</f>
        <v>60</v>
      </c>
      <c r="C87" s="189">
        <v>10</v>
      </c>
      <c r="D87" s="177">
        <f t="shared" si="6"/>
        <v>600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6.498578297675226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30</v>
      </c>
      <c r="B88" s="179">
        <f>'Données projet'!D91</f>
        <v>90</v>
      </c>
      <c r="C88" s="189">
        <v>10</v>
      </c>
      <c r="D88" s="177">
        <f t="shared" si="6"/>
        <v>900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6.2187352130863394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35</v>
      </c>
      <c r="B89" s="179">
        <f>'Données projet'!D92</f>
        <v>72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str">
        <f>IF(O88+1&lt;=MIN('Données projet'!$E$9:$E$18),O88+1,"STOP")</f>
        <v>STOP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40</v>
      </c>
      <c r="B90" s="179">
        <f>'Données projet'!D93</f>
        <v>77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45</v>
      </c>
      <c r="B91" s="179">
        <f>'Données projet'!D94</f>
        <v>64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50</v>
      </c>
      <c r="B92" s="179">
        <f>'Données projet'!D95</f>
        <v>62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55</v>
      </c>
      <c r="B93" s="179">
        <f>'Données projet'!D96</f>
        <v>46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60</v>
      </c>
      <c r="B94" s="179">
        <f>'Données projet'!D97</f>
        <v>35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65</v>
      </c>
      <c r="B95" s="179">
        <f>'Données projet'!D98</f>
        <v>29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Aulne glutineux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2031.6474654377878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>
        <v>574.83870967741939</v>
      </c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>
        <v>574.83870967741939</v>
      </c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>
        <v>574.83870967741939</v>
      </c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>
        <v>574.83870967741939</v>
      </c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10</v>
      </c>
      <c r="B116" s="179">
        <f>'Données projet'!D114</f>
        <v>7</v>
      </c>
      <c r="C116" s="189">
        <v>15</v>
      </c>
      <c r="D116" s="177">
        <f>B116*C116</f>
        <v>105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15</v>
      </c>
      <c r="B117" s="179">
        <f>'Données projet'!D115</f>
        <v>42</v>
      </c>
      <c r="C117" s="189">
        <v>15</v>
      </c>
      <c r="D117" s="177">
        <f t="shared" ref="D117:D135" si="8">B117*C117</f>
        <v>630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20</v>
      </c>
      <c r="B118" s="179">
        <f>'Données projet'!D116</f>
        <v>42</v>
      </c>
      <c r="C118" s="189">
        <v>15</v>
      </c>
      <c r="D118" s="177">
        <f t="shared" si="8"/>
        <v>630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25</v>
      </c>
      <c r="B119" s="179">
        <f>'Données projet'!D117</f>
        <v>42</v>
      </c>
      <c r="C119" s="189">
        <v>15</v>
      </c>
      <c r="D119" s="177">
        <f t="shared" si="8"/>
        <v>630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30</v>
      </c>
      <c r="B120" s="179">
        <f>'Données projet'!D118</f>
        <v>42</v>
      </c>
      <c r="C120" s="189">
        <v>15</v>
      </c>
      <c r="D120" s="177">
        <f t="shared" si="8"/>
        <v>630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35</v>
      </c>
      <c r="B121" s="179">
        <f>'Données projet'!D119</f>
        <v>42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40</v>
      </c>
      <c r="B122" s="179">
        <f>'Données projet'!D120</f>
        <v>40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45</v>
      </c>
      <c r="B123" s="179">
        <f>'Données projet'!D121</f>
        <v>26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50</v>
      </c>
      <c r="B124" s="179">
        <f>'Données projet'!D122</f>
        <v>21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55</v>
      </c>
      <c r="B125" s="179">
        <f>'Données projet'!D123</f>
        <v>18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60</v>
      </c>
      <c r="B126" s="179">
        <f>'Données projet'!D124</f>
        <v>17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65</v>
      </c>
      <c r="B127" s="179">
        <f>'Données projet'!D125</f>
        <v>16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70</v>
      </c>
      <c r="B128" s="179">
        <f>'Données projet'!D126</f>
        <v>15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75</v>
      </c>
      <c r="B129" s="179">
        <f>'Données projet'!D127</f>
        <v>14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80</v>
      </c>
      <c r="B130" s="179">
        <f>'Données projet'!D128</f>
        <v>13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Chêne sessile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2748.4962049335863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>
        <v>574.83870967741939</v>
      </c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>
        <v>574.83870967741939</v>
      </c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>
        <v>574.83870967741939</v>
      </c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>
        <v>574.83870967741939</v>
      </c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20</v>
      </c>
      <c r="B147" s="173">
        <f>'Données projet'!D140</f>
        <v>6</v>
      </c>
      <c r="C147" s="189">
        <v>15</v>
      </c>
      <c r="D147" s="180">
        <f>B147*C147</f>
        <v>90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25</v>
      </c>
      <c r="B148" s="173">
        <f>'Données projet'!D141</f>
        <v>28</v>
      </c>
      <c r="C148" s="189">
        <v>15</v>
      </c>
      <c r="D148" s="180">
        <f t="shared" ref="D148:D166" si="10">B148*C148</f>
        <v>420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30</v>
      </c>
      <c r="B149" s="173">
        <f>'Données projet'!D142</f>
        <v>28</v>
      </c>
      <c r="C149" s="189">
        <v>15</v>
      </c>
      <c r="D149" s="180">
        <f t="shared" si="10"/>
        <v>420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35</v>
      </c>
      <c r="B150" s="173">
        <f>'Données projet'!D143</f>
        <v>28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40</v>
      </c>
      <c r="B151" s="173">
        <f>'Données projet'!D144</f>
        <v>28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45</v>
      </c>
      <c r="B152" s="173">
        <f>'Données projet'!D145</f>
        <v>28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50</v>
      </c>
      <c r="B153" s="173">
        <f>'Données projet'!D146</f>
        <v>28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55</v>
      </c>
      <c r="B154" s="173">
        <f>'Données projet'!D147</f>
        <v>28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60</v>
      </c>
      <c r="B155" s="173">
        <f>'Données projet'!D148</f>
        <v>28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65</v>
      </c>
      <c r="B156" s="173">
        <f>'Données projet'!D149</f>
        <v>28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70</v>
      </c>
      <c r="B157" s="173">
        <f>'Données projet'!D150</f>
        <v>28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75</v>
      </c>
      <c r="B158" s="173">
        <f>'Données projet'!D151</f>
        <v>28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80</v>
      </c>
      <c r="B159" s="173">
        <f>'Données projet'!D152</f>
        <v>28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85</v>
      </c>
      <c r="B160" s="173">
        <f>'Données projet'!D153</f>
        <v>28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90</v>
      </c>
      <c r="B161" s="173">
        <f>'Données projet'!D154</f>
        <v>28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95</v>
      </c>
      <c r="B162" s="173">
        <f>'Données projet'!D155</f>
        <v>28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100</v>
      </c>
      <c r="B163" s="173">
        <f>'Données projet'!D156</f>
        <v>27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105</v>
      </c>
      <c r="B164" s="173">
        <f>'Données projet'!D157</f>
        <v>26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110</v>
      </c>
      <c r="B165" s="173">
        <f>'Données projet'!D158</f>
        <v>25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115</v>
      </c>
      <c r="B166" s="173">
        <f>'Données projet'!D159</f>
        <v>24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Chêne pédonculé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2485.713399503722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>
        <v>574.83870967741939</v>
      </c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>
        <v>574.83870967741939</v>
      </c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>
        <v>574.83870967741939</v>
      </c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>
        <v>574.83870967741939</v>
      </c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20</v>
      </c>
      <c r="B178" s="179">
        <f>'Données projet'!D166</f>
        <v>6</v>
      </c>
      <c r="C178" s="191">
        <v>15</v>
      </c>
      <c r="D178" s="177">
        <f>B178*C178</f>
        <v>90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25</v>
      </c>
      <c r="B179" s="179">
        <f>'Données projet'!D167</f>
        <v>28</v>
      </c>
      <c r="C179" s="191">
        <v>15</v>
      </c>
      <c r="D179" s="177">
        <f t="shared" ref="D179:D197" si="11">B179*C179</f>
        <v>420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30</v>
      </c>
      <c r="B180" s="179">
        <f>'Données projet'!D168</f>
        <v>28</v>
      </c>
      <c r="C180" s="191">
        <v>15</v>
      </c>
      <c r="D180" s="177">
        <f t="shared" si="11"/>
        <v>420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35</v>
      </c>
      <c r="B181" s="179">
        <f>'Données projet'!D169</f>
        <v>28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40</v>
      </c>
      <c r="B182" s="179">
        <f>'Données projet'!D170</f>
        <v>28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45</v>
      </c>
      <c r="B183" s="179">
        <f>'Données projet'!D171</f>
        <v>28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50</v>
      </c>
      <c r="B184" s="179">
        <f>'Données projet'!D172</f>
        <v>28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55</v>
      </c>
      <c r="B185" s="179">
        <f>'Données projet'!D173</f>
        <v>28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60</v>
      </c>
      <c r="B186" s="179">
        <f>'Données projet'!D174</f>
        <v>28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65</v>
      </c>
      <c r="B187" s="179">
        <f>'Données projet'!D175</f>
        <v>28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70</v>
      </c>
      <c r="B188" s="179">
        <f>'Données projet'!D176</f>
        <v>28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75</v>
      </c>
      <c r="B189" s="179">
        <f>'Données projet'!D177</f>
        <v>28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80</v>
      </c>
      <c r="B190" s="179">
        <f>'Données projet'!D178</f>
        <v>28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85</v>
      </c>
      <c r="B191" s="179">
        <f>'Données projet'!D179</f>
        <v>28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90</v>
      </c>
      <c r="B192" s="179">
        <f>'Données projet'!D180</f>
        <v>28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95</v>
      </c>
      <c r="B193" s="179">
        <f>'Données projet'!D181</f>
        <v>28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100</v>
      </c>
      <c r="B194" s="179">
        <f>'Données projet'!D182</f>
        <v>27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105</v>
      </c>
      <c r="B195" s="179">
        <f>'Données projet'!D183</f>
        <v>26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110</v>
      </c>
      <c r="B196" s="179">
        <f>'Données projet'!D184</f>
        <v>25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115</v>
      </c>
      <c r="B197" s="179">
        <f>'Données projet'!D185</f>
        <v>24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Douglas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1510.0262776368254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>
        <v>574.83870967741939</v>
      </c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>
        <v>574.83870967741939</v>
      </c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>
        <v>574.83870967741939</v>
      </c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>
        <v>574.83870967741939</v>
      </c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19</v>
      </c>
      <c r="B209" s="179">
        <f>'Données projet'!D192</f>
        <v>0</v>
      </c>
      <c r="C209" s="191">
        <v>10</v>
      </c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25</v>
      </c>
      <c r="B210" s="179">
        <f>'Données projet'!D193</f>
        <v>54</v>
      </c>
      <c r="C210" s="191">
        <v>10</v>
      </c>
      <c r="D210" s="177">
        <f t="shared" ref="D210:D228" si="12">B210*C210</f>
        <v>540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30</v>
      </c>
      <c r="B211" s="179">
        <f>'Données projet'!D194</f>
        <v>54</v>
      </c>
      <c r="C211" s="191">
        <v>10</v>
      </c>
      <c r="D211" s="177">
        <f t="shared" si="12"/>
        <v>540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35</v>
      </c>
      <c r="B212" s="179">
        <f>'Données projet'!D195</f>
        <v>69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40</v>
      </c>
      <c r="B213" s="179">
        <f>'Données projet'!D196</f>
        <v>72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45</v>
      </c>
      <c r="B214" s="179">
        <f>'Données projet'!D197</f>
        <v>66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50</v>
      </c>
      <c r="B215" s="179">
        <f>'Données projet'!D198</f>
        <v>48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55</v>
      </c>
      <c r="B216" s="179">
        <f>'Données projet'!D199</f>
        <v>35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60</v>
      </c>
      <c r="B217" s="179">
        <f>'Données projet'!D200</f>
        <v>29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2023-06-01T09:47:30Z</dcterms:modified>
</cp:coreProperties>
</file>