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54546af64a26a65e/Bureau/"/>
    </mc:Choice>
  </mc:AlternateContent>
  <xr:revisionPtr revIDLastSave="0" documentId="8_{C3FCFABE-74FD-4560-A94A-3DD8AE1A6314}" xr6:coauthVersionLast="47" xr6:coauthVersionMax="47" xr10:uidLastSave="{00000000-0000-0000-0000-000000000000}"/>
  <bookViews>
    <workbookView xWindow="-120" yWindow="-120" windowWidth="29040" windowHeight="15720" tabRatio="866" firstSheet="1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6" l="1"/>
  <c r="C179" i="6"/>
  <c r="C180" i="6"/>
  <c r="C181" i="6"/>
  <c r="C182" i="6"/>
  <c r="C178" i="6"/>
  <c r="C148" i="6"/>
  <c r="C149" i="6"/>
  <c r="C150" i="6"/>
  <c r="C151" i="6"/>
  <c r="C152" i="6"/>
  <c r="C153" i="6"/>
  <c r="C154" i="6"/>
  <c r="C147" i="6"/>
  <c r="C86" i="6"/>
  <c r="C87" i="6"/>
  <c r="C88" i="6"/>
  <c r="C89" i="6"/>
  <c r="C90" i="6"/>
  <c r="C91" i="6"/>
  <c r="C92" i="6"/>
  <c r="C93" i="6"/>
  <c r="C94" i="6"/>
  <c r="C95" i="6"/>
  <c r="C96" i="6"/>
  <c r="C97" i="6"/>
  <c r="C85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16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54" i="6"/>
  <c r="C23" i="6"/>
  <c r="E17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29" i="6"/>
  <c r="C130" i="6"/>
  <c r="C131" i="6"/>
  <c r="C132" i="6"/>
  <c r="C133" i="6"/>
  <c r="C134" i="6"/>
  <c r="C135" i="6"/>
  <c r="C98" i="6"/>
  <c r="C99" i="6"/>
  <c r="C100" i="6"/>
  <c r="C101" i="6"/>
  <c r="C102" i="6"/>
  <c r="C103" i="6"/>
  <c r="C104" i="6"/>
  <c r="C72" i="6"/>
  <c r="C73" i="6"/>
  <c r="C41" i="6"/>
  <c r="C42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HI7" i="2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G10" i="2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G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EW33" i="2" s="1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V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G38" i="2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G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A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A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HH130" i="2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A155" i="2"/>
  <c r="ED155" i="2" s="1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DH156" i="2" l="1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X157" i="2"/>
  <c r="EC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HI159" i="2"/>
  <c r="EC159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HG160" i="2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EB161" i="2"/>
  <c r="ED160" i="2"/>
  <c r="AB161" i="2"/>
  <c r="HH161" i="2"/>
  <c r="FS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C162" i="2"/>
  <c r="EW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B163" i="2"/>
  <c r="EV163" i="2"/>
  <c r="EA163" i="2"/>
  <c r="ED163" i="2" s="1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A164" i="2" l="1"/>
  <c r="DH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EC166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FR167" i="2"/>
  <c r="EC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DI167" i="2"/>
  <c r="EW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ED171" i="2" s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W172" i="2"/>
  <c r="HG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HI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A179" i="2" l="1"/>
  <c r="DF179" i="2"/>
  <c r="EB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 l="1"/>
  <c r="EA185" i="2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EW186" i="2"/>
  <c r="HH186" i="2"/>
  <c r="HG186" i="2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B189" i="2"/>
  <c r="EV189" i="2"/>
  <c r="EY189" i="2" s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I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B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B193" i="2"/>
  <c r="EA193" i="2"/>
  <c r="ED193" i="2" s="1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D194" i="2" s="1"/>
  <c r="CN193" i="2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EW197" i="2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B201" i="2" l="1"/>
  <c r="DI200" i="2"/>
  <c r="HG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D201" i="2" l="1"/>
  <c r="HI202" i="2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41" i="2" a="1"/>
  <c r="DN41" i="2" s="1"/>
  <c r="DN29" i="2" a="1"/>
  <c r="DN29" i="2" s="1"/>
  <c r="DN115" i="2" a="1"/>
  <c r="DN115" i="2" s="1"/>
  <c r="DN177" i="2" a="1"/>
  <c r="DN177" i="2" s="1"/>
  <c r="CS116" i="2" a="1"/>
  <c r="CS116" i="2" s="1"/>
  <c r="EI195" i="2" a="1"/>
  <c r="EI195" i="2" s="1"/>
  <c r="CS137" i="2" a="1"/>
  <c r="CS137" i="2" s="1"/>
  <c r="CS77" i="2" a="1"/>
  <c r="CS77" i="2" s="1"/>
  <c r="AH166" i="2" a="1"/>
  <c r="AH166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AH151" i="2" l="1" a="1"/>
  <c r="AH151" i="2" s="1"/>
  <c r="AH163" i="2" a="1"/>
  <c r="AH163" i="2" s="1"/>
  <c r="AH62" i="2" a="1"/>
  <c r="AH62" i="2" s="1"/>
  <c r="BX107" i="2" a="1"/>
  <c r="BX107" i="2" s="1"/>
  <c r="BC68" i="2" a="1"/>
  <c r="BC68" i="2" s="1"/>
  <c r="BP203" i="2"/>
  <c r="DN103" i="2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I203" i="2" s="1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CN203" i="2" s="1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<sst xmlns="http://schemas.openxmlformats.org/spreadsheetml/2006/main" count="1175" uniqueCount="324">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</sst>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152.31425123991514</c:v>
                </c:pt>
                <c:pt idx="27">
                  <c:v>162.93487032621877</c:v>
                </c:pt>
                <c:pt idx="28">
                  <c:v>173.53911854728722</c:v>
                </c:pt>
                <c:pt idx="29">
                  <c:v>184.12813820679631</c:v>
                </c:pt>
                <c:pt idx="30">
                  <c:v>194.7029293179402</c:v>
                </c:pt>
                <c:pt idx="31">
                  <c:v>202.13640047813931</c:v>
                </c:pt>
                <c:pt idx="32">
                  <c:v>209.5635422593634</c:v>
                </c:pt>
                <c:pt idx="33">
                  <c:v>216.98461093840606</c:v>
                </c:pt>
                <c:pt idx="34">
                  <c:v>224.39984380548495</c:v>
                </c:pt>
                <c:pt idx="35">
                  <c:v>231.8094611658297</c:v>
                </c:pt>
                <c:pt idx="36">
                  <c:v>207.2187969065412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503.59197136026643</c:v>
                </c:pt>
                <c:pt idx="92">
                  <c:v>508.95671334809748</c:v>
                </c:pt>
                <c:pt idx="93">
                  <c:v>514.32026043494204</c:v>
                </c:pt>
                <c:pt idx="94">
                  <c:v>519.68262684712829</c:v>
                </c:pt>
                <c:pt idx="95">
                  <c:v>525.04382649327329</c:v>
                </c:pt>
                <c:pt idx="96">
                  <c:v>530.40387297462291</c:v>
                </c:pt>
                <c:pt idx="97">
                  <c:v>535.76277959494882</c:v>
                </c:pt>
                <c:pt idx="98">
                  <c:v>541.12055937003311</c:v>
                </c:pt>
                <c:pt idx="99">
                  <c:v>546.47722503675357</c:v>
                </c:pt>
                <c:pt idx="100">
                  <c:v>551.83278906179714</c:v>
                </c:pt>
                <c:pt idx="101">
                  <c:v>516.23552610410309</c:v>
                </c:pt>
                <c:pt idx="102">
                  <c:v>520.83155309732092</c:v>
                </c:pt>
                <c:pt idx="103">
                  <c:v>525.42672503969095</c:v>
                </c:pt>
                <c:pt idx="104">
                  <c:v>530.02105046908639</c:v>
                </c:pt>
                <c:pt idx="105">
                  <c:v>534.61453776319513</c:v>
                </c:pt>
                <c:pt idx="106">
                  <c:v>539.20719514390589</c:v>
                </c:pt>
                <c:pt idx="107">
                  <c:v>543.7990306815376</c:v>
                </c:pt>
                <c:pt idx="108">
                  <c:v>548.39005229891814</c:v>
                </c:pt>
                <c:pt idx="109">
                  <c:v>552.98026777532004</c:v>
                </c:pt>
                <c:pt idx="110">
                  <c:v>557.56968475025735</c:v>
                </c:pt>
                <c:pt idx="111">
                  <c:v>524.85237501410757</c:v>
                </c:pt>
                <c:pt idx="112">
                  <c:v>528.48970219589626</c:v>
                </c:pt>
                <c:pt idx="113">
                  <c:v>532.12650235188346</c:v>
                </c:pt>
                <c:pt idx="114">
                  <c:v>535.76277959494826</c:v>
                </c:pt>
                <c:pt idx="115">
                  <c:v>539.39853797754631</c:v>
                </c:pt>
                <c:pt idx="116">
                  <c:v>543.03378149300579</c:v>
                </c:pt>
                <c:pt idx="117">
                  <c:v>546.66851407678973</c:v>
                </c:pt>
                <c:pt idx="118">
                  <c:v>550.30273960772229</c:v>
                </c:pt>
                <c:pt idx="119">
                  <c:v>553.93646190918116</c:v>
                </c:pt>
                <c:pt idx="120">
                  <c:v>557.5696847502569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170.20243745871741</c:v>
                </c:pt>
                <c:pt idx="27">
                  <c:v>182.07368538348692</c:v>
                </c:pt>
                <c:pt idx="28">
                  <c:v>193.9268283761636</c:v>
                </c:pt>
                <c:pt idx="29">
                  <c:v>205.7631297377508</c:v>
                </c:pt>
                <c:pt idx="30">
                  <c:v>217.58369540679939</c:v>
                </c:pt>
                <c:pt idx="31">
                  <c:v>225.89297020726841</c:v>
                </c:pt>
                <c:pt idx="32">
                  <c:v>234.19524519588359</c:v>
                </c:pt>
                <c:pt idx="33">
                  <c:v>242.49080379529093</c:v>
                </c:pt>
                <c:pt idx="34">
                  <c:v>250.77990843042721</c:v>
                </c:pt>
                <c:pt idx="35">
                  <c:v>259.06280274212457</c:v>
                </c:pt>
                <c:pt idx="36">
                  <c:v>231.57421272848478</c:v>
                </c:pt>
                <c:pt idx="37">
                  <c:v>249.9076676355476</c:v>
                </c:pt>
                <c:pt idx="38">
                  <c:v>268.21062796009528</c:v>
                </c:pt>
                <c:pt idx="39">
                  <c:v>286.48546717612544</c:v>
                </c:pt>
                <c:pt idx="40">
                  <c:v>304.73423115701877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405.56917103469476</c:v>
                </c:pt>
                <c:pt idx="57">
                  <c:v>421.95854377334393</c:v>
                </c:pt>
                <c:pt idx="58">
                  <c:v>438.33421494585309</c:v>
                </c:pt>
                <c:pt idx="59">
                  <c:v>454.69676831549214</c:v>
                </c:pt>
                <c:pt idx="60">
                  <c:v>471.04674221919896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472.76708100439259</c:v>
                </c:pt>
                <c:pt idx="67">
                  <c:v>487.38463458913128</c:v>
                </c:pt>
                <c:pt idx="68">
                  <c:v>501.99288641186791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499.41562163511867</c:v>
                </c:pt>
                <c:pt idx="72">
                  <c:v>512.72849407236004</c:v>
                </c:pt>
                <c:pt idx="73">
                  <c:v>526.034069299154</c:v>
                </c:pt>
                <c:pt idx="74">
                  <c:v>539.33255785121992</c:v>
                </c:pt>
                <c:pt idx="75">
                  <c:v>552.62415903802309</c:v>
                </c:pt>
                <c:pt idx="76">
                  <c:v>520.45518659727634</c:v>
                </c:pt>
                <c:pt idx="77">
                  <c:v>533.32765337796286</c:v>
                </c:pt>
                <c:pt idx="78">
                  <c:v>546.193586977059</c:v>
                </c:pt>
                <c:pt idx="79">
                  <c:v>559.05316293312762</c:v>
                </c:pt>
                <c:pt idx="80">
                  <c:v>571.90654805285897</c:v>
                </c:pt>
                <c:pt idx="81">
                  <c:v>539.3325578512198</c:v>
                </c:pt>
                <c:pt idx="82">
                  <c:v>551.7668404903385</c:v>
                </c:pt>
                <c:pt idx="83">
                  <c:v>564.19525081895074</c:v>
                </c:pt>
                <c:pt idx="84">
                  <c:v>576.61793639178723</c:v>
                </c:pt>
                <c:pt idx="85">
                  <c:v>589.03503788906914</c:v>
                </c:pt>
                <c:pt idx="86">
                  <c:v>555.62455474096134</c:v>
                </c:pt>
                <c:pt idx="87">
                  <c:v>567.19434879973289</c:v>
                </c:pt>
                <c:pt idx="88">
                  <c:v>578.75921052572812</c:v>
                </c:pt>
                <c:pt idx="89">
                  <c:v>590.3192523477727</c:v>
                </c:pt>
                <c:pt idx="90">
                  <c:v>601.87458193334112</c:v>
                </c:pt>
                <c:pt idx="91">
                  <c:v>562.90982113451889</c:v>
                </c:pt>
                <c:pt idx="92">
                  <c:v>568.90797010861957</c:v>
                </c:pt>
                <c:pt idx="93">
                  <c:v>574.90479761309086</c:v>
                </c:pt>
                <c:pt idx="94">
                  <c:v>580.90031938116965</c:v>
                </c:pt>
                <c:pt idx="95">
                  <c:v>586.89455079472907</c:v>
                </c:pt>
                <c:pt idx="96">
                  <c:v>592.88750689571236</c:v>
                </c:pt>
                <c:pt idx="97">
                  <c:v>598.87920239707955</c:v>
                </c:pt>
                <c:pt idx="98">
                  <c:v>604.86965169329608</c:v>
                </c:pt>
                <c:pt idx="99">
                  <c:v>610.85886887038032</c:v>
                </c:pt>
                <c:pt idx="100">
                  <c:v>616.84686771553982</c:v>
                </c:pt>
                <c:pt idx="101">
                  <c:v>577.04620447443256</c:v>
                </c:pt>
                <c:pt idx="102">
                  <c:v>582.18490565036154</c:v>
                </c:pt>
                <c:pt idx="103">
                  <c:v>587.32266120507177</c:v>
                </c:pt>
                <c:pt idx="104">
                  <c:v>592.45948058080182</c:v>
                </c:pt>
                <c:pt idx="105">
                  <c:v>597.59537304263756</c:v>
                </c:pt>
                <c:pt idx="106">
                  <c:v>602.73034768336242</c:v>
                </c:pt>
                <c:pt idx="107">
                  <c:v>607.86441342813578</c:v>
                </c:pt>
                <c:pt idx="108">
                  <c:v>612.99757903900263</c:v>
                </c:pt>
                <c:pt idx="109">
                  <c:v>618.12985311924672</c:v>
                </c:pt>
                <c:pt idx="110">
                  <c:v>623.26124411759019</c:v>
                </c:pt>
                <c:pt idx="111">
                  <c:v>586.68049314993721</c:v>
                </c:pt>
                <c:pt idx="112">
                  <c:v>590.74731089993463</c:v>
                </c:pt>
                <c:pt idx="113">
                  <c:v>594.81354579947129</c:v>
                </c:pt>
                <c:pt idx="114">
                  <c:v>598.87920239707921</c:v>
                </c:pt>
                <c:pt idx="115">
                  <c:v>602.94428517446511</c:v>
                </c:pt>
                <c:pt idx="116">
                  <c:v>607.00879854794687</c:v>
                </c:pt>
                <c:pt idx="117">
                  <c:v>611.07274686984704</c:v>
                </c:pt>
                <c:pt idx="118">
                  <c:v>615.1361344298507</c:v>
                </c:pt>
                <c:pt idx="119">
                  <c:v>619.19896545632253</c:v>
                </c:pt>
                <c:pt idx="120">
                  <c:v>623.26124411758963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162.54181354343532</c:v>
                </c:pt>
                <c:pt idx="27">
                  <c:v>173.87743954337375</c:v>
                </c:pt>
                <c:pt idx="28">
                  <c:v>185.19570097643805</c:v>
                </c:pt>
                <c:pt idx="29">
                  <c:v>196.49780948344781</c:v>
                </c:pt>
                <c:pt idx="30">
                  <c:v>207.78482577779437</c:v>
                </c:pt>
                <c:pt idx="31">
                  <c:v>215.71900389754816</c:v>
                </c:pt>
                <c:pt idx="32">
                  <c:v>223.64646844884351</c:v>
                </c:pt>
                <c:pt idx="33">
                  <c:v>231.56749126432041</c:v>
                </c:pt>
                <c:pt idx="34">
                  <c:v>239.48232403756947</c:v>
                </c:pt>
                <c:pt idx="35">
                  <c:v>247.39120044621509</c:v>
                </c:pt>
                <c:pt idx="36">
                  <c:v>221.14376696934895</c:v>
                </c:pt>
                <c:pt idx="37">
                  <c:v>238.64946815456821</c:v>
                </c:pt>
                <c:pt idx="38">
                  <c:v>256.12592177262371</c:v>
                </c:pt>
                <c:pt idx="39">
                  <c:v>273.5754042390106</c:v>
                </c:pt>
                <c:pt idx="40">
                  <c:v>290.99987776518356</c:v>
                </c:pt>
                <c:pt idx="41">
                  <c:v>264.85390518195561</c:v>
                </c:pt>
                <c:pt idx="42">
                  <c:v>282.29065500591184</c:v>
                </c:pt>
                <c:pt idx="43">
                  <c:v>299.70327852559694</c:v>
                </c:pt>
                <c:pt idx="44">
                  <c:v>317.09337448903153</c:v>
                </c:pt>
                <c:pt idx="45">
                  <c:v>334.46235196533513</c:v>
                </c:pt>
                <c:pt idx="46">
                  <c:v>307.98699565569297</c:v>
                </c:pt>
                <c:pt idx="47">
                  <c:v>324.95330656071548</c:v>
                </c:pt>
                <c:pt idx="48">
                  <c:v>341.90004953828537</c:v>
                </c:pt>
                <c:pt idx="49">
                  <c:v>358.82833079757535</c:v>
                </c:pt>
                <c:pt idx="50">
                  <c:v>375.7391436687796</c:v>
                </c:pt>
                <c:pt idx="51">
                  <c:v>348.92127422322784</c:v>
                </c:pt>
                <c:pt idx="52">
                  <c:v>365.42969930916388</c:v>
                </c:pt>
                <c:pt idx="53">
                  <c:v>381.9218413257197</c:v>
                </c:pt>
                <c:pt idx="54">
                  <c:v>398.39850220884642</c:v>
                </c:pt>
                <c:pt idx="55">
                  <c:v>414.86041216554025</c:v>
                </c:pt>
                <c:pt idx="56">
                  <c:v>387.27841746168315</c:v>
                </c:pt>
                <c:pt idx="57">
                  <c:v>402.92696857125202</c:v>
                </c:pt>
                <c:pt idx="58">
                  <c:v>418.56237841299998</c:v>
                </c:pt>
                <c:pt idx="59">
                  <c:v>434.18520687835763</c:v>
                </c:pt>
                <c:pt idx="60">
                  <c:v>449.7959702900435</c:v>
                </c:pt>
                <c:pt idx="61">
                  <c:v>421.44119734263637</c:v>
                </c:pt>
                <c:pt idx="62">
                  <c:v>436.23993334518991</c:v>
                </c:pt>
                <c:pt idx="63">
                  <c:v>451.02789946978169</c:v>
                </c:pt>
                <c:pt idx="64">
                  <c:v>465.80549848090754</c:v>
                </c:pt>
                <c:pt idx="65">
                  <c:v>480.57310550984766</c:v>
                </c:pt>
                <c:pt idx="66">
                  <c:v>451.43852652349545</c:v>
                </c:pt>
                <c:pt idx="67">
                  <c:v>465.39514621826993</c:v>
                </c:pt>
                <c:pt idx="68">
                  <c:v>479.34284452811448</c:v>
                </c:pt>
                <c:pt idx="69">
                  <c:v>493.28191755597277</c:v>
                </c:pt>
                <c:pt idx="70">
                  <c:v>507.21264330953454</c:v>
                </c:pt>
                <c:pt idx="71">
                  <c:v>476.88212094653812</c:v>
                </c:pt>
                <c:pt idx="72">
                  <c:v>489.59298637351299</c:v>
                </c:pt>
                <c:pt idx="73">
                  <c:v>502.29685299496037</c:v>
                </c:pt>
                <c:pt idx="74">
                  <c:v>514.99392273715944</c:v>
                </c:pt>
                <c:pt idx="75">
                  <c:v>527.68438675921141</c:v>
                </c:pt>
                <c:pt idx="76">
                  <c:v>496.97026394110162</c:v>
                </c:pt>
                <c:pt idx="77">
                  <c:v>509.26059140461626</c:v>
                </c:pt>
                <c:pt idx="78">
                  <c:v>521.5446528480187</c:v>
                </c:pt>
                <c:pt idx="79">
                  <c:v>533.82261663157112</c:v>
                </c:pt>
                <c:pt idx="80">
                  <c:v>546.09464274073559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3.2703410613260862</c:v>
                </c:pt>
                <c:pt idx="2">
                  <c:v>3.9161437254808931</c:v>
                </c:pt>
                <c:pt idx="3">
                  <c:v>4.6899445270810372</c:v>
                </c:pt>
                <c:pt idx="4">
                  <c:v>5.617200485549847</c:v>
                </c:pt>
                <c:pt idx="5">
                  <c:v>6.7284480012868242</c:v>
                </c:pt>
                <c:pt idx="6">
                  <c:v>8.0603193640911446</c:v>
                </c:pt>
                <c:pt idx="7">
                  <c:v>9.6567632502780452</c:v>
                </c:pt>
                <c:pt idx="8">
                  <c:v>11.570510247422023</c:v>
                </c:pt>
                <c:pt idx="9">
                  <c:v>13.864832720969302</c:v>
                </c:pt>
                <c:pt idx="10">
                  <c:v>16.61565828443106</c:v>
                </c:pt>
                <c:pt idx="11">
                  <c:v>19.914108093024186</c:v>
                </c:pt>
                <c:pt idx="12">
                  <c:v>23.869545556641487</c:v>
                </c:pt>
                <c:pt idx="13">
                  <c:v>28.613238351676909</c:v>
                </c:pt>
                <c:pt idx="14">
                  <c:v>34.302757391640604</c:v>
                </c:pt>
                <c:pt idx="15">
                  <c:v>41.127261402376554</c:v>
                </c:pt>
                <c:pt idx="16">
                  <c:v>49.313845791603399</c:v>
                </c:pt>
                <c:pt idx="17">
                  <c:v>59.135170630109862</c:v>
                </c:pt>
                <c:pt idx="18">
                  <c:v>70.918626007223153</c:v>
                </c:pt>
                <c:pt idx="19">
                  <c:v>85.057345270772814</c:v>
                </c:pt>
                <c:pt idx="20">
                  <c:v>102.02343949799173</c:v>
                </c:pt>
                <c:pt idx="21">
                  <c:v>115.24488471715169</c:v>
                </c:pt>
                <c:pt idx="22">
                  <c:v>128.42920528646451</c:v>
                </c:pt>
                <c:pt idx="23">
                  <c:v>141.58075430337479</c:v>
                </c:pt>
                <c:pt idx="24">
                  <c:v>154.70300795717847</c:v>
                </c:pt>
                <c:pt idx="25">
                  <c:v>167.79880331835713</c:v>
                </c:pt>
                <c:pt idx="26">
                  <c:v>180.40404312945904</c:v>
                </c:pt>
                <c:pt idx="27">
                  <c:v>192.98866205877778</c:v>
                </c:pt>
                <c:pt idx="28">
                  <c:v>205.55419504103602</c:v>
                </c:pt>
                <c:pt idx="29">
                  <c:v>218.10197382914805</c:v>
                </c:pt>
                <c:pt idx="30">
                  <c:v>230.63316428689714</c:v>
                </c:pt>
                <c:pt idx="31">
                  <c:v>239.44202608060974</c:v>
                </c:pt>
                <c:pt idx="32">
                  <c:v>248.24350877796402</c:v>
                </c:pt>
                <c:pt idx="33">
                  <c:v>257.03791115884979</c:v>
                </c:pt>
                <c:pt idx="34">
                  <c:v>265.8255098676878</c:v>
                </c:pt>
                <c:pt idx="35">
                  <c:v>274.60656174697812</c:v>
                </c:pt>
                <c:pt idx="36">
                  <c:v>245.46487179097775</c:v>
                </c:pt>
                <c:pt idx="37">
                  <c:v>264.90081208016204</c:v>
                </c:pt>
                <c:pt idx="38">
                  <c:v>284.30460543918787</c:v>
                </c:pt>
                <c:pt idx="39">
                  <c:v>303.67875394863927</c:v>
                </c:pt>
                <c:pt idx="40">
                  <c:v>323.02541433745824</c:v>
                </c:pt>
                <c:pt idx="41">
                  <c:v>293.99524327269938</c:v>
                </c:pt>
                <c:pt idx="42">
                  <c:v>313.35539693038538</c:v>
                </c:pt>
                <c:pt idx="43">
                  <c:v>332.68903260064207</c:v>
                </c:pt>
                <c:pt idx="44">
                  <c:v>351.99790751820518</c:v>
                </c:pt>
                <c:pt idx="45">
                  <c:v>371.28357043570503</c:v>
                </c:pt>
                <c:pt idx="46">
                  <c:v>341.88672353906321</c:v>
                </c:pt>
                <c:pt idx="47">
                  <c:v>360.72516312195717</c:v>
                </c:pt>
                <c:pt idx="48">
                  <c:v>379.54209497418606</c:v>
                </c:pt>
                <c:pt idx="49">
                  <c:v>398.33873496539172</c:v>
                </c:pt>
                <c:pt idx="50">
                  <c:v>417.1161748963454</c:v>
                </c:pt>
                <c:pt idx="51">
                  <c:v>387.33822121677048</c:v>
                </c:pt>
                <c:pt idx="52">
                  <c:v>405.66874423568089</c:v>
                </c:pt>
                <c:pt idx="53">
                  <c:v>423.98137001578152</c:v>
                </c:pt>
                <c:pt idx="54">
                  <c:v>442.27697999035109</c:v>
                </c:pt>
                <c:pt idx="55">
                  <c:v>460.55637675309475</c:v>
                </c:pt>
                <c:pt idx="56">
                  <c:v>429.92926929891951</c:v>
                </c:pt>
                <c:pt idx="57">
                  <c:v>447.30539808561917</c:v>
                </c:pt>
                <c:pt idx="58">
                  <c:v>464.66708288740648</c:v>
                </c:pt>
                <c:pt idx="59">
                  <c:v>482.01493909873869</c:v>
                </c:pt>
                <c:pt idx="60">
                  <c:v>499.34953422631742</c:v>
                </c:pt>
                <c:pt idx="61">
                  <c:v>467.86376222658549</c:v>
                </c:pt>
                <c:pt idx="62">
                  <c:v>484.29655280391279</c:v>
                </c:pt>
                <c:pt idx="63">
                  <c:v>500.71750586625211</c:v>
                </c:pt>
                <c:pt idx="64">
                  <c:v>517.12706410485578</c:v>
                </c:pt>
                <c:pt idx="65">
                  <c:v>533.52563983842992</c:v>
                </c:pt>
                <c:pt idx="66">
                  <c:v>501.17347881997517</c:v>
                </c:pt>
                <c:pt idx="67">
                  <c:v>516.67139318273325</c:v>
                </c:pt>
                <c:pt idx="68">
                  <c:v>532.15950176791512</c:v>
                </c:pt>
                <c:pt idx="69">
                  <c:v>547.63813003167172</c:v>
                </c:pt>
                <c:pt idx="70">
                  <c:v>563.10758354108657</c:v>
                </c:pt>
                <c:pt idx="71">
                  <c:v>529.42700402201569</c:v>
                </c:pt>
                <c:pt idx="72">
                  <c:v>543.54175115137798</c:v>
                </c:pt>
                <c:pt idx="73">
                  <c:v>557.64880567125817</c:v>
                </c:pt>
                <c:pt idx="74">
                  <c:v>571.74838952524453</c:v>
                </c:pt>
                <c:pt idx="75">
                  <c:v>585.84071282237755</c:v>
                </c:pt>
                <c:pt idx="76">
                  <c:v>551.733866142642</c:v>
                </c:pt>
                <c:pt idx="77">
                  <c:v>565.38174692254495</c:v>
                </c:pt>
                <c:pt idx="78">
                  <c:v>579.02274052069401</c:v>
                </c:pt>
                <c:pt idx="79">
                  <c:v>592.65703198720132</c:v>
                </c:pt>
                <c:pt idx="80">
                  <c:v>606.28479716717072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2.0969602945498664</c:v>
                </c:pt>
                <c:pt idx="2">
                  <c:v>2.8357509146838429</c:v>
                </c:pt>
                <c:pt idx="3">
                  <c:v>3.8359251284742251</c:v>
                </c:pt>
                <c:pt idx="4">
                  <c:v>5.1903256844190615</c:v>
                </c:pt>
                <c:pt idx="5">
                  <c:v>7.024894087864042</c:v>
                </c:pt>
                <c:pt idx="6">
                  <c:v>9.5105105028157997</c:v>
                </c:pt>
                <c:pt idx="7">
                  <c:v>12.87908215718568</c:v>
                </c:pt>
                <c:pt idx="8">
                  <c:v>17.445409071329362</c:v>
                </c:pt>
                <c:pt idx="9">
                  <c:v>23.636907491648142</c:v>
                </c:pt>
                <c:pt idx="10">
                  <c:v>32.034022425849251</c:v>
                </c:pt>
                <c:pt idx="11">
                  <c:v>43.425183419861064</c:v>
                </c:pt>
                <c:pt idx="12">
                  <c:v>58.881550703343073</c:v>
                </c:pt>
                <c:pt idx="13">
                  <c:v>79.858696357450455</c:v>
                </c:pt>
                <c:pt idx="14">
                  <c:v>108.33495031942128</c:v>
                </c:pt>
                <c:pt idx="15">
                  <c:v>146.99966348541213</c:v>
                </c:pt>
                <c:pt idx="16">
                  <c:v>156.62739934432412</c:v>
                </c:pt>
                <c:pt idx="17">
                  <c:v>184.39391627214411</c:v>
                </c:pt>
                <c:pt idx="18">
                  <c:v>212.06258976593335</c:v>
                </c:pt>
                <c:pt idx="19">
                  <c:v>239.64799179342674</c:v>
                </c:pt>
                <c:pt idx="20">
                  <c:v>267.16105648727711</c:v>
                </c:pt>
                <c:pt idx="21">
                  <c:v>215.41828493678068</c:v>
                </c:pt>
                <c:pt idx="22">
                  <c:v>244.79583422246174</c:v>
                </c:pt>
                <c:pt idx="23">
                  <c:v>274.09322583636032</c:v>
                </c:pt>
                <c:pt idx="24">
                  <c:v>303.32022941903887</c:v>
                </c:pt>
                <c:pt idx="25">
                  <c:v>332.48457638864602</c:v>
                </c:pt>
                <c:pt idx="26">
                  <c:v>282.56053853494808</c:v>
                </c:pt>
                <c:pt idx="27">
                  <c:v>313.30421540273613</c:v>
                </c:pt>
                <c:pt idx="28">
                  <c:v>343.98098656104861</c:v>
                </c:pt>
                <c:pt idx="29">
                  <c:v>374.5976518491409</c:v>
                </c:pt>
                <c:pt idx="30">
                  <c:v>405.15980898705629</c:v>
                </c:pt>
                <c:pt idx="31">
                  <c:v>355.72415105802401</c:v>
                </c:pt>
                <c:pt idx="32">
                  <c:v>386.57404702087388</c:v>
                </c:pt>
                <c:pt idx="33">
                  <c:v>417.37048455983518</c:v>
                </c:pt>
                <c:pt idx="34">
                  <c:v>448.11795773064387</c:v>
                </c:pt>
                <c:pt idx="35">
                  <c:v>478.82029402342181</c:v>
                </c:pt>
                <c:pt idx="36">
                  <c:v>428.81099672215697</c:v>
                </c:pt>
                <c:pt idx="37">
                  <c:v>458.77990378694136</c:v>
                </c:pt>
                <c:pt idx="38">
                  <c:v>488.70702637244216</c:v>
                </c:pt>
                <c:pt idx="39">
                  <c:v>518.59527948582468</c:v>
                </c:pt>
                <c:pt idx="40">
                  <c:v>548.447215095052</c:v>
                </c:pt>
                <c:pt idx="41">
                  <c:v>496.05594318778844</c:v>
                </c:pt>
                <c:pt idx="42">
                  <c:v>523.40433797268429</c:v>
                </c:pt>
                <c:pt idx="43">
                  <c:v>550.7226327388712</c:v>
                </c:pt>
                <c:pt idx="44">
                  <c:v>578.01252860628688</c:v>
                </c:pt>
                <c:pt idx="45">
                  <c:v>605.27555315774487</c:v>
                </c:pt>
                <c:pt idx="46">
                  <c:v>554.76733354996088</c:v>
                </c:pt>
                <c:pt idx="47">
                  <c:v>580.03291566489941</c:v>
                </c:pt>
                <c:pt idx="48">
                  <c:v>605.27555315774487</c:v>
                </c:pt>
                <c:pt idx="49">
                  <c:v>630.49633633636574</c:v>
                </c:pt>
                <c:pt idx="50">
                  <c:v>655.69626127498725</c:v>
                </c:pt>
                <c:pt idx="51">
                  <c:v>4.4767801741866136E-12</c:v>
                </c:pt>
                <c:pt idx="52">
                  <c:v>4.4767801741866136E-12</c:v>
                </c:pt>
                <c:pt idx="53">
                  <c:v>4.4767801741866136E-12</c:v>
                </c:pt>
                <c:pt idx="54">
                  <c:v>4.4767801741866136E-12</c:v>
                </c:pt>
                <c:pt idx="55">
                  <c:v>4.4767801741866136E-12</c:v>
                </c:pt>
                <c:pt idx="56">
                  <c:v>4.4767801741866136E-12</c:v>
                </c:pt>
                <c:pt idx="57">
                  <c:v>4.4767801741866136E-12</c:v>
                </c:pt>
                <c:pt idx="58">
                  <c:v>4.4767801741866136E-12</c:v>
                </c:pt>
                <c:pt idx="59">
                  <c:v>4.4767801741866136E-12</c:v>
                </c:pt>
                <c:pt idx="60">
                  <c:v>4.4767801741866136E-12</c:v>
                </c:pt>
                <c:pt idx="61">
                  <c:v>4.4767801741866136E-12</c:v>
                </c:pt>
                <c:pt idx="62">
                  <c:v>4.4767801741866136E-12</c:v>
                </c:pt>
                <c:pt idx="63">
                  <c:v>4.4767801741866136E-12</c:v>
                </c:pt>
                <c:pt idx="64">
                  <c:v>4.4767801741866136E-12</c:v>
                </c:pt>
                <c:pt idx="65">
                  <c:v>4.4767801741866136E-12</c:v>
                </c:pt>
                <c:pt idx="66">
                  <c:v>4.4767801741866136E-12</c:v>
                </c:pt>
                <c:pt idx="67">
                  <c:v>4.4767801741866136E-12</c:v>
                </c:pt>
                <c:pt idx="68">
                  <c:v>4.4767801741866136E-12</c:v>
                </c:pt>
                <c:pt idx="69">
                  <c:v>4.4767801741866136E-12</c:v>
                </c:pt>
                <c:pt idx="70">
                  <c:v>4.4767801741866136E-12</c:v>
                </c:pt>
                <c:pt idx="71">
                  <c:v>4.4767801741866136E-12</c:v>
                </c:pt>
                <c:pt idx="72">
                  <c:v>4.4767801741866136E-12</c:v>
                </c:pt>
                <c:pt idx="73">
                  <c:v>4.4767801741866136E-12</c:v>
                </c:pt>
                <c:pt idx="74">
                  <c:v>4.4767801741866136E-12</c:v>
                </c:pt>
                <c:pt idx="75">
                  <c:v>4.4767801741866136E-12</c:v>
                </c:pt>
                <c:pt idx="76">
                  <c:v>4.4767801741866136E-12</c:v>
                </c:pt>
                <c:pt idx="77">
                  <c:v>4.4767801741866136E-12</c:v>
                </c:pt>
                <c:pt idx="78">
                  <c:v>4.4767801741866136E-12</c:v>
                </c:pt>
                <c:pt idx="79">
                  <c:v>4.4767801741866136E-12</c:v>
                </c:pt>
                <c:pt idx="80">
                  <c:v>4.4767801741866136E-12</c:v>
                </c:pt>
                <c:pt idx="81">
                  <c:v>4.4767801741866136E-12</c:v>
                </c:pt>
                <c:pt idx="82">
                  <c:v>4.4767801741866136E-12</c:v>
                </c:pt>
                <c:pt idx="83">
                  <c:v>4.4767801741866136E-12</c:v>
                </c:pt>
                <c:pt idx="84">
                  <c:v>4.4767801741866136E-12</c:v>
                </c:pt>
                <c:pt idx="85">
                  <c:v>4.4767801741866136E-12</c:v>
                </c:pt>
                <c:pt idx="86">
                  <c:v>4.4767801741866136E-12</c:v>
                </c:pt>
                <c:pt idx="87">
                  <c:v>4.4767801741866136E-12</c:v>
                </c:pt>
                <c:pt idx="88">
                  <c:v>4.4767801741866136E-12</c:v>
                </c:pt>
                <c:pt idx="89">
                  <c:v>4.4767801741866136E-12</c:v>
                </c:pt>
                <c:pt idx="90">
                  <c:v>4.4767801741866136E-12</c:v>
                </c:pt>
                <c:pt idx="91">
                  <c:v>4.4767801741866136E-12</c:v>
                </c:pt>
                <c:pt idx="92">
                  <c:v>4.4767801741866136E-12</c:v>
                </c:pt>
                <c:pt idx="93">
                  <c:v>4.4767801741866136E-12</c:v>
                </c:pt>
                <c:pt idx="94">
                  <c:v>4.4767801741866136E-12</c:v>
                </c:pt>
                <c:pt idx="95">
                  <c:v>4.4767801741866136E-12</c:v>
                </c:pt>
                <c:pt idx="96">
                  <c:v>4.4767801741866136E-12</c:v>
                </c:pt>
                <c:pt idx="97">
                  <c:v>4.4767801741866136E-12</c:v>
                </c:pt>
                <c:pt idx="98">
                  <c:v>4.4767801741866136E-12</c:v>
                </c:pt>
                <c:pt idx="99">
                  <c:v>4.4767801741866136E-12</c:v>
                </c:pt>
                <c:pt idx="100">
                  <c:v>4.4767801741866136E-12</c:v>
                </c:pt>
                <c:pt idx="101">
                  <c:v>4.4767801741866136E-12</c:v>
                </c:pt>
                <c:pt idx="102">
                  <c:v>4.4767801741866136E-12</c:v>
                </c:pt>
                <c:pt idx="103">
                  <c:v>4.4767801741866136E-12</c:v>
                </c:pt>
                <c:pt idx="104">
                  <c:v>4.4767801741866136E-12</c:v>
                </c:pt>
                <c:pt idx="105">
                  <c:v>4.4767801741866136E-12</c:v>
                </c:pt>
                <c:pt idx="106">
                  <c:v>4.4767801741866136E-12</c:v>
                </c:pt>
                <c:pt idx="107">
                  <c:v>4.4767801741866136E-12</c:v>
                </c:pt>
                <c:pt idx="108">
                  <c:v>4.4767801741866136E-12</c:v>
                </c:pt>
                <c:pt idx="109">
                  <c:v>4.4767801741866136E-12</c:v>
                </c:pt>
                <c:pt idx="110">
                  <c:v>4.4767801741866136E-12</c:v>
                </c:pt>
                <c:pt idx="111">
                  <c:v>4.4767801741866136E-12</c:v>
                </c:pt>
                <c:pt idx="112">
                  <c:v>4.4767801741866136E-12</c:v>
                </c:pt>
                <c:pt idx="113">
                  <c:v>4.4767801741866136E-12</c:v>
                </c:pt>
                <c:pt idx="114">
                  <c:v>4.4767801741866136E-12</c:v>
                </c:pt>
                <c:pt idx="115">
                  <c:v>4.4767801741866136E-12</c:v>
                </c:pt>
                <c:pt idx="116">
                  <c:v>4.4767801741866136E-12</c:v>
                </c:pt>
                <c:pt idx="117">
                  <c:v>4.4767801741866136E-12</c:v>
                </c:pt>
                <c:pt idx="118">
                  <c:v>4.4767801741866136E-12</c:v>
                </c:pt>
                <c:pt idx="119">
                  <c:v>4.4767801741866136E-12</c:v>
                </c:pt>
                <c:pt idx="120">
                  <c:v>4.4767801741866136E-12</c:v>
                </c:pt>
                <c:pt idx="121">
                  <c:v>4.4767801741866136E-12</c:v>
                </c:pt>
                <c:pt idx="122">
                  <c:v>4.4767801741866136E-12</c:v>
                </c:pt>
                <c:pt idx="123">
                  <c:v>4.4767801741866136E-12</c:v>
                </c:pt>
                <c:pt idx="124">
                  <c:v>4.4767801741866136E-12</c:v>
                </c:pt>
                <c:pt idx="125">
                  <c:v>4.4767801741866136E-12</c:v>
                </c:pt>
                <c:pt idx="126">
                  <c:v>4.4767801741866136E-12</c:v>
                </c:pt>
                <c:pt idx="127">
                  <c:v>4.4767801741866136E-12</c:v>
                </c:pt>
                <c:pt idx="128">
                  <c:v>4.4767801741866136E-12</c:v>
                </c:pt>
                <c:pt idx="129">
                  <c:v>4.4767801741866136E-12</c:v>
                </c:pt>
                <c:pt idx="130">
                  <c:v>4.4767801741866136E-12</c:v>
                </c:pt>
                <c:pt idx="131">
                  <c:v>4.4767801741866136E-12</c:v>
                </c:pt>
                <c:pt idx="132">
                  <c:v>4.4767801741866136E-12</c:v>
                </c:pt>
                <c:pt idx="133">
                  <c:v>4.4767801741866136E-12</c:v>
                </c:pt>
                <c:pt idx="134">
                  <c:v>4.4767801741866136E-12</c:v>
                </c:pt>
                <c:pt idx="135">
                  <c:v>4.4767801741866136E-12</c:v>
                </c:pt>
                <c:pt idx="136">
                  <c:v>4.4767801741866136E-12</c:v>
                </c:pt>
                <c:pt idx="137">
                  <c:v>4.4767801741866136E-12</c:v>
                </c:pt>
                <c:pt idx="138">
                  <c:v>4.4767801741866136E-12</c:v>
                </c:pt>
                <c:pt idx="139">
                  <c:v>4.4767801741866136E-12</c:v>
                </c:pt>
                <c:pt idx="140">
                  <c:v>4.4767801741866136E-12</c:v>
                </c:pt>
                <c:pt idx="141">
                  <c:v>4.4767801741866136E-12</c:v>
                </c:pt>
                <c:pt idx="142">
                  <c:v>4.4767801741866136E-12</c:v>
                </c:pt>
                <c:pt idx="143">
                  <c:v>4.4767801741866136E-12</c:v>
                </c:pt>
                <c:pt idx="144">
                  <c:v>4.4767801741866136E-12</c:v>
                </c:pt>
                <c:pt idx="145">
                  <c:v>4.4767801741866136E-12</c:v>
                </c:pt>
                <c:pt idx="146">
                  <c:v>4.4767801741866136E-12</c:v>
                </c:pt>
                <c:pt idx="147">
                  <c:v>4.4767801741866136E-12</c:v>
                </c:pt>
                <c:pt idx="148">
                  <c:v>4.4767801741866136E-12</c:v>
                </c:pt>
                <c:pt idx="149">
                  <c:v>4.4767801741866136E-12</c:v>
                </c:pt>
                <c:pt idx="150">
                  <c:v>4.4767801741866136E-12</c:v>
                </c:pt>
                <c:pt idx="151">
                  <c:v>4.4767801741866136E-12</c:v>
                </c:pt>
                <c:pt idx="152">
                  <c:v>4.4767801741866136E-12</c:v>
                </c:pt>
                <c:pt idx="153">
                  <c:v>4.4767801741866136E-12</c:v>
                </c:pt>
                <c:pt idx="154">
                  <c:v>4.4767801741866136E-12</c:v>
                </c:pt>
                <c:pt idx="155">
                  <c:v>4.4767801741866136E-12</c:v>
                </c:pt>
                <c:pt idx="156">
                  <c:v>4.4767801741866136E-12</c:v>
                </c:pt>
                <c:pt idx="157">
                  <c:v>4.4767801741866136E-12</c:v>
                </c:pt>
                <c:pt idx="158">
                  <c:v>4.4767801741866136E-12</c:v>
                </c:pt>
                <c:pt idx="159">
                  <c:v>4.4767801741866136E-12</c:v>
                </c:pt>
                <c:pt idx="160">
                  <c:v>4.4767801741866136E-12</c:v>
                </c:pt>
                <c:pt idx="161">
                  <c:v>4.4767801741866136E-12</c:v>
                </c:pt>
                <c:pt idx="162">
                  <c:v>4.4767801741866136E-12</c:v>
                </c:pt>
                <c:pt idx="163">
                  <c:v>4.4767801741866136E-12</c:v>
                </c:pt>
                <c:pt idx="164">
                  <c:v>4.4767801741866136E-12</c:v>
                </c:pt>
                <c:pt idx="165">
                  <c:v>4.4767801741866136E-12</c:v>
                </c:pt>
                <c:pt idx="166">
                  <c:v>4.4767801741866136E-12</c:v>
                </c:pt>
                <c:pt idx="167">
                  <c:v>4.4767801741866136E-12</c:v>
                </c:pt>
                <c:pt idx="168">
                  <c:v>4.4767801741866136E-12</c:v>
                </c:pt>
                <c:pt idx="169">
                  <c:v>4.4767801741866136E-12</c:v>
                </c:pt>
                <c:pt idx="170">
                  <c:v>4.4767801741866136E-12</c:v>
                </c:pt>
                <c:pt idx="171">
                  <c:v>4.4767801741866136E-12</c:v>
                </c:pt>
                <c:pt idx="172">
                  <c:v>4.4767801741866136E-12</c:v>
                </c:pt>
                <c:pt idx="173">
                  <c:v>4.4767801741866136E-12</c:v>
                </c:pt>
                <c:pt idx="174">
                  <c:v>4.4767801741866136E-12</c:v>
                </c:pt>
                <c:pt idx="175">
                  <c:v>4.4767801741866136E-12</c:v>
                </c:pt>
                <c:pt idx="176">
                  <c:v>4.4767801741866136E-12</c:v>
                </c:pt>
                <c:pt idx="177">
                  <c:v>4.4767801741866136E-12</c:v>
                </c:pt>
                <c:pt idx="178">
                  <c:v>4.4767801741866136E-12</c:v>
                </c:pt>
                <c:pt idx="179">
                  <c:v>4.4767801741866136E-12</c:v>
                </c:pt>
                <c:pt idx="180">
                  <c:v>4.4767801741866136E-12</c:v>
                </c:pt>
                <c:pt idx="181">
                  <c:v>4.4767801741866136E-12</c:v>
                </c:pt>
                <c:pt idx="182">
                  <c:v>4.4767801741866136E-12</c:v>
                </c:pt>
                <c:pt idx="183">
                  <c:v>4.4767801741866136E-12</c:v>
                </c:pt>
                <c:pt idx="184">
                  <c:v>4.4767801741866136E-12</c:v>
                </c:pt>
                <c:pt idx="185">
                  <c:v>4.4767801741866136E-12</c:v>
                </c:pt>
                <c:pt idx="186">
                  <c:v>4.4767801741866136E-12</c:v>
                </c:pt>
                <c:pt idx="187">
                  <c:v>4.4767801741866136E-12</c:v>
                </c:pt>
                <c:pt idx="188">
                  <c:v>4.4767801741866136E-12</c:v>
                </c:pt>
                <c:pt idx="189">
                  <c:v>4.4767801741866136E-12</c:v>
                </c:pt>
                <c:pt idx="190">
                  <c:v>4.4767801741866136E-12</c:v>
                </c:pt>
                <c:pt idx="191">
                  <c:v>4.4767801741866136E-12</c:v>
                </c:pt>
                <c:pt idx="192">
                  <c:v>4.4767801741866136E-12</c:v>
                </c:pt>
                <c:pt idx="193">
                  <c:v>4.4767801741866136E-12</c:v>
                </c:pt>
                <c:pt idx="194">
                  <c:v>4.4767801741866136E-12</c:v>
                </c:pt>
                <c:pt idx="195">
                  <c:v>4.4767801741866136E-12</c:v>
                </c:pt>
                <c:pt idx="196">
                  <c:v>4.4767801741866136E-12</c:v>
                </c:pt>
                <c:pt idx="197">
                  <c:v>4.4767801741866136E-12</c:v>
                </c:pt>
                <c:pt idx="198">
                  <c:v>4.4767801741866136E-12</c:v>
                </c:pt>
                <c:pt idx="199">
                  <c:v>4.4767801741866136E-12</c:v>
                </c:pt>
                <c:pt idx="200">
                  <c:v>4.4767801741866136E-12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1.5540203492146427</c:v>
                </c:pt>
                <c:pt idx="2">
                  <c:v>1.9710595943294553</c:v>
                </c:pt>
                <c:pt idx="3">
                  <c:v>2.5004677305616276</c:v>
                </c:pt>
                <c:pt idx="4">
                  <c:v>3.1726370094050123</c:v>
                </c:pt>
                <c:pt idx="5">
                  <c:v>4.0262090389534713</c:v>
                </c:pt>
                <c:pt idx="6">
                  <c:v>5.1103212885242639</c:v>
                </c:pt>
                <c:pt idx="7">
                  <c:v>6.4874672329145193</c:v>
                </c:pt>
                <c:pt idx="8">
                  <c:v>8.2371382210826081</c:v>
                </c:pt>
                <c:pt idx="9">
                  <c:v>10.460461311885025</c:v>
                </c:pt>
                <c:pt idx="10">
                  <c:v>13.286106181967314</c:v>
                </c:pt>
                <c:pt idx="11">
                  <c:v>16.877809282139697</c:v>
                </c:pt>
                <c:pt idx="12">
                  <c:v>21.443959171001595</c:v>
                </c:pt>
                <c:pt idx="13">
                  <c:v>27.249809096973291</c:v>
                </c:pt>
                <c:pt idx="14">
                  <c:v>34.633038719647061</c:v>
                </c:pt>
                <c:pt idx="15">
                  <c:v>44.023585661760478</c:v>
                </c:pt>
                <c:pt idx="16">
                  <c:v>55.968921241788202</c:v>
                </c:pt>
                <c:pt idx="17">
                  <c:v>71.166268419669663</c:v>
                </c:pt>
                <c:pt idx="18">
                  <c:v>90.503673059387893</c:v>
                </c:pt>
                <c:pt idx="19">
                  <c:v>115.11236680064013</c:v>
                </c:pt>
                <c:pt idx="20">
                  <c:v>146.43353271796309</c:v>
                </c:pt>
                <c:pt idx="21">
                  <c:v>116.8026363404107</c:v>
                </c:pt>
                <c:pt idx="22">
                  <c:v>128.06116259946739</c:v>
                </c:pt>
                <c:pt idx="23">
                  <c:v>139.29572121624975</c:v>
                </c:pt>
                <c:pt idx="24">
                  <c:v>150.5085198437738</c:v>
                </c:pt>
                <c:pt idx="25">
                  <c:v>161.70140970029556</c:v>
                </c:pt>
                <c:pt idx="26">
                  <c:v>172.87596436429328</c:v>
                </c:pt>
                <c:pt idx="27">
                  <c:v>184.03353707055848</c:v>
                </c:pt>
                <c:pt idx="28">
                  <c:v>195.17530334919044</c:v>
                </c:pt>
                <c:pt idx="29">
                  <c:v>206.30229339751153</c:v>
                </c:pt>
                <c:pt idx="30">
                  <c:v>217.41541708927389</c:v>
                </c:pt>
                <c:pt idx="31">
                  <c:v>180.99217685858619</c:v>
                </c:pt>
                <c:pt idx="32">
                  <c:v>195.17530334919044</c:v>
                </c:pt>
                <c:pt idx="33">
                  <c:v>209.33448475693987</c:v>
                </c:pt>
                <c:pt idx="34">
                  <c:v>223.47156942353161</c:v>
                </c:pt>
                <c:pt idx="35">
                  <c:v>237.58815254200749</c:v>
                </c:pt>
                <c:pt idx="36">
                  <c:v>251.68562413487288</c:v>
                </c:pt>
                <c:pt idx="37">
                  <c:v>265.76520570407024</c:v>
                </c:pt>
                <c:pt idx="38">
                  <c:v>279.82797869837384</c:v>
                </c:pt>
                <c:pt idx="39">
                  <c:v>293.8749069529452</c:v>
                </c:pt>
                <c:pt idx="40">
                  <c:v>307.90685461043864</c:v>
                </c:pt>
                <c:pt idx="41">
                  <c:v>271.79410793232609</c:v>
                </c:pt>
                <c:pt idx="42">
                  <c:v>285.8499784841336</c:v>
                </c:pt>
                <c:pt idx="43">
                  <c:v>299.89038593700792</c:v>
                </c:pt>
                <c:pt idx="44">
                  <c:v>313.91615631143901</c:v>
                </c:pt>
                <c:pt idx="45">
                  <c:v>327.92803577212442</c:v>
                </c:pt>
                <c:pt idx="46">
                  <c:v>341.92670150246295</c:v>
                </c:pt>
                <c:pt idx="47">
                  <c:v>355.91277070439509</c:v>
                </c:pt>
                <c:pt idx="48">
                  <c:v>369.88680810922136</c:v>
                </c:pt>
                <c:pt idx="49">
                  <c:v>383.84933229384137</c:v>
                </c:pt>
                <c:pt idx="50">
                  <c:v>397.80082102983079</c:v>
                </c:pt>
                <c:pt idx="51">
                  <c:v>360.90485169292782</c:v>
                </c:pt>
                <c:pt idx="52">
                  <c:v>373.87725393504803</c:v>
                </c:pt>
                <c:pt idx="53">
                  <c:v>386.83985045971798</c:v>
                </c:pt>
                <c:pt idx="54">
                  <c:v>399.79301616201769</c:v>
                </c:pt>
                <c:pt idx="55">
                  <c:v>412.73709966044299</c:v>
                </c:pt>
                <c:pt idx="56">
                  <c:v>425.67242592235567</c:v>
                </c:pt>
                <c:pt idx="57">
                  <c:v>438.59929855364618</c:v>
                </c:pt>
                <c:pt idx="58">
                  <c:v>451.51800180438869</c:v>
                </c:pt>
                <c:pt idx="59">
                  <c:v>464.4288023329982</c:v>
                </c:pt>
                <c:pt idx="60">
                  <c:v>477.33195076400972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5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5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5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5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5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5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5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5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5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5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5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5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5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5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5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5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5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5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8" zoomScale="80" zoomScaleNormal="80" workbookViewId="0">
      <selection activeCell="D117" sqref="D117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7" t="s">
        <v>190</v>
      </c>
      <c r="D1" s="257"/>
      <c r="E1" s="25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7" t="s">
        <v>231</v>
      </c>
      <c r="B5" s="267"/>
      <c r="C5" s="24">
        <v>9.7004999999999999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14</v>
      </c>
      <c r="C9" s="32">
        <v>0.21992900000000001</v>
      </c>
      <c r="D9" s="33">
        <f t="shared" ref="D9:D18" si="0">C9*$C$5</f>
        <v>2.1334212644999999</v>
      </c>
      <c r="E9" s="34">
        <v>120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12</v>
      </c>
      <c r="C10" s="32">
        <v>0.28881200000000001</v>
      </c>
      <c r="D10" s="33">
        <f t="shared" si="0"/>
        <v>2.8016208060000003</v>
      </c>
      <c r="E10" s="34">
        <v>120</v>
      </c>
      <c r="F10" s="35" t="str">
        <f t="array" ref="F10">IF(E10="","",IF(INDEX(A:A,MAX(IF(ISNUMBER($A$62:$A$81),ROW($A$62:$A$81),"")))&lt;&gt;E10,"Corrigez : révolution incorrecte","OK"))</f>
        <v>OK</v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1</v>
      </c>
      <c r="C11" s="32">
        <v>6.3047000000000006E-2</v>
      </c>
      <c r="D11" s="33">
        <f t="shared" si="0"/>
        <v>0.61158742350000006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52</v>
      </c>
      <c r="C12" s="32">
        <v>6.3047000000000006E-2</v>
      </c>
      <c r="D12" s="33">
        <f t="shared" si="0"/>
        <v>0.61158742350000006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35</v>
      </c>
      <c r="C13" s="32">
        <v>7.4692999999999996E-2</v>
      </c>
      <c r="D13" s="33">
        <f t="shared" si="0"/>
        <v>0.72455944649999993</v>
      </c>
      <c r="E13" s="34">
        <v>50</v>
      </c>
      <c r="F13" s="35" t="str">
        <f t="array" ref="F13">IF(E13="","",IF(INDEX(A:A,MAX(IF(ISNUMBER($A$140:$A$159),ROW($A$140:$A$159),"")))&lt;&gt;E13,"Corrigez : révolution incorrecte","OK"))</f>
        <v>OK</v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164</v>
      </c>
      <c r="C14" s="32">
        <v>0.29047200000000001</v>
      </c>
      <c r="D14" s="33">
        <f t="shared" si="0"/>
        <v>2.8177236360000002</v>
      </c>
      <c r="E14" s="34">
        <v>60</v>
      </c>
      <c r="F14" s="35" t="str">
        <f t="array" ref="F14">IF(E14="","",IF(INDEX(A:A,MAX(IF(ISNUMBER($A$166:$A$185),ROW($A$166:$A$185),"")))&lt;&gt;E14,"Corrigez : révolution incorrecte","OK"))</f>
        <v>OK</v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9.7004999999999981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Chêne sessile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20</v>
      </c>
      <c r="B36" s="60">
        <v>42</v>
      </c>
      <c r="C36" s="60">
        <v>1</v>
      </c>
      <c r="D36" s="60">
        <v>0</v>
      </c>
      <c r="E36" s="51">
        <v>0</v>
      </c>
      <c r="F36" s="51"/>
      <c r="G36" s="51"/>
      <c r="H36" s="51">
        <v>1</v>
      </c>
      <c r="I36" s="49">
        <f>IFERROR(B36/A36,"")</f>
        <v>2.1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25</v>
      </c>
      <c r="B37" s="60">
        <v>70</v>
      </c>
      <c r="C37" s="60">
        <v>2</v>
      </c>
      <c r="D37" s="60">
        <v>0</v>
      </c>
      <c r="E37" s="51">
        <v>0</v>
      </c>
      <c r="F37" s="51"/>
      <c r="G37" s="51"/>
      <c r="H37" s="51">
        <v>1</v>
      </c>
      <c r="I37" s="53">
        <f t="shared" ref="I37:I55" si="1">IF(A37&lt;&gt;0,(B37-(B36-D36))/(A37-A36),"")</f>
        <v>5.6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30</v>
      </c>
      <c r="B38" s="60">
        <v>97</v>
      </c>
      <c r="C38" s="60">
        <v>3</v>
      </c>
      <c r="D38" s="60">
        <v>0</v>
      </c>
      <c r="E38" s="51">
        <v>0</v>
      </c>
      <c r="F38" s="51"/>
      <c r="G38" s="51"/>
      <c r="H38" s="51">
        <v>1</v>
      </c>
      <c r="I38" s="53">
        <f t="shared" si="1"/>
        <v>5.4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35</v>
      </c>
      <c r="B39" s="60">
        <v>116</v>
      </c>
      <c r="C39" s="60">
        <v>4</v>
      </c>
      <c r="D39" s="60">
        <v>21</v>
      </c>
      <c r="E39" s="51">
        <v>0</v>
      </c>
      <c r="F39" s="51"/>
      <c r="G39" s="51"/>
      <c r="H39" s="51">
        <v>1</v>
      </c>
      <c r="I39" s="49">
        <f t="shared" si="1"/>
        <v>3.8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40</v>
      </c>
      <c r="B40" s="60">
        <v>137</v>
      </c>
      <c r="C40" s="60">
        <v>5</v>
      </c>
      <c r="D40" s="60">
        <v>21</v>
      </c>
      <c r="E40" s="51">
        <v>0.2</v>
      </c>
      <c r="F40" s="51"/>
      <c r="G40" s="51"/>
      <c r="H40" s="51">
        <v>0.8</v>
      </c>
      <c r="I40" s="49">
        <f t="shared" si="1"/>
        <v>8.4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45</v>
      </c>
      <c r="B41" s="60">
        <v>158</v>
      </c>
      <c r="C41" s="60">
        <v>6</v>
      </c>
      <c r="D41" s="60">
        <v>21</v>
      </c>
      <c r="E41" s="51">
        <v>0.2</v>
      </c>
      <c r="F41" s="51"/>
      <c r="G41" s="51"/>
      <c r="H41" s="51">
        <v>0.8</v>
      </c>
      <c r="I41" s="53">
        <f t="shared" si="1"/>
        <v>8.4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50</v>
      </c>
      <c r="B42" s="60">
        <v>178</v>
      </c>
      <c r="C42" s="60">
        <v>7</v>
      </c>
      <c r="D42" s="60">
        <v>21</v>
      </c>
      <c r="E42" s="51">
        <v>0.3</v>
      </c>
      <c r="F42" s="51"/>
      <c r="G42" s="51"/>
      <c r="H42" s="51">
        <v>0.7</v>
      </c>
      <c r="I42" s="53">
        <f t="shared" si="1"/>
        <v>8.1999999999999993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55</v>
      </c>
      <c r="B43" s="60">
        <v>197</v>
      </c>
      <c r="C43" s="60">
        <v>8</v>
      </c>
      <c r="D43" s="60">
        <v>21</v>
      </c>
      <c r="E43" s="51">
        <v>0.3</v>
      </c>
      <c r="F43" s="51"/>
      <c r="G43" s="51"/>
      <c r="H43" s="51">
        <v>0.7</v>
      </c>
      <c r="I43" s="49">
        <f t="shared" si="1"/>
        <v>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60</v>
      </c>
      <c r="B44" s="60">
        <v>214</v>
      </c>
      <c r="C44" s="60">
        <v>9</v>
      </c>
      <c r="D44" s="60">
        <v>21</v>
      </c>
      <c r="E44" s="51">
        <v>0.4</v>
      </c>
      <c r="F44" s="51"/>
      <c r="G44" s="51"/>
      <c r="H44" s="51">
        <v>0.6</v>
      </c>
      <c r="I44" s="49">
        <f t="shared" si="1"/>
        <v>7.6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65</v>
      </c>
      <c r="B45" s="60">
        <v>229</v>
      </c>
      <c r="C45" s="60">
        <v>10</v>
      </c>
      <c r="D45" s="60">
        <v>21</v>
      </c>
      <c r="E45" s="51">
        <v>0.4</v>
      </c>
      <c r="F45" s="51"/>
      <c r="G45" s="51"/>
      <c r="H45" s="51">
        <v>0.6</v>
      </c>
      <c r="I45" s="49">
        <f t="shared" si="1"/>
        <v>7.2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70</v>
      </c>
      <c r="B46" s="60">
        <v>242</v>
      </c>
      <c r="C46" s="60">
        <v>11</v>
      </c>
      <c r="D46" s="60">
        <v>21</v>
      </c>
      <c r="E46" s="51">
        <v>0.5</v>
      </c>
      <c r="F46" s="51"/>
      <c r="G46" s="51"/>
      <c r="H46" s="51">
        <v>0.5</v>
      </c>
      <c r="I46" s="49">
        <f t="shared" si="1"/>
        <v>6.8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>
        <v>75</v>
      </c>
      <c r="B47" s="60">
        <v>252</v>
      </c>
      <c r="C47" s="60">
        <v>12</v>
      </c>
      <c r="D47" s="60">
        <v>21</v>
      </c>
      <c r="E47" s="51">
        <v>0.5</v>
      </c>
      <c r="F47" s="51"/>
      <c r="G47" s="51"/>
      <c r="H47" s="51">
        <v>0.5</v>
      </c>
      <c r="I47" s="49">
        <f t="shared" si="1"/>
        <v>6.2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>
        <v>80</v>
      </c>
      <c r="B48" s="60">
        <v>261</v>
      </c>
      <c r="C48" s="60">
        <v>13</v>
      </c>
      <c r="D48" s="60">
        <v>21</v>
      </c>
      <c r="E48" s="51">
        <v>0.6</v>
      </c>
      <c r="F48" s="51"/>
      <c r="G48" s="51"/>
      <c r="H48" s="51">
        <v>0.4</v>
      </c>
      <c r="I48" s="49">
        <f t="shared" si="1"/>
        <v>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>
        <v>85</v>
      </c>
      <c r="B49" s="60">
        <v>269</v>
      </c>
      <c r="C49" s="60">
        <v>14</v>
      </c>
      <c r="D49" s="60">
        <v>21</v>
      </c>
      <c r="E49" s="51">
        <v>0.6</v>
      </c>
      <c r="F49" s="51"/>
      <c r="G49" s="51"/>
      <c r="H49" s="51">
        <v>0.4</v>
      </c>
      <c r="I49" s="49">
        <f t="shared" si="1"/>
        <v>5.8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>
        <v>90</v>
      </c>
      <c r="B50" s="50">
        <v>275</v>
      </c>
      <c r="C50" s="50">
        <v>15</v>
      </c>
      <c r="D50" s="50">
        <v>21</v>
      </c>
      <c r="E50" s="51">
        <v>0.7</v>
      </c>
      <c r="F50" s="51"/>
      <c r="G50" s="51"/>
      <c r="H50" s="51">
        <v>0.3</v>
      </c>
      <c r="I50" s="49">
        <f t="shared" si="1"/>
        <v>5.4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>
        <v>100</v>
      </c>
      <c r="B51" s="50">
        <v>282</v>
      </c>
      <c r="C51" s="50">
        <v>16</v>
      </c>
      <c r="D51" s="50">
        <v>21</v>
      </c>
      <c r="E51" s="51">
        <v>0.7</v>
      </c>
      <c r="F51" s="51"/>
      <c r="G51" s="51"/>
      <c r="H51" s="51">
        <v>0.3</v>
      </c>
      <c r="I51" s="49">
        <f t="shared" si="1"/>
        <v>2.8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>
        <v>110</v>
      </c>
      <c r="B52" s="50">
        <v>285</v>
      </c>
      <c r="C52" s="50">
        <v>17</v>
      </c>
      <c r="D52" s="50">
        <v>19</v>
      </c>
      <c r="E52" s="51">
        <v>0.8</v>
      </c>
      <c r="F52" s="51"/>
      <c r="G52" s="51"/>
      <c r="H52" s="51">
        <v>0.2</v>
      </c>
      <c r="I52" s="49">
        <f t="shared" si="1"/>
        <v>2.4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>
        <v>120</v>
      </c>
      <c r="B53" s="50">
        <v>285</v>
      </c>
      <c r="C53" s="50">
        <v>18</v>
      </c>
      <c r="D53" s="50">
        <v>285</v>
      </c>
      <c r="E53" s="51">
        <v>0.8</v>
      </c>
      <c r="F53" s="51"/>
      <c r="G53" s="51"/>
      <c r="H53" s="51">
        <v>0.2</v>
      </c>
      <c r="I53" s="49">
        <f t="shared" si="1"/>
        <v>1.9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Chêne pubescent</v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v>42</v>
      </c>
      <c r="C62" s="60">
        <v>1</v>
      </c>
      <c r="D62" s="60">
        <v>0</v>
      </c>
      <c r="E62" s="51">
        <v>0</v>
      </c>
      <c r="F62" s="51"/>
      <c r="G62" s="51"/>
      <c r="H62" s="51">
        <v>1</v>
      </c>
      <c r="I62" s="53">
        <f>IFERROR(B62/A62,"")</f>
        <v>2.1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25</v>
      </c>
      <c r="B63" s="60">
        <v>70</v>
      </c>
      <c r="C63" s="60">
        <v>2</v>
      </c>
      <c r="D63" s="60">
        <v>0</v>
      </c>
      <c r="E63" s="51">
        <v>0</v>
      </c>
      <c r="F63" s="51"/>
      <c r="G63" s="51"/>
      <c r="H63" s="51">
        <v>1</v>
      </c>
      <c r="I63" s="49">
        <f>IF(A63&lt;&gt;0,(B63-(B62-D62))/(A63-A62),"")</f>
        <v>5.6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30</v>
      </c>
      <c r="B64" s="60">
        <v>97</v>
      </c>
      <c r="C64" s="60">
        <v>3</v>
      </c>
      <c r="D64" s="60">
        <v>0</v>
      </c>
      <c r="E64" s="51">
        <v>0</v>
      </c>
      <c r="F64" s="51"/>
      <c r="G64" s="51"/>
      <c r="H64" s="51">
        <v>1</v>
      </c>
      <c r="I64" s="49">
        <f>IF(A64&lt;&gt;0,(B64-(B63-D63))/(A64-A63),"")</f>
        <v>5.4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35</v>
      </c>
      <c r="B65" s="60">
        <v>116</v>
      </c>
      <c r="C65" s="60">
        <v>4</v>
      </c>
      <c r="D65" s="60">
        <v>21</v>
      </c>
      <c r="E65" s="51">
        <v>0</v>
      </c>
      <c r="F65" s="51"/>
      <c r="G65" s="51"/>
      <c r="H65" s="51">
        <v>1</v>
      </c>
      <c r="I65" s="49">
        <f>IF(A65&lt;&gt;0,(B65-(B64-D64))/(A65-A64),"")</f>
        <v>3.8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40</v>
      </c>
      <c r="B66" s="60">
        <v>137</v>
      </c>
      <c r="C66" s="60">
        <v>5</v>
      </c>
      <c r="D66" s="60">
        <v>21</v>
      </c>
      <c r="E66" s="51">
        <v>0.2</v>
      </c>
      <c r="F66" s="51"/>
      <c r="G66" s="51"/>
      <c r="H66" s="51">
        <v>0.8</v>
      </c>
      <c r="I66" s="49">
        <f t="shared" ref="I66:I81" si="2">IF(A66&lt;&gt;0,(B66-(B65-D65))/(A66-A65),"")</f>
        <v>8.4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45</v>
      </c>
      <c r="B67" s="60">
        <v>158</v>
      </c>
      <c r="C67" s="60">
        <v>6</v>
      </c>
      <c r="D67" s="60">
        <v>21</v>
      </c>
      <c r="E67" s="51">
        <v>0.2</v>
      </c>
      <c r="F67" s="51"/>
      <c r="G67" s="51"/>
      <c r="H67" s="51">
        <v>0.8</v>
      </c>
      <c r="I67" s="49">
        <f t="shared" si="2"/>
        <v>8.4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50</v>
      </c>
      <c r="B68" s="60">
        <v>178</v>
      </c>
      <c r="C68" s="60">
        <v>7</v>
      </c>
      <c r="D68" s="60">
        <v>21</v>
      </c>
      <c r="E68" s="51">
        <v>0.3</v>
      </c>
      <c r="F68" s="51"/>
      <c r="G68" s="51"/>
      <c r="H68" s="51">
        <v>0.7</v>
      </c>
      <c r="I68" s="49">
        <f t="shared" si="2"/>
        <v>8.1999999999999993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55</v>
      </c>
      <c r="B69" s="50">
        <v>197</v>
      </c>
      <c r="C69" s="50">
        <v>8</v>
      </c>
      <c r="D69" s="50">
        <v>21</v>
      </c>
      <c r="E69" s="51">
        <v>0.3</v>
      </c>
      <c r="F69" s="51"/>
      <c r="G69" s="51"/>
      <c r="H69" s="51">
        <v>0.7</v>
      </c>
      <c r="I69" s="49">
        <f t="shared" si="2"/>
        <v>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60</v>
      </c>
      <c r="B70" s="50">
        <v>214</v>
      </c>
      <c r="C70" s="50">
        <v>9</v>
      </c>
      <c r="D70" s="50">
        <v>21</v>
      </c>
      <c r="E70" s="51">
        <v>0.4</v>
      </c>
      <c r="F70" s="51"/>
      <c r="G70" s="51"/>
      <c r="H70" s="51">
        <v>0.6</v>
      </c>
      <c r="I70" s="49">
        <f t="shared" si="2"/>
        <v>7.6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65</v>
      </c>
      <c r="B71" s="50">
        <v>229</v>
      </c>
      <c r="C71" s="50">
        <v>10</v>
      </c>
      <c r="D71" s="50">
        <v>21</v>
      </c>
      <c r="E71" s="51">
        <v>0.4</v>
      </c>
      <c r="F71" s="51"/>
      <c r="G71" s="51"/>
      <c r="H71" s="51">
        <v>0.6</v>
      </c>
      <c r="I71" s="49">
        <f t="shared" si="2"/>
        <v>7.2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70</v>
      </c>
      <c r="B72" s="50">
        <v>242</v>
      </c>
      <c r="C72" s="50">
        <v>11</v>
      </c>
      <c r="D72" s="50">
        <v>21</v>
      </c>
      <c r="E72" s="51">
        <v>0.5</v>
      </c>
      <c r="F72" s="51"/>
      <c r="G72" s="51"/>
      <c r="H72" s="51">
        <v>0.5</v>
      </c>
      <c r="I72" s="49">
        <f t="shared" si="2"/>
        <v>6.8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>
        <v>75</v>
      </c>
      <c r="B73" s="50">
        <v>252</v>
      </c>
      <c r="C73" s="50">
        <v>12</v>
      </c>
      <c r="D73" s="50">
        <v>21</v>
      </c>
      <c r="E73" s="51">
        <v>0.5</v>
      </c>
      <c r="F73" s="51"/>
      <c r="G73" s="51"/>
      <c r="H73" s="51">
        <v>0.5</v>
      </c>
      <c r="I73" s="49">
        <f t="shared" si="2"/>
        <v>6.2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>
        <v>80</v>
      </c>
      <c r="B74" s="50">
        <v>261</v>
      </c>
      <c r="C74" s="50">
        <v>13</v>
      </c>
      <c r="D74" s="50">
        <v>21</v>
      </c>
      <c r="E74" s="51">
        <v>0.6</v>
      </c>
      <c r="F74" s="51"/>
      <c r="G74" s="51"/>
      <c r="H74" s="51">
        <v>0.4</v>
      </c>
      <c r="I74" s="49">
        <f t="shared" si="2"/>
        <v>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>
        <v>85</v>
      </c>
      <c r="B75" s="50">
        <v>269</v>
      </c>
      <c r="C75" s="50">
        <v>14</v>
      </c>
      <c r="D75" s="50">
        <v>21</v>
      </c>
      <c r="E75" s="51">
        <v>0.6</v>
      </c>
      <c r="F75" s="51"/>
      <c r="G75" s="51"/>
      <c r="H75" s="51">
        <v>0.4</v>
      </c>
      <c r="I75" s="49">
        <f t="shared" si="2"/>
        <v>5.8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>
        <v>90</v>
      </c>
      <c r="B76" s="50">
        <v>275</v>
      </c>
      <c r="C76" s="50">
        <v>15</v>
      </c>
      <c r="D76" s="50">
        <v>21</v>
      </c>
      <c r="E76" s="51">
        <v>0.7</v>
      </c>
      <c r="F76" s="51"/>
      <c r="G76" s="51"/>
      <c r="H76" s="51">
        <v>0.3</v>
      </c>
      <c r="I76" s="49">
        <f t="shared" si="2"/>
        <v>5.4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>
        <v>100</v>
      </c>
      <c r="B77" s="50">
        <v>282</v>
      </c>
      <c r="C77" s="50">
        <v>16</v>
      </c>
      <c r="D77" s="50">
        <v>21</v>
      </c>
      <c r="E77" s="51">
        <v>0.7</v>
      </c>
      <c r="F77" s="51"/>
      <c r="G77" s="51"/>
      <c r="H77" s="51">
        <v>0.3</v>
      </c>
      <c r="I77" s="49">
        <f t="shared" si="2"/>
        <v>2.8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>
        <v>110</v>
      </c>
      <c r="B78" s="50">
        <v>285</v>
      </c>
      <c r="C78" s="50">
        <v>17</v>
      </c>
      <c r="D78" s="50">
        <v>19</v>
      </c>
      <c r="E78" s="51">
        <v>0.8</v>
      </c>
      <c r="F78" s="51"/>
      <c r="G78" s="51"/>
      <c r="H78" s="51">
        <v>0.2</v>
      </c>
      <c r="I78" s="49">
        <f t="shared" si="2"/>
        <v>2.4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>
        <v>120</v>
      </c>
      <c r="B79" s="50">
        <v>285</v>
      </c>
      <c r="C79" s="50">
        <v>18</v>
      </c>
      <c r="D79" s="50">
        <v>285</v>
      </c>
      <c r="E79" s="51">
        <v>0.8</v>
      </c>
      <c r="F79" s="51"/>
      <c r="G79" s="51"/>
      <c r="H79" s="51">
        <v>0.2</v>
      </c>
      <c r="I79" s="49">
        <f t="shared" si="2"/>
        <v>1.9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Alisier torminal</v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20</v>
      </c>
      <c r="B88" s="60">
        <v>42</v>
      </c>
      <c r="C88" s="60">
        <v>1</v>
      </c>
      <c r="D88" s="60">
        <v>0</v>
      </c>
      <c r="E88" s="51">
        <v>0</v>
      </c>
      <c r="F88" s="51"/>
      <c r="G88" s="51"/>
      <c r="H88" s="87">
        <v>1</v>
      </c>
      <c r="I88" s="53">
        <f>IFERROR(B88/A88,"")</f>
        <v>2.1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25</v>
      </c>
      <c r="B89" s="60">
        <v>70</v>
      </c>
      <c r="C89" s="60">
        <v>2</v>
      </c>
      <c r="D89" s="60">
        <v>0</v>
      </c>
      <c r="E89" s="51">
        <v>0</v>
      </c>
      <c r="F89" s="51"/>
      <c r="G89" s="51"/>
      <c r="H89" s="87">
        <v>1</v>
      </c>
      <c r="I89" s="53">
        <f t="shared" ref="I89:I107" si="3">IF(A89&lt;&gt;0,(B89-(B88-D88))/(A89-A88),"")</f>
        <v>5.6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30</v>
      </c>
      <c r="B90" s="60">
        <v>97</v>
      </c>
      <c r="C90" s="60">
        <v>3</v>
      </c>
      <c r="D90" s="60">
        <v>0</v>
      </c>
      <c r="E90" s="87">
        <v>0</v>
      </c>
      <c r="F90" s="87"/>
      <c r="G90" s="87"/>
      <c r="H90" s="87">
        <v>1</v>
      </c>
      <c r="I90" s="53">
        <f t="shared" si="3"/>
        <v>5.4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35</v>
      </c>
      <c r="B91" s="60">
        <v>116</v>
      </c>
      <c r="C91" s="60">
        <v>4</v>
      </c>
      <c r="D91" s="60">
        <v>21</v>
      </c>
      <c r="E91" s="87">
        <v>0</v>
      </c>
      <c r="F91" s="87"/>
      <c r="G91" s="87"/>
      <c r="H91" s="87">
        <v>1</v>
      </c>
      <c r="I91" s="53">
        <f t="shared" si="3"/>
        <v>3.8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40</v>
      </c>
      <c r="B92" s="60">
        <v>137</v>
      </c>
      <c r="C92" s="60">
        <v>5</v>
      </c>
      <c r="D92" s="60">
        <v>21</v>
      </c>
      <c r="E92" s="87">
        <v>0.2</v>
      </c>
      <c r="F92" s="87"/>
      <c r="G92" s="87"/>
      <c r="H92" s="87">
        <v>0.8</v>
      </c>
      <c r="I92" s="53">
        <f t="shared" si="3"/>
        <v>8.4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45</v>
      </c>
      <c r="B93" s="60">
        <v>158</v>
      </c>
      <c r="C93" s="60">
        <v>6</v>
      </c>
      <c r="D93" s="60">
        <v>21</v>
      </c>
      <c r="E93" s="87">
        <v>0.2</v>
      </c>
      <c r="F93" s="87"/>
      <c r="G93" s="87"/>
      <c r="H93" s="87">
        <v>0.8</v>
      </c>
      <c r="I93" s="53">
        <f t="shared" si="3"/>
        <v>8.4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50</v>
      </c>
      <c r="B94" s="60">
        <v>178</v>
      </c>
      <c r="C94" s="60">
        <v>7</v>
      </c>
      <c r="D94" s="60">
        <v>21</v>
      </c>
      <c r="E94" s="87">
        <v>0.3</v>
      </c>
      <c r="F94" s="87"/>
      <c r="G94" s="87"/>
      <c r="H94" s="87">
        <v>0.7</v>
      </c>
      <c r="I94" s="53">
        <f t="shared" si="3"/>
        <v>8.1999999999999993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55</v>
      </c>
      <c r="B95" s="60">
        <v>197</v>
      </c>
      <c r="C95" s="60">
        <v>8</v>
      </c>
      <c r="D95" s="60">
        <v>21</v>
      </c>
      <c r="E95" s="87">
        <v>0.3</v>
      </c>
      <c r="F95" s="87"/>
      <c r="G95" s="87"/>
      <c r="H95" s="87">
        <v>0.7</v>
      </c>
      <c r="I95" s="53">
        <f t="shared" si="3"/>
        <v>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60</v>
      </c>
      <c r="B96" s="60">
        <v>214</v>
      </c>
      <c r="C96" s="60">
        <v>9</v>
      </c>
      <c r="D96" s="60">
        <v>21</v>
      </c>
      <c r="E96" s="87">
        <v>0.4</v>
      </c>
      <c r="F96" s="87"/>
      <c r="G96" s="87"/>
      <c r="H96" s="87">
        <v>0.6</v>
      </c>
      <c r="I96" s="53">
        <f t="shared" si="3"/>
        <v>7.6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65</v>
      </c>
      <c r="B97" s="60">
        <v>229</v>
      </c>
      <c r="C97" s="60">
        <v>10</v>
      </c>
      <c r="D97" s="60">
        <v>21</v>
      </c>
      <c r="E97" s="87">
        <v>0.4</v>
      </c>
      <c r="F97" s="87"/>
      <c r="G97" s="87"/>
      <c r="H97" s="87">
        <v>0.6</v>
      </c>
      <c r="I97" s="53">
        <f t="shared" si="3"/>
        <v>7.2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>
        <v>70</v>
      </c>
      <c r="B98" s="60">
        <v>242</v>
      </c>
      <c r="C98" s="60">
        <v>11</v>
      </c>
      <c r="D98" s="60">
        <v>21</v>
      </c>
      <c r="E98" s="87">
        <v>0.5</v>
      </c>
      <c r="F98" s="87"/>
      <c r="G98" s="87"/>
      <c r="H98" s="87">
        <v>0.5</v>
      </c>
      <c r="I98" s="53">
        <f t="shared" si="3"/>
        <v>6.8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>
        <v>75</v>
      </c>
      <c r="B99" s="60">
        <v>252</v>
      </c>
      <c r="C99" s="60">
        <v>12</v>
      </c>
      <c r="D99" s="60">
        <v>21</v>
      </c>
      <c r="E99" s="87">
        <v>0.5</v>
      </c>
      <c r="F99" s="87"/>
      <c r="G99" s="87"/>
      <c r="H99" s="87">
        <v>0.5</v>
      </c>
      <c r="I99" s="53">
        <f t="shared" si="3"/>
        <v>6.2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>
        <v>80</v>
      </c>
      <c r="B100" s="60">
        <v>261</v>
      </c>
      <c r="C100" s="60">
        <v>13</v>
      </c>
      <c r="D100" s="60">
        <v>261</v>
      </c>
      <c r="E100" s="65">
        <v>0.6</v>
      </c>
      <c r="F100" s="65"/>
      <c r="G100" s="65"/>
      <c r="H100" s="65">
        <v>0.4</v>
      </c>
      <c r="I100" s="53">
        <f t="shared" si="3"/>
        <v>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Cormier</v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20</v>
      </c>
      <c r="B114" s="60">
        <v>42</v>
      </c>
      <c r="C114" s="50">
        <v>1</v>
      </c>
      <c r="D114" s="60">
        <v>0</v>
      </c>
      <c r="E114" s="51">
        <v>0</v>
      </c>
      <c r="F114" s="51"/>
      <c r="G114" s="51"/>
      <c r="H114" s="51">
        <v>1</v>
      </c>
      <c r="I114" s="53">
        <f>IFERROR(B114/A114,"")</f>
        <v>2.1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25</v>
      </c>
      <c r="B115" s="60">
        <v>70</v>
      </c>
      <c r="C115" s="50">
        <v>2</v>
      </c>
      <c r="D115" s="60">
        <v>0</v>
      </c>
      <c r="E115" s="51">
        <v>0</v>
      </c>
      <c r="F115" s="51"/>
      <c r="G115" s="51"/>
      <c r="H115" s="51">
        <v>1</v>
      </c>
      <c r="I115" s="53">
        <f t="shared" ref="I115:I133" si="4">IF(A115&lt;&gt;0,(B115-(B114-D114))/(A115-A114),"")</f>
        <v>5.6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30</v>
      </c>
      <c r="B116" s="60">
        <v>97</v>
      </c>
      <c r="C116" s="50">
        <v>3</v>
      </c>
      <c r="D116" s="60">
        <v>0</v>
      </c>
      <c r="E116" s="51">
        <v>0</v>
      </c>
      <c r="F116" s="51"/>
      <c r="G116" s="51"/>
      <c r="H116" s="51">
        <v>1</v>
      </c>
      <c r="I116" s="53">
        <f t="shared" si="4"/>
        <v>5.4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35</v>
      </c>
      <c r="B117" s="60">
        <v>116</v>
      </c>
      <c r="C117" s="50">
        <v>4</v>
      </c>
      <c r="D117" s="60">
        <v>21</v>
      </c>
      <c r="E117" s="51">
        <v>0</v>
      </c>
      <c r="F117" s="51"/>
      <c r="G117" s="51"/>
      <c r="H117" s="51">
        <v>1</v>
      </c>
      <c r="I117" s="53">
        <f t="shared" si="4"/>
        <v>3.8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40</v>
      </c>
      <c r="B118" s="60">
        <v>137</v>
      </c>
      <c r="C118" s="50">
        <v>5</v>
      </c>
      <c r="D118" s="60">
        <v>21</v>
      </c>
      <c r="E118" s="51">
        <v>0.2</v>
      </c>
      <c r="F118" s="51"/>
      <c r="G118" s="51"/>
      <c r="H118" s="51">
        <v>0.8</v>
      </c>
      <c r="I118" s="53">
        <f t="shared" si="4"/>
        <v>8.4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45</v>
      </c>
      <c r="B119" s="60">
        <v>158</v>
      </c>
      <c r="C119" s="50">
        <v>6</v>
      </c>
      <c r="D119" s="60">
        <v>21</v>
      </c>
      <c r="E119" s="51">
        <v>0.2</v>
      </c>
      <c r="F119" s="51"/>
      <c r="G119" s="51"/>
      <c r="H119" s="51">
        <v>0.8</v>
      </c>
      <c r="I119" s="53">
        <f t="shared" si="4"/>
        <v>8.4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50</v>
      </c>
      <c r="B120" s="60">
        <v>178</v>
      </c>
      <c r="C120" s="60">
        <v>7</v>
      </c>
      <c r="D120" s="60">
        <v>21</v>
      </c>
      <c r="E120" s="87">
        <v>0.3</v>
      </c>
      <c r="F120" s="87"/>
      <c r="G120" s="87"/>
      <c r="H120" s="87">
        <v>0.7</v>
      </c>
      <c r="I120" s="53">
        <f t="shared" si="4"/>
        <v>8.1999999999999993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55</v>
      </c>
      <c r="B121" s="60">
        <v>197</v>
      </c>
      <c r="C121" s="60">
        <v>8</v>
      </c>
      <c r="D121" s="60">
        <v>21</v>
      </c>
      <c r="E121" s="87">
        <v>0.3</v>
      </c>
      <c r="F121" s="87"/>
      <c r="G121" s="87"/>
      <c r="H121" s="87">
        <v>0.7</v>
      </c>
      <c r="I121" s="53">
        <f t="shared" si="4"/>
        <v>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60</v>
      </c>
      <c r="B122" s="60">
        <v>214</v>
      </c>
      <c r="C122" s="60">
        <v>9</v>
      </c>
      <c r="D122" s="60">
        <v>21</v>
      </c>
      <c r="E122" s="87">
        <v>0.4</v>
      </c>
      <c r="F122" s="87"/>
      <c r="G122" s="87"/>
      <c r="H122" s="87">
        <v>0.6</v>
      </c>
      <c r="I122" s="53">
        <f t="shared" si="4"/>
        <v>7.6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>
        <v>65</v>
      </c>
      <c r="B123" s="60">
        <v>229</v>
      </c>
      <c r="C123" s="60">
        <v>10</v>
      </c>
      <c r="D123" s="60">
        <v>21</v>
      </c>
      <c r="E123" s="87">
        <v>0.4</v>
      </c>
      <c r="F123" s="87"/>
      <c r="G123" s="87"/>
      <c r="H123" s="87">
        <v>0.6</v>
      </c>
      <c r="I123" s="53">
        <f t="shared" si="4"/>
        <v>7.2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>
        <v>70</v>
      </c>
      <c r="B124" s="60">
        <v>242</v>
      </c>
      <c r="C124" s="60">
        <v>11</v>
      </c>
      <c r="D124" s="60">
        <v>21</v>
      </c>
      <c r="E124" s="87">
        <v>0.5</v>
      </c>
      <c r="F124" s="87"/>
      <c r="G124" s="87"/>
      <c r="H124" s="87">
        <v>0.5</v>
      </c>
      <c r="I124" s="53">
        <f t="shared" si="4"/>
        <v>6.8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>
        <v>75</v>
      </c>
      <c r="B125" s="60">
        <v>252</v>
      </c>
      <c r="C125" s="60">
        <v>12</v>
      </c>
      <c r="D125" s="60">
        <v>21</v>
      </c>
      <c r="E125" s="87">
        <v>0.5</v>
      </c>
      <c r="F125" s="87"/>
      <c r="G125" s="87"/>
      <c r="H125" s="87">
        <v>0.5</v>
      </c>
      <c r="I125" s="53">
        <f t="shared" si="4"/>
        <v>6.2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>
        <v>80</v>
      </c>
      <c r="B126" s="60">
        <v>261</v>
      </c>
      <c r="C126" s="60">
        <v>13</v>
      </c>
      <c r="D126" s="60">
        <v>261</v>
      </c>
      <c r="E126" s="65">
        <v>0.6</v>
      </c>
      <c r="F126" s="65"/>
      <c r="G126" s="65"/>
      <c r="H126" s="65">
        <v>0.4</v>
      </c>
      <c r="I126" s="53">
        <f t="shared" si="4"/>
        <v>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Pin laricio</v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15</v>
      </c>
      <c r="B140" s="60">
        <v>110</v>
      </c>
      <c r="C140" s="50">
        <v>1</v>
      </c>
      <c r="D140" s="60">
        <v>14</v>
      </c>
      <c r="E140" s="51">
        <v>0.2</v>
      </c>
      <c r="F140" s="51">
        <v>0.45</v>
      </c>
      <c r="G140" s="51">
        <v>0.35</v>
      </c>
      <c r="H140" s="51"/>
      <c r="I140" s="57">
        <f>IFERROR(B140/A140,"")</f>
        <v>7.333333333333333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20</v>
      </c>
      <c r="B141" s="60">
        <v>203</v>
      </c>
      <c r="C141" s="50">
        <v>2</v>
      </c>
      <c r="D141" s="60">
        <v>63</v>
      </c>
      <c r="E141" s="51">
        <v>0.2</v>
      </c>
      <c r="F141" s="51">
        <v>0.45</v>
      </c>
      <c r="G141" s="51">
        <v>0.35</v>
      </c>
      <c r="H141" s="51"/>
      <c r="I141" s="57">
        <f t="shared" ref="I141:I159" si="5">IF(A141&lt;&gt;0,(B141-(B140-D140))/(A141-A140),"")</f>
        <v>21.4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25</v>
      </c>
      <c r="B142" s="60">
        <v>254</v>
      </c>
      <c r="C142" s="50">
        <v>3</v>
      </c>
      <c r="D142" s="60">
        <v>63</v>
      </c>
      <c r="E142" s="51">
        <v>0.3</v>
      </c>
      <c r="F142" s="51">
        <v>0.39</v>
      </c>
      <c r="G142" s="51">
        <v>0.31</v>
      </c>
      <c r="H142" s="51"/>
      <c r="I142" s="57">
        <f t="shared" si="5"/>
        <v>22.8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30</v>
      </c>
      <c r="B143" s="60">
        <v>311</v>
      </c>
      <c r="C143" s="50">
        <v>4</v>
      </c>
      <c r="D143" s="60">
        <v>63</v>
      </c>
      <c r="E143" s="51">
        <v>0.4</v>
      </c>
      <c r="F143" s="51">
        <v>0.34</v>
      </c>
      <c r="G143" s="51">
        <v>0.26</v>
      </c>
      <c r="H143" s="51"/>
      <c r="I143" s="57">
        <f t="shared" si="5"/>
        <v>24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35</v>
      </c>
      <c r="B144" s="60">
        <v>369</v>
      </c>
      <c r="C144" s="50">
        <v>5</v>
      </c>
      <c r="D144" s="60">
        <v>63</v>
      </c>
      <c r="E144" s="51">
        <v>0.4</v>
      </c>
      <c r="F144" s="51">
        <v>0.34</v>
      </c>
      <c r="G144" s="51">
        <v>0.26</v>
      </c>
      <c r="H144" s="51"/>
      <c r="I144" s="57">
        <f t="shared" si="5"/>
        <v>24.2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40</v>
      </c>
      <c r="B145" s="60">
        <v>424</v>
      </c>
      <c r="C145" s="50">
        <v>6</v>
      </c>
      <c r="D145" s="60">
        <v>63</v>
      </c>
      <c r="E145" s="51">
        <v>0.5</v>
      </c>
      <c r="F145" s="51">
        <v>0.28000000000000003</v>
      </c>
      <c r="G145" s="51">
        <v>0.22</v>
      </c>
      <c r="H145" s="51"/>
      <c r="I145" s="57">
        <f t="shared" si="5"/>
        <v>23.6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45</v>
      </c>
      <c r="B146" s="60">
        <v>469</v>
      </c>
      <c r="C146" s="50">
        <v>7</v>
      </c>
      <c r="D146" s="60">
        <v>60</v>
      </c>
      <c r="E146" s="51">
        <v>0.5</v>
      </c>
      <c r="F146" s="51">
        <v>0.28000000000000003</v>
      </c>
      <c r="G146" s="51">
        <v>0.22</v>
      </c>
      <c r="H146" s="51"/>
      <c r="I146" s="57">
        <f t="shared" si="5"/>
        <v>21.6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50</v>
      </c>
      <c r="B147" s="60">
        <v>509</v>
      </c>
      <c r="C147" s="50">
        <v>8</v>
      </c>
      <c r="D147" s="60">
        <v>509</v>
      </c>
      <c r="E147" s="51">
        <v>0.6</v>
      </c>
      <c r="F147" s="51">
        <v>0.22</v>
      </c>
      <c r="G147" s="51">
        <v>0.18</v>
      </c>
      <c r="H147" s="51"/>
      <c r="I147" s="57">
        <f>IF(A147&lt;&gt;0,(B147-(B146-D146))/(A147-A146),"")</f>
        <v>20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Cèdre de l'Atlas</v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20</v>
      </c>
      <c r="B166" s="60">
        <v>140</v>
      </c>
      <c r="C166" s="60">
        <v>1</v>
      </c>
      <c r="D166" s="60">
        <v>40</v>
      </c>
      <c r="E166" s="51">
        <v>0</v>
      </c>
      <c r="F166" s="51">
        <v>0.56000000000000005</v>
      </c>
      <c r="G166" s="51">
        <v>0.44</v>
      </c>
      <c r="H166" s="51"/>
      <c r="I166" s="49">
        <f>IFERROR(B166/A166,"")</f>
        <v>7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30</v>
      </c>
      <c r="B167" s="60">
        <v>210</v>
      </c>
      <c r="C167" s="60">
        <v>2</v>
      </c>
      <c r="D167" s="60">
        <v>50</v>
      </c>
      <c r="E167" s="51">
        <v>0.2</v>
      </c>
      <c r="F167" s="51">
        <v>0.56000000000000005</v>
      </c>
      <c r="G167" s="51">
        <v>0.35</v>
      </c>
      <c r="H167" s="51"/>
      <c r="I167" s="49">
        <f t="shared" ref="I167:I185" si="6">IF(A167&lt;&gt;0,(B167-(B166-D166))/(A167-A166),"")</f>
        <v>11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40</v>
      </c>
      <c r="B168" s="60">
        <v>300</v>
      </c>
      <c r="C168" s="60">
        <v>3</v>
      </c>
      <c r="D168" s="60">
        <v>50</v>
      </c>
      <c r="E168" s="51">
        <v>0.3</v>
      </c>
      <c r="F168" s="51">
        <v>0.39</v>
      </c>
      <c r="G168" s="51">
        <v>0.31</v>
      </c>
      <c r="H168" s="51"/>
      <c r="I168" s="49">
        <f t="shared" si="6"/>
        <v>14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50</v>
      </c>
      <c r="B169" s="60">
        <v>390</v>
      </c>
      <c r="C169" s="60">
        <v>4</v>
      </c>
      <c r="D169" s="60">
        <v>50</v>
      </c>
      <c r="E169" s="51">
        <v>0.4</v>
      </c>
      <c r="F169" s="51">
        <v>0.34</v>
      </c>
      <c r="G169" s="51">
        <v>0.26</v>
      </c>
      <c r="H169" s="51"/>
      <c r="I169" s="49">
        <f t="shared" si="6"/>
        <v>14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60</v>
      </c>
      <c r="B170" s="60">
        <v>470</v>
      </c>
      <c r="C170" s="60">
        <v>5</v>
      </c>
      <c r="D170" s="60">
        <v>470</v>
      </c>
      <c r="E170" s="51">
        <v>0.6</v>
      </c>
      <c r="F170" s="51">
        <v>0.22</v>
      </c>
      <c r="G170" s="51">
        <v>0.18</v>
      </c>
      <c r="H170" s="51"/>
      <c r="I170" s="49">
        <f t="shared" si="6"/>
        <v>13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2" zoomScaleNormal="100" workbookViewId="0">
      <selection activeCell="B17" sqref="B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42578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42578125" style="4" customWidth="1"/>
    <col min="6" max="7" width="11.42578125" style="4"/>
    <col min="8" max="8" width="10.7109375" style="4" customWidth="1"/>
    <col min="9" max="9" width="9.42578125" style="4" customWidth="1"/>
    <col min="10" max="11" width="10.42578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42578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42578125" style="4" bestFit="1" customWidth="1"/>
    <col min="36" max="36" width="9.42578125" style="4" bestFit="1" customWidth="1"/>
    <col min="37" max="38" width="10.42578125" style="4" bestFit="1" customWidth="1"/>
    <col min="39" max="41" width="10.42578125" style="4" customWidth="1"/>
    <col min="42" max="42" width="9" style="4" bestFit="1" customWidth="1"/>
    <col min="43" max="43" width="10.42578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42578125" style="4" bestFit="1" customWidth="1"/>
    <col min="54" max="54" width="14.28515625" style="4" customWidth="1"/>
    <col min="55" max="55" width="14" style="4" customWidth="1"/>
    <col min="56" max="56" width="10.42578125" style="4" bestFit="1" customWidth="1"/>
    <col min="57" max="57" width="9.42578125" style="4" bestFit="1" customWidth="1"/>
    <col min="58" max="59" width="10.42578125" style="4" bestFit="1" customWidth="1"/>
    <col min="60" max="62" width="10.42578125" style="4" customWidth="1"/>
    <col min="63" max="63" width="9" style="4" bestFit="1" customWidth="1"/>
    <col min="64" max="64" width="10.42578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42578125" style="4" bestFit="1" customWidth="1"/>
    <col min="75" max="75" width="14" style="4" bestFit="1" customWidth="1"/>
    <col min="76" max="76" width="13.85546875" style="4" customWidth="1"/>
    <col min="77" max="77" width="10.42578125" style="4" bestFit="1" customWidth="1"/>
    <col min="78" max="78" width="9.42578125" style="4" bestFit="1" customWidth="1"/>
    <col min="79" max="80" width="10.42578125" style="4" bestFit="1" customWidth="1"/>
    <col min="81" max="83" width="10.42578125" style="4" customWidth="1"/>
    <col min="84" max="84" width="11.42578125" style="4"/>
    <col min="85" max="85" width="10.42578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42578125" style="4" bestFit="1" customWidth="1"/>
    <col min="99" max="99" width="9.42578125" style="4" bestFit="1" customWidth="1"/>
    <col min="100" max="101" width="10.42578125" style="4" bestFit="1" customWidth="1"/>
    <col min="102" max="104" width="10.42578125" style="4" customWidth="1"/>
    <col min="105" max="105" width="9" style="4" bestFit="1" customWidth="1"/>
    <col min="106" max="106" width="10.42578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42578125" style="4" bestFit="1" customWidth="1"/>
    <col min="117" max="117" width="14.28515625" style="4" customWidth="1"/>
    <col min="118" max="118" width="14" style="4" bestFit="1" customWidth="1"/>
    <col min="119" max="119" width="10.42578125" style="4" bestFit="1" customWidth="1"/>
    <col min="120" max="120" width="9.42578125" style="4" bestFit="1" customWidth="1"/>
    <col min="121" max="122" width="10.42578125" style="4" bestFit="1" customWidth="1"/>
    <col min="123" max="125" width="10.42578125" style="4" customWidth="1"/>
    <col min="126" max="126" width="9" style="4" bestFit="1" customWidth="1"/>
    <col min="127" max="127" width="10.42578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42578125" style="4" bestFit="1" customWidth="1"/>
    <col min="138" max="139" width="14" style="4" customWidth="1"/>
    <col min="140" max="140" width="10.42578125" style="4" bestFit="1" customWidth="1"/>
    <col min="141" max="141" width="9.42578125" style="4" bestFit="1" customWidth="1"/>
    <col min="142" max="143" width="10.42578125" style="4" bestFit="1" customWidth="1"/>
    <col min="144" max="146" width="10.42578125" style="4" customWidth="1"/>
    <col min="147" max="147" width="9" style="4" bestFit="1" customWidth="1"/>
    <col min="148" max="148" width="10.42578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42578125" style="4" bestFit="1" customWidth="1"/>
    <col min="162" max="162" width="9.42578125" style="4" bestFit="1" customWidth="1"/>
    <col min="163" max="164" width="10.42578125" style="4" bestFit="1" customWidth="1"/>
    <col min="165" max="167" width="10.42578125" style="4" customWidth="1"/>
    <col min="168" max="168" width="9" style="4" bestFit="1" customWidth="1"/>
    <col min="169" max="169" width="10.42578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42578125" style="4" bestFit="1" customWidth="1"/>
    <col min="180" max="181" width="14" style="4" bestFit="1" customWidth="1"/>
    <col min="182" max="182" width="10.42578125" style="4" bestFit="1" customWidth="1"/>
    <col min="183" max="183" width="9.42578125" style="4" bestFit="1" customWidth="1"/>
    <col min="184" max="185" width="10.42578125" style="4" bestFit="1" customWidth="1"/>
    <col min="186" max="188" width="10.42578125" style="4" customWidth="1"/>
    <col min="189" max="189" width="9" style="4" bestFit="1" customWidth="1"/>
    <col min="190" max="190" width="10.42578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42578125" style="4" bestFit="1" customWidth="1"/>
    <col min="201" max="201" width="14" style="4" customWidth="1"/>
    <col min="202" max="202" width="14.28515625" style="4" customWidth="1"/>
    <col min="203" max="203" width="10.42578125" style="4" bestFit="1" customWidth="1"/>
    <col min="204" max="204" width="9.42578125" style="4" bestFit="1" customWidth="1"/>
    <col min="205" max="206" width="10.42578125" style="4" bestFit="1" customWidth="1"/>
    <col min="207" max="209" width="10.42578125" style="4" customWidth="1"/>
    <col min="210" max="210" width="9" style="4" bestFit="1" customWidth="1"/>
    <col min="211" max="211" width="10.42578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Chêne sessile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>Chêne pubescent</v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>Alisier torminal</v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>Cormier</v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>Pin laricio</v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>Cèdre de l'Atlas</v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/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/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/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/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373.59295497283125</v>
      </c>
      <c r="T3" s="59">
        <f>IF('Données projet'!E9&gt;30,$R$33-$H$33,LOOKUP('Données projet'!$E$9,$A$3:$A$203,R3:R203)-LOOKUP('Données projet'!$E$9,$A$3:$A$203,$H$3:$H$203))</f>
        <v>231.36959598460686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413.81510455446738</v>
      </c>
      <c r="AO3" s="59">
        <f>IF('Données projet'!E10&gt;30,$AM$33-$H$33,LOOKUP('Données projet'!$E$10,$A$3:$A$203,AM3:AM203)-LOOKUP('Données projet'!$E$10,$A$3:$A$203,$H$3:$H$203))</f>
        <v>254.25036207346602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295.35565287134125</v>
      </c>
      <c r="BJ3" s="59">
        <f>IF('Données projet'!E11&gt;30,$BH$33-$H$33,LOOKUP('Données projet'!$E$11,$A$3:$A$203,BH3:BH203)-LOOKUP('Données projet'!$E$11,$A$3:$A$203,$H$3:$H$203))</f>
        <v>244.451492444461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324.61094137855798</v>
      </c>
      <c r="CE3" s="59">
        <f>IF('Données projet'!E12&gt;30,$CC$33-$H$33,LOOKUP('Données projet'!$E$12,$A$3:$A$203,CC3:CC203)-LOOKUP('Données projet'!$E$12,$A$3:$A$203,$H$3:$H$203))</f>
        <v>267.2998309535638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319.9010109022521</v>
      </c>
      <c r="CZ3" s="59">
        <f>IF('Données projet'!E13&gt;30,$CX$33-$H$33,LOOKUP('Données projet'!$E$13,$A$3:$A$203,CX3:CX203)-LOOKUP('Données projet'!$E$13,$A$3:$A$203,$H$3:$H$203))</f>
        <v>441.82647565372287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229.61973863654862</v>
      </c>
      <c r="DU3" s="59">
        <f>IF('Données projet'!E14&gt;30,$DS$33-$H$33,LOOKUP('Données projet'!$E$14,$A$3:$A$203,DS3:DS203)-LOOKUP('Données projet'!$E$14,$A$3:$A$203,$H$3:$H$203))</f>
        <v>254.08208375594052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2.1</v>
      </c>
      <c r="N4" s="13">
        <f>IF('Données projet'!$A$36&gt;35,N3+M4-V3,IF(A4&lt;'Données projet'!$A$36,$K$205^A4,IF(A4='Données projet'!$A$36,'Données projet'!$B$36,N3+M4-V3)))</f>
        <v>1.2054868146447177</v>
      </c>
      <c r="O4" s="13">
        <f>N4*VLOOKUP('Données projet'!$B$9,Paramètres!$A$1:$I$89,3,0)*VLOOKUP('Données projet'!$B$9,Paramètres!$A$1:$I$89,5,0)</f>
        <v>1.0907244698905405</v>
      </c>
      <c r="P4" s="13">
        <f>EXP(-1.0587+0.8836*LN(O4)+0.284)</f>
        <v>0.49759623852608204</v>
      </c>
      <c r="Q4" s="20">
        <f t="shared" ref="Q4:Q34" si="2">(O4+P4)*0.475*44/12</f>
        <v>2.7663252338256172</v>
      </c>
      <c r="R4" s="59">
        <f t="shared" si="0"/>
        <v>260.65521412271448</v>
      </c>
      <c r="S4" s="59">
        <f ca="1">AVERAGE(OFFSET($R$3,0,0,'Données projet'!$E$9+1,1))-AVERAGE(OFFSET($H$3,0,0,'Données projet'!$E$9+1,1))</f>
        <v>373.59295497283125</v>
      </c>
      <c r="T4" s="59">
        <f>$T$3</f>
        <v>231.36959598460686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2.1</v>
      </c>
      <c r="AI4" s="13">
        <f>IF('Données projet'!$A$62&gt;35,AI3+AH4-AQ3,IF(A4&lt;'Données projet'!$A$62,$AF$205^A4,IF(A4='Données projet'!$A$62,'Données projet'!$B$62,AI3+AH4-AQ3)))</f>
        <v>1.2054868146447177</v>
      </c>
      <c r="AJ4" s="13">
        <f>AI4*VLOOKUP('Données projet'!$B$10,Paramètres!$A$1:$I$89,3,0)*VLOOKUP('Données projet'!$B$10,Paramètres!$A$1:$I$89,5,0)</f>
        <v>1.2223636300497438</v>
      </c>
      <c r="AK4" s="13">
        <f>EXP(-1.0587+0.8836*LN(AJ4)+0.284)</f>
        <v>0.55030360208821416</v>
      </c>
      <c r="AL4" s="20">
        <f t="shared" ref="AL4:AL67" si="4">(AJ4+AK4)*0.475*44/12</f>
        <v>3.0873954293069432</v>
      </c>
      <c r="AM4" s="59">
        <f t="shared" ref="AM4:AM67" si="5">AL4+(AD4+AE4)*44/12</f>
        <v>260.97628431819578</v>
      </c>
      <c r="AN4" s="59">
        <f ca="1">AVERAGE(OFFSET($AM$3,0,0,'Données projet'!$E$10+1,1))-AVERAGE(OFFSET($H$3,0,0,'Données projet'!$E$10+1,1))</f>
        <v>413.81510455446738</v>
      </c>
      <c r="AO4" s="59">
        <f>$AO$3</f>
        <v>254.25036207346602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2.1</v>
      </c>
      <c r="BD4" s="12">
        <f>IF('Données projet'!$A$88&gt;35,BD3+BC4-BL3,IF(A4&lt;'Données projet'!$A$88,$BA$205^A4,IF(A4='Données projet'!$A$88,'Données projet'!$B$88,BD3+BC4-BL3)))</f>
        <v>1.2054868146447177</v>
      </c>
      <c r="BE4" s="13">
        <f>BD4*VLOOKUP('Données projet'!$B$11,Paramètres!$A$1:$I$89,3,0)*VLOOKUP('Données projet'!$B$11,Paramètres!$A$1:$I$89,5,0)</f>
        <v>1.165946847124371</v>
      </c>
      <c r="BF4" s="13">
        <f>EXP(-1.0587+0.8836*LN(BE4)+0.284)</f>
        <v>0.52780002987456354</v>
      </c>
      <c r="BG4" s="20">
        <f t="shared" ref="BG4:BG67" si="7">(BE4+BF4)*0.475*44/12</f>
        <v>2.9499424774398109</v>
      </c>
      <c r="BH4" s="59">
        <f t="shared" ref="BH4:BH67" si="8">BG4+(AY4+AZ4)*44/12</f>
        <v>260.83883136632869</v>
      </c>
      <c r="BI4" s="59">
        <f ca="1">AVERAGE(OFFSET($BH$3,0,0,'Données projet'!$E$11+1,1))-AVERAGE(OFFSET($H$3,0,0,'Données projet'!$E$11+1,1))</f>
        <v>295.35565287134125</v>
      </c>
      <c r="BJ4" s="59">
        <f>$BJ$3</f>
        <v>244.451492444461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2.1</v>
      </c>
      <c r="BY4" s="12">
        <f>IF('Données projet'!$A$114&gt;35,BY3+BX4-CG3,IF(A4&lt;'Données projet'!$A$114,$BV$205^A4,IF(A4='Données projet'!$A$114,'Données projet'!$B$114,BY3+BX4-CG3)))</f>
        <v>1.2054868146447177</v>
      </c>
      <c r="BZ4" s="13">
        <f>BY4*VLOOKUP('Données projet'!$B$12,Paramètres!$A$1:$I$89,3,0)*VLOOKUP('Données projet'!$B$12,Paramètres!$A$1:$I$89,5,0)</f>
        <v>1.2975860072835741</v>
      </c>
      <c r="CA4" s="13">
        <f>EXP(-1.0587+0.8836*LN(BZ4)+0.284)</f>
        <v>0.58012177912374829</v>
      </c>
      <c r="CB4" s="20">
        <f t="shared" ref="CB4:CB67" si="10">(BZ4+CA4)*0.475*44/12</f>
        <v>3.2703410613260862</v>
      </c>
      <c r="CC4" s="59">
        <f t="shared" ref="CC4:CC67" si="11">CB4+(BT4+BU4)*44/12</f>
        <v>261.15922995021492</v>
      </c>
      <c r="CD4" s="59">
        <f ca="1">AVERAGE(OFFSET($CC$3,0,0,'Données projet'!$E$12+1,1))-AVERAGE(OFFSET($H$3,0,0,'Données projet'!$E$12+1,1))</f>
        <v>324.61094137855798</v>
      </c>
      <c r="CE4" s="59">
        <f>$CE$3</f>
        <v>267.2998309535638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7.333333333333333</v>
      </c>
      <c r="CT4" s="12">
        <f>IF('Données projet'!$A$140&gt;35,CT3+CS4-DB3,IF(A4&lt;'Données projet'!$A$140,$CQ$205^A4,IF(A4='Données projet'!$A$140,'Données projet'!$B$140,CT3+CS4-DB3)))</f>
        <v>1.3680212568593273</v>
      </c>
      <c r="CU4" s="17">
        <f>CT4*VLOOKUP('Données projet'!$B$13,Paramètres!$A$1:$I$89,3,0)*VLOOKUP('Données projet'!$B$13,Paramètres!$A$1:$I$89,5,0)</f>
        <v>0.81807671160187789</v>
      </c>
      <c r="CV4" s="13">
        <f>EXP(-1.0587+0.8836*LN(CU4)+0.284)</f>
        <v>0.38591962976646654</v>
      </c>
      <c r="CW4" s="20">
        <f t="shared" ref="CW4:CW67" si="13">(CU4+CV4)*0.475*44/12</f>
        <v>2.0969602945498664</v>
      </c>
      <c r="CX4" s="59">
        <f t="shared" ref="CX4:CX67" si="14">CW4+(CO4+CP4)*44/12</f>
        <v>259.98584918343875</v>
      </c>
      <c r="CY4" s="59">
        <f ca="1">AVERAGE(OFFSET($CX$3,0,0,'Données projet'!$E$13+1,1))-AVERAGE(OFFSET($H$3,0,0,'Données projet'!$E$13+1,1))</f>
        <v>319.9010109022521</v>
      </c>
      <c r="CZ4" s="59">
        <f>$CZ$3</f>
        <v>441.82647565372287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7</v>
      </c>
      <c r="DO4" s="12">
        <f>IF('Données projet'!$A$166&gt;35,DO3+DN4-DW3,IF(A4&lt;'Données projet'!$A$166,$DL$205^A4,IF(A4='Données projet'!$A$166,'Données projet'!$B$166,DO3+DN4-DW3)))</f>
        <v>1.2802842468510145</v>
      </c>
      <c r="DP4" s="17">
        <f>DO4*VLOOKUP('Données projet'!$B$14,Paramètres!$A$1:$I$89,3,0)*VLOOKUP('Données projet'!$B$14,Paramètres!$A$1:$I$89,5,0)</f>
        <v>0.59917302752627477</v>
      </c>
      <c r="DQ4" s="13">
        <f>EXP(-1.0587+0.8836*LN(DP4)+0.284)</f>
        <v>0.29308746006107994</v>
      </c>
      <c r="DR4" s="20">
        <f t="shared" ref="DR4:DR67" si="16">(DP4+DQ4)*0.475*44/12</f>
        <v>1.5540203492146427</v>
      </c>
      <c r="DS4" s="59">
        <f t="shared" ref="DS4:DS67" si="17">DR4+(DJ4+DK4)*44/12</f>
        <v>259.44290923810348</v>
      </c>
      <c r="DT4" s="59">
        <f ca="1">AVERAGE(OFFSET($DS$3,0,0,'Données projet'!$E$14+1,1))-AVERAGE(OFFSET($H$3,0,0,'Données projet'!$E$14+1,1))</f>
        <v>229.61973863654862</v>
      </c>
      <c r="DU4" s="59">
        <f>$DU$3</f>
        <v>254.08208375594052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2.1</v>
      </c>
      <c r="N5" s="13">
        <f>IF('Données projet'!$A$36&gt;35,N4+M5-V4,IF(A5&lt;'Données projet'!$A$36,$K$205^A5,IF(A5='Données projet'!$A$36,'Données projet'!$B$36,N4+M5-V4)))</f>
        <v>1.4531984602822681</v>
      </c>
      <c r="O5" s="13">
        <f>N5*VLOOKUP('Données projet'!$B$9,Paramètres!$A$1:$I$89,3,0)*VLOOKUP('Données projet'!$B$9,Paramètres!$A$1:$I$89,5,0)</f>
        <v>1.3148539668633961</v>
      </c>
      <c r="P5" s="13">
        <f t="shared" ref="P5:P68" si="33">EXP(-1.0587+0.8836*LN(O5)+0.284)</f>
        <v>0.58693801963664449</v>
      </c>
      <c r="Q5" s="20">
        <f t="shared" si="2"/>
        <v>3.3122877098209038</v>
      </c>
      <c r="R5" s="59">
        <f t="shared" si="0"/>
        <v>262.42339882093205</v>
      </c>
      <c r="S5" s="59">
        <f ca="1">AVERAGE(OFFSET($R$3,0,0,'Données projet'!$E$9+1,1))-AVERAGE(OFFSET($H$3,0,0,'Données projet'!$E$9+1,1))</f>
        <v>373.59295497283125</v>
      </c>
      <c r="T5" s="59">
        <f t="shared" ref="T5:T68" si="34">$T$3</f>
        <v>231.36959598460686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2.1</v>
      </c>
      <c r="AI5" s="13">
        <f>IF('Données projet'!$A$62&gt;35,AI4+AH5-AQ4,IF(A5&lt;'Données projet'!$A$62,$AF$205^A5,IF(A5='Données projet'!$A$62,'Données projet'!$B$62,AI4+AH5-AQ4)))</f>
        <v>1.4531984602822681</v>
      </c>
      <c r="AJ5" s="13">
        <f>AI5*VLOOKUP('Données projet'!$B$10,Paramètres!$A$1:$I$89,3,0)*VLOOKUP('Données projet'!$B$10,Paramètres!$A$1:$I$89,5,0)</f>
        <v>1.47354323872622</v>
      </c>
      <c r="AK5" s="13">
        <f t="shared" ref="AK5:AK68" si="35">EXP(-1.0587+0.8836*LN(AJ5)+0.284)</f>
        <v>0.64910881835703094</v>
      </c>
      <c r="AL5" s="20">
        <f t="shared" si="4"/>
        <v>3.6969523327533285</v>
      </c>
      <c r="AM5" s="59">
        <f t="shared" si="5"/>
        <v>262.80806344386446</v>
      </c>
      <c r="AN5" s="59">
        <f ca="1">AVERAGE(OFFSET($AM$3,0,0,'Données projet'!$E$10+1,1))-AVERAGE(OFFSET($H$3,0,0,'Données projet'!$E$10+1,1))</f>
        <v>413.81510455446738</v>
      </c>
      <c r="AO5" s="59">
        <f t="shared" ref="AO5:AO68" si="36">$AO$3</f>
        <v>254.25036207346602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2.1</v>
      </c>
      <c r="BD5" s="12">
        <f>IF('Données projet'!$A$88&gt;35,BD4+BC5-BL4,IF(A5&lt;'Données projet'!$A$88,$BA$205^A5,IF(A5='Données projet'!$A$88,'Données projet'!$B$88,BD4+BC5-BL4)))</f>
        <v>1.4531984602822681</v>
      </c>
      <c r="BE5" s="13">
        <f>BD5*VLOOKUP('Données projet'!$B$11,Paramètres!$A$1:$I$89,3,0)*VLOOKUP('Données projet'!$B$11,Paramètres!$A$1:$I$89,5,0)</f>
        <v>1.4055335507850097</v>
      </c>
      <c r="BF5" s="13">
        <f t="shared" ref="BF5:BF68" si="37">EXP(-1.0587+0.8836*LN(BE5)+0.284)</f>
        <v>0.62256480317525631</v>
      </c>
      <c r="BG5" s="20">
        <f t="shared" si="7"/>
        <v>3.5322712998141292</v>
      </c>
      <c r="BH5" s="59">
        <f t="shared" si="8"/>
        <v>262.64338241092526</v>
      </c>
      <c r="BI5" s="59">
        <f ca="1">AVERAGE(OFFSET($BH$3,0,0,'Données projet'!$E$11+1,1))-AVERAGE(OFFSET($H$3,0,0,'Données projet'!$E$11+1,1))</f>
        <v>295.35565287134125</v>
      </c>
      <c r="BJ5" s="59">
        <f t="shared" ref="BJ5:BJ68" si="38">$BJ$3</f>
        <v>244.451492444461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2.1</v>
      </c>
      <c r="BY5" s="12">
        <f>IF('Données projet'!$A$114&gt;35,BY4+BX5-CG4,IF(A5&lt;'Données projet'!$A$114,$BV$205^A5,IF(A5='Données projet'!$A$114,'Données projet'!$B$114,BY4+BX5-CG4)))</f>
        <v>1.4531984602822681</v>
      </c>
      <c r="BZ5" s="13">
        <f>BY5*VLOOKUP('Données projet'!$B$12,Paramètres!$A$1:$I$89,3,0)*VLOOKUP('Données projet'!$B$12,Paramètres!$A$1:$I$89,5,0)</f>
        <v>1.5642228226478332</v>
      </c>
      <c r="CA5" s="13">
        <f t="shared" ref="CA5:CA68" si="39">EXP(-1.0587+0.8836*LN(BZ5)+0.284)</f>
        <v>0.68428075179095682</v>
      </c>
      <c r="CB5" s="20">
        <f t="shared" si="10"/>
        <v>3.9161437254808931</v>
      </c>
      <c r="CC5" s="59">
        <f t="shared" si="11"/>
        <v>263.02725483659202</v>
      </c>
      <c r="CD5" s="59">
        <f ca="1">AVERAGE(OFFSET($CC$3,0,0,'Données projet'!$E$12+1,1))-AVERAGE(OFFSET($H$3,0,0,'Données projet'!$E$12+1,1))</f>
        <v>324.61094137855798</v>
      </c>
      <c r="CE5" s="59">
        <f t="shared" ref="CE5:CE68" si="40">$CE$3</f>
        <v>267.2998309535638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7.333333333333333</v>
      </c>
      <c r="CT5" s="12">
        <f>IF('Données projet'!$A$140&gt;35,CT4+CS5-DB4,IF(A5&lt;'Données projet'!$A$140,$CQ$205^A5,IF(A5='Données projet'!$A$140,'Données projet'!$B$140,CT4+CS5-DB4)))</f>
        <v>1.8714821592189737</v>
      </c>
      <c r="CU5" s="17">
        <f>CT5*VLOOKUP('Données projet'!$B$13,Paramètres!$A$1:$I$89,3,0)*VLOOKUP('Données projet'!$B$13,Paramètres!$A$1:$I$89,5,0)</f>
        <v>1.1191463312129464</v>
      </c>
      <c r="CV5" s="13">
        <f t="shared" ref="CV5:CV68" si="41">EXP(-1.0587+0.8836*LN(CU5)+0.284)</f>
        <v>0.50903601214619809</v>
      </c>
      <c r="CW5" s="20">
        <f t="shared" si="13"/>
        <v>2.8357509146838429</v>
      </c>
      <c r="CX5" s="59">
        <f t="shared" si="14"/>
        <v>261.94686202579499</v>
      </c>
      <c r="CY5" s="59">
        <f ca="1">AVERAGE(OFFSET($CX$3,0,0,'Données projet'!$E$13+1,1))-AVERAGE(OFFSET($H$3,0,0,'Données projet'!$E$13+1,1))</f>
        <v>319.9010109022521</v>
      </c>
      <c r="CZ5" s="59">
        <f t="shared" ref="CZ5:CZ68" si="42">$CZ$3</f>
        <v>441.82647565372287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7</v>
      </c>
      <c r="DO5" s="12">
        <f>IF('Données projet'!$A$166&gt;35,DO4+DN5-DW4,IF(A5&lt;'Données projet'!$A$166,$DL$205^A5,IF(A5='Données projet'!$A$166,'Données projet'!$B$166,DO4+DN5-DW4)))</f>
        <v>1.6391277527348693</v>
      </c>
      <c r="DP5" s="17">
        <f>DO5*VLOOKUP('Données projet'!$B$14,Paramètres!$A$1:$I$89,3,0)*VLOOKUP('Données projet'!$B$14,Paramètres!$A$1:$I$89,5,0)</f>
        <v>0.76711178827991888</v>
      </c>
      <c r="DQ5" s="13">
        <f t="shared" ref="DQ5:DQ68" si="43">EXP(-1.0587+0.8836*LN(DP5)+0.284)</f>
        <v>0.36459706970828532</v>
      </c>
      <c r="DR5" s="20">
        <f t="shared" si="16"/>
        <v>1.9710595943294553</v>
      </c>
      <c r="DS5" s="59">
        <f t="shared" si="17"/>
        <v>261.0821707054406</v>
      </c>
      <c r="DT5" s="59">
        <f ca="1">AVERAGE(OFFSET($DS$3,0,0,'Données projet'!$E$14+1,1))-AVERAGE(OFFSET($H$3,0,0,'Données projet'!$E$14+1,1))</f>
        <v>229.61973863654862</v>
      </c>
      <c r="DU5" s="59">
        <f t="shared" ref="DU5:DU68" si="44">$DU$3</f>
        <v>254.08208375594052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2.1</v>
      </c>
      <c r="N6" s="13">
        <f>IF('Données projet'!$A$36&gt;35,N5+M6-V5,IF(A6&lt;'Données projet'!$A$36,$K$205^A6,IF(A6='Données projet'!$A$36,'Données projet'!$B$36,N5+M6-V5)))</f>
        <v>1.7518115829322798</v>
      </c>
      <c r="O6" s="13">
        <f>N6*VLOOKUP('Données projet'!$B$9,Paramètres!$A$1:$I$89,3,0)*VLOOKUP('Données projet'!$B$9,Paramètres!$A$1:$I$89,5,0)</f>
        <v>1.5850391202371266</v>
      </c>
      <c r="P6" s="13">
        <f t="shared" si="33"/>
        <v>0.69232082604846479</v>
      </c>
      <c r="Q6" s="20">
        <f t="shared" si="2"/>
        <v>3.966401906447405</v>
      </c>
      <c r="R6" s="59">
        <f t="shared" si="0"/>
        <v>264.29973523978072</v>
      </c>
      <c r="S6" s="59">
        <f ca="1">AVERAGE(OFFSET($R$3,0,0,'Données projet'!$E$9+1,1))-AVERAGE(OFFSET($H$3,0,0,'Données projet'!$E$9+1,1))</f>
        <v>373.59295497283125</v>
      </c>
      <c r="T6" s="59">
        <f t="shared" si="34"/>
        <v>231.36959598460686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2.1</v>
      </c>
      <c r="AI6" s="13">
        <f>IF('Données projet'!$A$62&gt;35,AI5+AH6-AQ5,IF(A6&lt;'Données projet'!$A$62,$AF$205^A6,IF(A6='Données projet'!$A$62,'Données projet'!$B$62,AI5+AH6-AQ5)))</f>
        <v>1.7518115829322798</v>
      </c>
      <c r="AJ6" s="13">
        <f>AI6*VLOOKUP('Données projet'!$B$10,Paramètres!$A$1:$I$89,3,0)*VLOOKUP('Données projet'!$B$10,Paramètres!$A$1:$I$89,5,0)</f>
        <v>1.7763369450933317</v>
      </c>
      <c r="AK6" s="13">
        <f t="shared" si="35"/>
        <v>0.76565418883323866</v>
      </c>
      <c r="AL6" s="20">
        <f t="shared" si="4"/>
        <v>4.4273012249221102</v>
      </c>
      <c r="AM6" s="59">
        <f t="shared" si="5"/>
        <v>264.76063455825545</v>
      </c>
      <c r="AN6" s="59">
        <f ca="1">AVERAGE(OFFSET($AM$3,0,0,'Données projet'!$E$10+1,1))-AVERAGE(OFFSET($H$3,0,0,'Données projet'!$E$10+1,1))</f>
        <v>413.81510455446738</v>
      </c>
      <c r="AO6" s="59">
        <f t="shared" si="36"/>
        <v>254.25036207346602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2.1</v>
      </c>
      <c r="BD6" s="12">
        <f>IF('Données projet'!$A$88&gt;35,BD5+BC6-BL5,IF(A6&lt;'Données projet'!$A$88,$BA$205^A6,IF(A6='Données projet'!$A$88,'Données projet'!$B$88,BD5+BC6-BL5)))</f>
        <v>1.7518115829322798</v>
      </c>
      <c r="BE6" s="13">
        <f>BD6*VLOOKUP('Données projet'!$B$11,Paramètres!$A$1:$I$89,3,0)*VLOOKUP('Données projet'!$B$11,Paramètres!$A$1:$I$89,5,0)</f>
        <v>1.694352163012101</v>
      </c>
      <c r="BF6" s="13">
        <f t="shared" si="37"/>
        <v>0.73434428233124405</v>
      </c>
      <c r="BG6" s="20">
        <f t="shared" si="7"/>
        <v>4.2299796423063247</v>
      </c>
      <c r="BH6" s="59">
        <f t="shared" si="8"/>
        <v>264.56331297563963</v>
      </c>
      <c r="BI6" s="59">
        <f ca="1">AVERAGE(OFFSET($BH$3,0,0,'Données projet'!$E$11+1,1))-AVERAGE(OFFSET($H$3,0,0,'Données projet'!$E$11+1,1))</f>
        <v>295.35565287134125</v>
      </c>
      <c r="BJ6" s="59">
        <f t="shared" si="38"/>
        <v>244.451492444461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2.1</v>
      </c>
      <c r="BY6" s="12">
        <f>IF('Données projet'!$A$114&gt;35,BY5+BX6-CG5,IF(A6&lt;'Données projet'!$A$114,$BV$205^A6,IF(A6='Données projet'!$A$114,'Données projet'!$B$114,BY5+BX6-CG5)))</f>
        <v>1.7518115829322798</v>
      </c>
      <c r="BZ6" s="13">
        <f>BY6*VLOOKUP('Données projet'!$B$12,Paramètres!$A$1:$I$89,3,0)*VLOOKUP('Données projet'!$B$12,Paramètres!$A$1:$I$89,5,0)</f>
        <v>1.885649987868306</v>
      </c>
      <c r="CA6" s="13">
        <f t="shared" si="39"/>
        <v>0.8071411281590839</v>
      </c>
      <c r="CB6" s="20">
        <f t="shared" si="10"/>
        <v>4.6899445270810372</v>
      </c>
      <c r="CC6" s="59">
        <f t="shared" si="11"/>
        <v>265.02327786041434</v>
      </c>
      <c r="CD6" s="59">
        <f ca="1">AVERAGE(OFFSET($CC$3,0,0,'Données projet'!$E$12+1,1))-AVERAGE(OFFSET($H$3,0,0,'Données projet'!$E$12+1,1))</f>
        <v>324.61094137855798</v>
      </c>
      <c r="CE6" s="59">
        <f t="shared" si="40"/>
        <v>267.2998309535638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7.333333333333333</v>
      </c>
      <c r="CT6" s="12">
        <f>IF('Données projet'!$A$140&gt;35,CT5+CS6-DB5,IF(A6&lt;'Données projet'!$A$140,$CQ$205^A6,IF(A6='Données projet'!$A$140,'Données projet'!$B$140,CT5+CS6-DB5)))</f>
        <v>2.5602273756445482</v>
      </c>
      <c r="CU6" s="17">
        <f>CT6*VLOOKUP('Données projet'!$B$13,Paramètres!$A$1:$I$89,3,0)*VLOOKUP('Données projet'!$B$13,Paramètres!$A$1:$I$89,5,0)</f>
        <v>1.5310159706354398</v>
      </c>
      <c r="CV6" s="13">
        <f t="shared" si="41"/>
        <v>0.67142907920622097</v>
      </c>
      <c r="CW6" s="20">
        <f t="shared" si="13"/>
        <v>3.8359251284742251</v>
      </c>
      <c r="CX6" s="59">
        <f t="shared" si="14"/>
        <v>264.16925846180754</v>
      </c>
      <c r="CY6" s="59">
        <f ca="1">AVERAGE(OFFSET($CX$3,0,0,'Données projet'!$E$13+1,1))-AVERAGE(OFFSET($H$3,0,0,'Données projet'!$E$13+1,1))</f>
        <v>319.9010109022521</v>
      </c>
      <c r="CZ6" s="59">
        <f t="shared" si="42"/>
        <v>441.82647565372287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7</v>
      </c>
      <c r="DO6" s="12">
        <f>IF('Données projet'!$A$166&gt;35,DO5+DN6-DW5,IF(A6&lt;'Données projet'!$A$166,$DL$205^A6,IF(A6='Données projet'!$A$166,'Données projet'!$B$166,DO5+DN6-DW5)))</f>
        <v>2.098549440402758</v>
      </c>
      <c r="DP6" s="17">
        <f>DO6*VLOOKUP('Données projet'!$B$14,Paramètres!$A$1:$I$89,3,0)*VLOOKUP('Données projet'!$B$14,Paramètres!$A$1:$I$89,5,0)</f>
        <v>0.98212113810849078</v>
      </c>
      <c r="DQ6" s="13">
        <f t="shared" si="43"/>
        <v>0.453554113888616</v>
      </c>
      <c r="DR6" s="20">
        <f t="shared" si="16"/>
        <v>2.5004677305616276</v>
      </c>
      <c r="DS6" s="59">
        <f t="shared" si="17"/>
        <v>262.83380106389495</v>
      </c>
      <c r="DT6" s="59">
        <f ca="1">AVERAGE(OFFSET($DS$3,0,0,'Données projet'!$E$14+1,1))-AVERAGE(OFFSET($H$3,0,0,'Données projet'!$E$14+1,1))</f>
        <v>229.61973863654862</v>
      </c>
      <c r="DU6" s="59">
        <f t="shared" si="44"/>
        <v>254.08208375594052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2.1</v>
      </c>
      <c r="N7" s="13">
        <f>IF('Données projet'!$A$36&gt;35,N6+M7-V6,IF(A7&lt;'Données projet'!$A$36,$K$205^A7,IF(A7='Données projet'!$A$36,'Données projet'!$B$36,N6+M7-V6)))</f>
        <v>2.1117857649667546</v>
      </c>
      <c r="O7" s="13">
        <f>N7*VLOOKUP('Données projet'!$B$9,Paramètres!$A$1:$I$89,3,0)*VLOOKUP('Données projet'!$B$9,Paramètres!$A$1:$I$89,5,0)</f>
        <v>1.9107437601419195</v>
      </c>
      <c r="P7" s="13">
        <f t="shared" si="33"/>
        <v>0.81662477151702284</v>
      </c>
      <c r="Q7" s="20">
        <f t="shared" si="2"/>
        <v>4.7501668593059909</v>
      </c>
      <c r="R7" s="59">
        <f t="shared" si="0"/>
        <v>266.30572241486152</v>
      </c>
      <c r="S7" s="59">
        <f ca="1">AVERAGE(OFFSET($R$3,0,0,'Données projet'!$E$9+1,1))-AVERAGE(OFFSET($H$3,0,0,'Données projet'!$E$9+1,1))</f>
        <v>373.59295497283125</v>
      </c>
      <c r="T7" s="59">
        <f t="shared" si="34"/>
        <v>231.36959598460686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2.1</v>
      </c>
      <c r="AI7" s="13">
        <f>IF('Données projet'!$A$62&gt;35,AI6+AH7-AQ6,IF(A7&lt;'Données projet'!$A$62,$AF$205^A7,IF(A7='Données projet'!$A$62,'Données projet'!$B$62,AI6+AH7-AQ6)))</f>
        <v>2.1117857649667546</v>
      </c>
      <c r="AJ7" s="13">
        <f>AI7*VLOOKUP('Données projet'!$B$10,Paramètres!$A$1:$I$89,3,0)*VLOOKUP('Données projet'!$B$10,Paramètres!$A$1:$I$89,5,0)</f>
        <v>2.1413507656762891</v>
      </c>
      <c r="AK7" s="13">
        <f t="shared" si="35"/>
        <v>0.9031249003236328</v>
      </c>
      <c r="AL7" s="20">
        <f t="shared" si="4"/>
        <v>5.3024617849498643</v>
      </c>
      <c r="AM7" s="59">
        <f t="shared" si="5"/>
        <v>266.8580173405054</v>
      </c>
      <c r="AN7" s="59">
        <f ca="1">AVERAGE(OFFSET($AM$3,0,0,'Données projet'!$E$10+1,1))-AVERAGE(OFFSET($H$3,0,0,'Données projet'!$E$10+1,1))</f>
        <v>413.81510455446738</v>
      </c>
      <c r="AO7" s="59">
        <f t="shared" si="36"/>
        <v>254.25036207346602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2.1</v>
      </c>
      <c r="BD7" s="12">
        <f>IF('Données projet'!$A$88&gt;35,BD6+BC7-BL6,IF(A7&lt;'Données projet'!$A$88,$BA$205^A7,IF(A7='Données projet'!$A$88,'Données projet'!$B$88,BD6+BC7-BL6)))</f>
        <v>2.1117857649667546</v>
      </c>
      <c r="BE7" s="13">
        <f>BD7*VLOOKUP('Données projet'!$B$11,Paramètres!$A$1:$I$89,3,0)*VLOOKUP('Données projet'!$B$11,Paramètres!$A$1:$I$89,5,0)</f>
        <v>2.042519191875845</v>
      </c>
      <c r="BF7" s="13">
        <f t="shared" si="37"/>
        <v>0.86619340226463792</v>
      </c>
      <c r="BG7" s="20">
        <f t="shared" si="7"/>
        <v>5.0660077681280073</v>
      </c>
      <c r="BH7" s="59">
        <f t="shared" si="8"/>
        <v>266.62156332368357</v>
      </c>
      <c r="BI7" s="59">
        <f ca="1">AVERAGE(OFFSET($BH$3,0,0,'Données projet'!$E$11+1,1))-AVERAGE(OFFSET($H$3,0,0,'Données projet'!$E$11+1,1))</f>
        <v>295.35565287134125</v>
      </c>
      <c r="BJ7" s="59">
        <f t="shared" si="38"/>
        <v>244.451492444461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2.1</v>
      </c>
      <c r="BY7" s="12">
        <f>IF('Données projet'!$A$114&gt;35,BY6+BX7-CG6,IF(A7&lt;'Données projet'!$A$114,$BV$205^A7,IF(A7='Données projet'!$A$114,'Données projet'!$B$114,BY6+BX7-CG6)))</f>
        <v>2.1117857649667546</v>
      </c>
      <c r="BZ7" s="13">
        <f>BY7*VLOOKUP('Données projet'!$B$12,Paramètres!$A$1:$I$89,3,0)*VLOOKUP('Données projet'!$B$12,Paramètres!$A$1:$I$89,5,0)</f>
        <v>2.2731261974102144</v>
      </c>
      <c r="CA7" s="13">
        <f t="shared" si="39"/>
        <v>0.95206068424520052</v>
      </c>
      <c r="CB7" s="20">
        <f t="shared" si="10"/>
        <v>5.617200485549847</v>
      </c>
      <c r="CC7" s="59">
        <f t="shared" si="11"/>
        <v>267.1727560411054</v>
      </c>
      <c r="CD7" s="59">
        <f ca="1">AVERAGE(OFFSET($CC$3,0,0,'Données projet'!$E$12+1,1))-AVERAGE(OFFSET($H$3,0,0,'Données projet'!$E$12+1,1))</f>
        <v>324.61094137855798</v>
      </c>
      <c r="CE7" s="59">
        <f t="shared" si="40"/>
        <v>267.2998309535638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7.333333333333333</v>
      </c>
      <c r="CT7" s="12">
        <f>IF('Données projet'!$A$140&gt;35,CT6+CS7-DB6,IF(A7&lt;'Données projet'!$A$140,$CQ$205^A7,IF(A7='Données projet'!$A$140,'Données projet'!$B$140,CT6+CS7-DB6)))</f>
        <v>3.5024454722749119</v>
      </c>
      <c r="CU7" s="17">
        <f>CT7*VLOOKUP('Données projet'!$B$13,Paramètres!$A$1:$I$89,3,0)*VLOOKUP('Données projet'!$B$13,Paramètres!$A$1:$I$89,5,0)</f>
        <v>2.0944623924203976</v>
      </c>
      <c r="CV7" s="13">
        <f t="shared" si="41"/>
        <v>0.88562890963839402</v>
      </c>
      <c r="CW7" s="20">
        <f t="shared" si="13"/>
        <v>5.1903256844190615</v>
      </c>
      <c r="CX7" s="59">
        <f t="shared" si="14"/>
        <v>266.74588123997461</v>
      </c>
      <c r="CY7" s="59">
        <f ca="1">AVERAGE(OFFSET($CX$3,0,0,'Données projet'!$E$13+1,1))-AVERAGE(OFFSET($H$3,0,0,'Données projet'!$E$13+1,1))</f>
        <v>319.9010109022521</v>
      </c>
      <c r="CZ7" s="59">
        <f t="shared" si="42"/>
        <v>441.82647565372287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7</v>
      </c>
      <c r="DO7" s="12">
        <f>IF('Données projet'!$A$166&gt;35,DO6+DN7-DW6,IF(A7&lt;'Données projet'!$A$166,$DL$205^A7,IF(A7='Données projet'!$A$166,'Données projet'!$B$166,DO6+DN7-DW6)))</f>
        <v>2.6867397897856629</v>
      </c>
      <c r="DP7" s="17">
        <f>DO7*VLOOKUP('Données projet'!$B$14,Paramètres!$A$1:$I$89,3,0)*VLOOKUP('Données projet'!$B$14,Paramètres!$A$1:$I$89,5,0)</f>
        <v>1.2573942216196903</v>
      </c>
      <c r="DQ7" s="13">
        <f t="shared" si="43"/>
        <v>0.56421554454586698</v>
      </c>
      <c r="DR7" s="20">
        <f t="shared" si="16"/>
        <v>3.1726370094050123</v>
      </c>
      <c r="DS7" s="59">
        <f t="shared" si="17"/>
        <v>264.72819256496058</v>
      </c>
      <c r="DT7" s="59">
        <f ca="1">AVERAGE(OFFSET($DS$3,0,0,'Données projet'!$E$14+1,1))-AVERAGE(OFFSET($H$3,0,0,'Données projet'!$E$14+1,1))</f>
        <v>229.61973863654862</v>
      </c>
      <c r="DU7" s="59">
        <f t="shared" si="44"/>
        <v>254.08208375594052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2.1</v>
      </c>
      <c r="N8" s="13">
        <f>IF('Données projet'!$A$36&gt;35,N7+M8-V7,IF(A8&lt;'Données projet'!$A$36,$K$205^A8,IF(A8='Données projet'!$A$36,'Données projet'!$B$36,N7+M8-V7)))</f>
        <v>2.5457298950218314</v>
      </c>
      <c r="O8" s="13">
        <f>N8*VLOOKUP('Données projet'!$B$9,Paramètres!$A$1:$I$89,3,0)*VLOOKUP('Données projet'!$B$9,Paramètres!$A$1:$I$89,5,0)</f>
        <v>2.3033764090157529</v>
      </c>
      <c r="P8" s="13">
        <f t="shared" si="33"/>
        <v>0.96324708482559218</v>
      </c>
      <c r="Q8" s="20">
        <f t="shared" si="2"/>
        <v>5.6893692517736758</v>
      </c>
      <c r="R8" s="59">
        <f t="shared" si="0"/>
        <v>268.46714702955143</v>
      </c>
      <c r="S8" s="59">
        <f ca="1">AVERAGE(OFFSET($R$3,0,0,'Données projet'!$E$9+1,1))-AVERAGE(OFFSET($H$3,0,0,'Données projet'!$E$9+1,1))</f>
        <v>373.59295497283125</v>
      </c>
      <c r="T8" s="59">
        <f t="shared" si="34"/>
        <v>231.36959598460686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2.1</v>
      </c>
      <c r="AI8" s="13">
        <f>IF('Données projet'!$A$62&gt;35,AI7+AH8-AQ7,IF(A8&lt;'Données projet'!$A$62,$AF$205^A8,IF(A8='Données projet'!$A$62,'Données projet'!$B$62,AI7+AH8-AQ7)))</f>
        <v>2.5457298950218314</v>
      </c>
      <c r="AJ8" s="13">
        <f>AI8*VLOOKUP('Données projet'!$B$10,Paramètres!$A$1:$I$89,3,0)*VLOOKUP('Données projet'!$B$10,Paramètres!$A$1:$I$89,5,0)</f>
        <v>2.5813701135521372</v>
      </c>
      <c r="AK8" s="13">
        <f t="shared" si="35"/>
        <v>1.0652780295337991</v>
      </c>
      <c r="AL8" s="20">
        <f t="shared" si="4"/>
        <v>6.3512455158746723</v>
      </c>
      <c r="AM8" s="59">
        <f t="shared" si="5"/>
        <v>269.12902329365244</v>
      </c>
      <c r="AN8" s="59">
        <f ca="1">AVERAGE(OFFSET($AM$3,0,0,'Données projet'!$E$10+1,1))-AVERAGE(OFFSET($H$3,0,0,'Données projet'!$E$10+1,1))</f>
        <v>413.81510455446738</v>
      </c>
      <c r="AO8" s="59">
        <f t="shared" si="36"/>
        <v>254.25036207346602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2.1</v>
      </c>
      <c r="BD8" s="12">
        <f>IF('Données projet'!$A$88&gt;35,BD7+BC8-BL7,IF(A8&lt;'Données projet'!$A$88,$BA$205^A8,IF(A8='Données projet'!$A$88,'Données projet'!$B$88,BD7+BC8-BL7)))</f>
        <v>2.5457298950218314</v>
      </c>
      <c r="BE8" s="13">
        <f>BD8*VLOOKUP('Données projet'!$B$11,Paramètres!$A$1:$I$89,3,0)*VLOOKUP('Données projet'!$B$11,Paramètres!$A$1:$I$89,5,0)</f>
        <v>2.4622299544651152</v>
      </c>
      <c r="BF8" s="13">
        <f t="shared" si="37"/>
        <v>1.021715601495419</v>
      </c>
      <c r="BG8" s="20">
        <f t="shared" si="7"/>
        <v>6.0678718432979295</v>
      </c>
      <c r="BH8" s="59">
        <f t="shared" si="8"/>
        <v>268.84564962107572</v>
      </c>
      <c r="BI8" s="59">
        <f ca="1">AVERAGE(OFFSET($BH$3,0,0,'Données projet'!$E$11+1,1))-AVERAGE(OFFSET($H$3,0,0,'Données projet'!$E$11+1,1))</f>
        <v>295.35565287134125</v>
      </c>
      <c r="BJ8" s="59">
        <f t="shared" si="38"/>
        <v>244.451492444461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2.1</v>
      </c>
      <c r="BY8" s="12">
        <f>IF('Données projet'!$A$114&gt;35,BY7+BX8-CG7,IF(A8&lt;'Données projet'!$A$114,$BV$205^A8,IF(A8='Données projet'!$A$114,'Données projet'!$B$114,BY7+BX8-CG7)))</f>
        <v>2.5457298950218314</v>
      </c>
      <c r="BZ8" s="13">
        <f>BY8*VLOOKUP('Données projet'!$B$12,Paramètres!$A$1:$I$89,3,0)*VLOOKUP('Données projet'!$B$12,Paramètres!$A$1:$I$89,5,0)</f>
        <v>2.740223659001499</v>
      </c>
      <c r="CA8" s="13">
        <f t="shared" si="39"/>
        <v>1.1230000737947632</v>
      </c>
      <c r="CB8" s="20">
        <f t="shared" si="10"/>
        <v>6.7284480012868242</v>
      </c>
      <c r="CC8" s="59">
        <f t="shared" si="11"/>
        <v>269.50622577906461</v>
      </c>
      <c r="CD8" s="59">
        <f ca="1">AVERAGE(OFFSET($CC$3,0,0,'Données projet'!$E$12+1,1))-AVERAGE(OFFSET($H$3,0,0,'Données projet'!$E$12+1,1))</f>
        <v>324.61094137855798</v>
      </c>
      <c r="CE8" s="59">
        <f t="shared" si="40"/>
        <v>267.2998309535638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7.333333333333333</v>
      </c>
      <c r="CT8" s="12">
        <f>IF('Données projet'!$A$140&gt;35,CT7+CS8-DB7,IF(A8&lt;'Données projet'!$A$140,$CQ$205^A8,IF(A8='Données projet'!$A$140,'Données projet'!$B$140,CT7+CS8-DB7)))</f>
        <v>4.7914198570627855</v>
      </c>
      <c r="CU8" s="17">
        <f>CT8*VLOOKUP('Données projet'!$B$13,Paramètres!$A$1:$I$89,3,0)*VLOOKUP('Données projet'!$B$13,Paramètres!$A$1:$I$89,5,0)</f>
        <v>2.8652690745235461</v>
      </c>
      <c r="CV8" s="13">
        <f t="shared" si="41"/>
        <v>1.1681629376471956</v>
      </c>
      <c r="CW8" s="20">
        <f t="shared" si="13"/>
        <v>7.024894087864042</v>
      </c>
      <c r="CX8" s="59">
        <f t="shared" si="14"/>
        <v>269.8026718656418</v>
      </c>
      <c r="CY8" s="59">
        <f ca="1">AVERAGE(OFFSET($CX$3,0,0,'Données projet'!$E$13+1,1))-AVERAGE(OFFSET($H$3,0,0,'Données projet'!$E$13+1,1))</f>
        <v>319.9010109022521</v>
      </c>
      <c r="CZ8" s="59">
        <f t="shared" si="42"/>
        <v>441.82647565372287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7</v>
      </c>
      <c r="DO8" s="12">
        <f>IF('Données projet'!$A$166&gt;35,DO7+DN8-DW7,IF(A8&lt;'Données projet'!$A$166,$DL$205^A8,IF(A8='Données projet'!$A$166,'Données projet'!$B$166,DO7+DN8-DW7)))</f>
        <v>3.4397906282503903</v>
      </c>
      <c r="DP8" s="17">
        <f>DO8*VLOOKUP('Données projet'!$B$14,Paramètres!$A$1:$I$89,3,0)*VLOOKUP('Données projet'!$B$14,Paramètres!$A$1:$I$89,5,0)</f>
        <v>1.6098220140211825</v>
      </c>
      <c r="DQ8" s="13">
        <f t="shared" si="43"/>
        <v>0.70187695571286812</v>
      </c>
      <c r="DR8" s="20">
        <f t="shared" si="16"/>
        <v>4.0262090389534713</v>
      </c>
      <c r="DS8" s="59">
        <f t="shared" si="17"/>
        <v>266.80398681673125</v>
      </c>
      <c r="DT8" s="59">
        <f ca="1">AVERAGE(OFFSET($DS$3,0,0,'Données projet'!$E$14+1,1))-AVERAGE(OFFSET($H$3,0,0,'Données projet'!$E$14+1,1))</f>
        <v>229.61973863654862</v>
      </c>
      <c r="DU8" s="59">
        <f t="shared" si="44"/>
        <v>254.08208375594052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2.1</v>
      </c>
      <c r="N9" s="13">
        <f>IF('Données projet'!$A$36&gt;35,N8+M9-V8,IF(A9&lt;'Données projet'!$A$36,$K$205^A9,IF(A9='Données projet'!$A$36,'Données projet'!$B$36,N8+M9-V8)))</f>
        <v>3.0688438220956993</v>
      </c>
      <c r="O9" s="13">
        <f>N9*VLOOKUP('Données projet'!$B$9,Paramètres!$A$1:$I$89,3,0)*VLOOKUP('Données projet'!$B$9,Paramètres!$A$1:$I$89,5,0)</f>
        <v>2.7766898902321886</v>
      </c>
      <c r="P9" s="13">
        <f t="shared" si="33"/>
        <v>1.1361949561012803</v>
      </c>
      <c r="Q9" s="20">
        <f t="shared" si="2"/>
        <v>6.8149411073641248</v>
      </c>
      <c r="R9" s="59">
        <f t="shared" si="0"/>
        <v>270.81494110736412</v>
      </c>
      <c r="S9" s="59">
        <f ca="1">AVERAGE(OFFSET($R$3,0,0,'Données projet'!$E$9+1,1))-AVERAGE(OFFSET($H$3,0,0,'Données projet'!$E$9+1,1))</f>
        <v>373.59295497283125</v>
      </c>
      <c r="T9" s="59">
        <f t="shared" si="34"/>
        <v>231.36959598460686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2.1</v>
      </c>
      <c r="AI9" s="13">
        <f>IF('Données projet'!$A$62&gt;35,AI8+AH9-AQ8,IF(A9&lt;'Données projet'!$A$62,$AF$205^A9,IF(A9='Données projet'!$A$62,'Données projet'!$B$62,AI8+AH9-AQ8)))</f>
        <v>3.0688438220956993</v>
      </c>
      <c r="AJ9" s="13">
        <f>AI9*VLOOKUP('Données projet'!$B$10,Paramètres!$A$1:$I$89,3,0)*VLOOKUP('Données projet'!$B$10,Paramètres!$A$1:$I$89,5,0)</f>
        <v>3.111807635605039</v>
      </c>
      <c r="AK9" s="13">
        <f t="shared" si="35"/>
        <v>1.2565452240335246</v>
      </c>
      <c r="AL9" s="20">
        <f t="shared" si="4"/>
        <v>7.6082145638704972</v>
      </c>
      <c r="AM9" s="59">
        <f t="shared" si="5"/>
        <v>271.60821456387049</v>
      </c>
      <c r="AN9" s="59">
        <f ca="1">AVERAGE(OFFSET($AM$3,0,0,'Données projet'!$E$10+1,1))-AVERAGE(OFFSET($H$3,0,0,'Données projet'!$E$10+1,1))</f>
        <v>413.81510455446738</v>
      </c>
      <c r="AO9" s="59">
        <f t="shared" si="36"/>
        <v>254.25036207346602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2.1</v>
      </c>
      <c r="BD9" s="12">
        <f>IF('Données projet'!$A$88&gt;35,BD8+BC9-BL8,IF(A9&lt;'Données projet'!$A$88,$BA$205^A9,IF(A9='Données projet'!$A$88,'Données projet'!$B$88,BD8+BC9-BL8)))</f>
        <v>3.0688438220956993</v>
      </c>
      <c r="BE9" s="13">
        <f>BD9*VLOOKUP('Données projet'!$B$11,Paramètres!$A$1:$I$89,3,0)*VLOOKUP('Données projet'!$B$11,Paramètres!$A$1:$I$89,5,0)</f>
        <v>2.9681857447309605</v>
      </c>
      <c r="BF9" s="13">
        <f t="shared" si="37"/>
        <v>1.2051613041728233</v>
      </c>
      <c r="BG9" s="20">
        <f t="shared" si="7"/>
        <v>7.2685794435074236</v>
      </c>
      <c r="BH9" s="59">
        <f t="shared" si="8"/>
        <v>271.26857944350741</v>
      </c>
      <c r="BI9" s="59">
        <f ca="1">AVERAGE(OFFSET($BH$3,0,0,'Données projet'!$E$11+1,1))-AVERAGE(OFFSET($H$3,0,0,'Données projet'!$E$11+1,1))</f>
        <v>295.35565287134125</v>
      </c>
      <c r="BJ9" s="59">
        <f t="shared" si="38"/>
        <v>244.451492444461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2.1</v>
      </c>
      <c r="BY9" s="12">
        <f>IF('Données projet'!$A$114&gt;35,BY8+BX9-CG8,IF(A9&lt;'Données projet'!$A$114,$BV$205^A9,IF(A9='Données projet'!$A$114,'Données projet'!$B$114,BY8+BX9-CG8)))</f>
        <v>3.0688438220956993</v>
      </c>
      <c r="BZ9" s="13">
        <f>BY9*VLOOKUP('Données projet'!$B$12,Paramètres!$A$1:$I$89,3,0)*VLOOKUP('Données projet'!$B$12,Paramètres!$A$1:$I$89,5,0)</f>
        <v>3.3033034901038101</v>
      </c>
      <c r="CA9" s="13">
        <f t="shared" si="39"/>
        <v>1.3246310730107231</v>
      </c>
      <c r="CB9" s="20">
        <f t="shared" si="10"/>
        <v>8.0603193640911446</v>
      </c>
      <c r="CC9" s="59">
        <f t="shared" si="11"/>
        <v>272.06031936409113</v>
      </c>
      <c r="CD9" s="59">
        <f ca="1">AVERAGE(OFFSET($CC$3,0,0,'Données projet'!$E$12+1,1))-AVERAGE(OFFSET($H$3,0,0,'Données projet'!$E$12+1,1))</f>
        <v>324.61094137855798</v>
      </c>
      <c r="CE9" s="59">
        <f t="shared" si="40"/>
        <v>267.2998309535638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7.333333333333333</v>
      </c>
      <c r="CT9" s="12">
        <f>IF('Données projet'!$A$140&gt;35,CT8+CS9-DB8,IF(A9&lt;'Données projet'!$A$140,$CQ$205^A9,IF(A9='Données projet'!$A$140,'Données projet'!$B$140,CT8+CS9-DB8)))</f>
        <v>6.5547642149997696</v>
      </c>
      <c r="CU9" s="17">
        <f>CT9*VLOOKUP('Données projet'!$B$13,Paramètres!$A$1:$I$89,3,0)*VLOOKUP('Données projet'!$B$13,Paramètres!$A$1:$I$89,5,0)</f>
        <v>3.9197490005698628</v>
      </c>
      <c r="CV9" s="13">
        <f t="shared" si="41"/>
        <v>1.5408311924344247</v>
      </c>
      <c r="CW9" s="20">
        <f t="shared" si="13"/>
        <v>9.5105105028157997</v>
      </c>
      <c r="CX9" s="59">
        <f t="shared" si="14"/>
        <v>273.51051050281581</v>
      </c>
      <c r="CY9" s="59">
        <f ca="1">AVERAGE(OFFSET($CX$3,0,0,'Données projet'!$E$13+1,1))-AVERAGE(OFFSET($H$3,0,0,'Données projet'!$E$13+1,1))</f>
        <v>319.9010109022521</v>
      </c>
      <c r="CZ9" s="59">
        <f t="shared" si="42"/>
        <v>441.82647565372287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7</v>
      </c>
      <c r="DO9" s="12">
        <f>IF('Données projet'!$A$166&gt;35,DO8+DN9-DW8,IF(A9&lt;'Données projet'!$A$166,$DL$205^A9,IF(A9='Données projet'!$A$166,'Données projet'!$B$166,DO8+DN9-DW8)))</f>
        <v>4.4039097538147285</v>
      </c>
      <c r="DP9" s="17">
        <f>DO9*VLOOKUP('Données projet'!$B$14,Paramètres!$A$1:$I$89,3,0)*VLOOKUP('Données projet'!$B$14,Paramètres!$A$1:$I$89,5,0)</f>
        <v>2.0610297647852929</v>
      </c>
      <c r="DQ9" s="13">
        <f t="shared" si="43"/>
        <v>0.87312599896069631</v>
      </c>
      <c r="DR9" s="20">
        <f t="shared" si="16"/>
        <v>5.1103212885242639</v>
      </c>
      <c r="DS9" s="59">
        <f t="shared" si="17"/>
        <v>269.11032128852429</v>
      </c>
      <c r="DT9" s="59">
        <f ca="1">AVERAGE(OFFSET($DS$3,0,0,'Données projet'!$E$14+1,1))-AVERAGE(OFFSET($H$3,0,0,'Données projet'!$E$14+1,1))</f>
        <v>229.61973863654862</v>
      </c>
      <c r="DU9" s="59">
        <f t="shared" si="44"/>
        <v>254.08208375594052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2.1</v>
      </c>
      <c r="N10" s="13">
        <f>IF('Données projet'!$A$36&gt;35,N9+M10-V9,IF(A10&lt;'Données projet'!$A$36,$K$205^A10,IF(A10='Données projet'!$A$36,'Données projet'!$B$36,N9+M10-V9)))</f>
        <v>3.6994507637402658</v>
      </c>
      <c r="O10" s="13">
        <f>N10*VLOOKUP('Données projet'!$B$9,Paramètres!$A$1:$I$89,3,0)*VLOOKUP('Données projet'!$B$9,Paramètres!$A$1:$I$89,5,0)</f>
        <v>3.3472630510321921</v>
      </c>
      <c r="P10" s="13">
        <f t="shared" si="33"/>
        <v>1.34019505338418</v>
      </c>
      <c r="Q10" s="20">
        <f t="shared" si="2"/>
        <v>8.1639895318585136</v>
      </c>
      <c r="R10" s="59">
        <f t="shared" si="0"/>
        <v>273.38621175408076</v>
      </c>
      <c r="S10" s="59">
        <f ca="1">AVERAGE(OFFSET($R$3,0,0,'Données projet'!$E$9+1,1))-AVERAGE(OFFSET($H$3,0,0,'Données projet'!$E$9+1,1))</f>
        <v>373.59295497283125</v>
      </c>
      <c r="T10" s="59">
        <f t="shared" si="34"/>
        <v>231.36959598460686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2.1</v>
      </c>
      <c r="AI10" s="13">
        <f>IF('Données projet'!$A$62&gt;35,AI9+AH10-AQ9,IF(A10&lt;'Données projet'!$A$62,$AF$205^A10,IF(A10='Données projet'!$A$62,'Données projet'!$B$62,AI9+AH10-AQ9)))</f>
        <v>3.6994507637402658</v>
      </c>
      <c r="AJ10" s="13">
        <f>AI10*VLOOKUP('Données projet'!$B$10,Paramètres!$A$1:$I$89,3,0)*VLOOKUP('Données projet'!$B$10,Paramètres!$A$1:$I$89,5,0)</f>
        <v>3.7512430744326299</v>
      </c>
      <c r="AK10" s="13">
        <f t="shared" si="35"/>
        <v>1.4821538192545303</v>
      </c>
      <c r="AL10" s="20">
        <f t="shared" si="4"/>
        <v>9.1148329231718037</v>
      </c>
      <c r="AM10" s="59">
        <f t="shared" si="5"/>
        <v>274.33705514539406</v>
      </c>
      <c r="AN10" s="59">
        <f ca="1">AVERAGE(OFFSET($AM$3,0,0,'Données projet'!$E$10+1,1))-AVERAGE(OFFSET($H$3,0,0,'Données projet'!$E$10+1,1))</f>
        <v>413.81510455446738</v>
      </c>
      <c r="AO10" s="59">
        <f t="shared" si="36"/>
        <v>254.25036207346602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2.1</v>
      </c>
      <c r="BD10" s="12">
        <f>IF('Données projet'!$A$88&gt;35,BD9+BC10-BL9,IF(A10&lt;'Données projet'!$A$88,$BA$205^A10,IF(A10='Données projet'!$A$88,'Données projet'!$B$88,BD9+BC10-BL9)))</f>
        <v>3.6994507637402658</v>
      </c>
      <c r="BE10" s="13">
        <f>BD10*VLOOKUP('Données projet'!$B$11,Paramètres!$A$1:$I$89,3,0)*VLOOKUP('Données projet'!$B$11,Paramètres!$A$1:$I$89,5,0)</f>
        <v>3.5781087786895851</v>
      </c>
      <c r="BF10" s="13">
        <f t="shared" si="37"/>
        <v>1.4215440842341414</v>
      </c>
      <c r="BG10" s="20">
        <f t="shared" si="7"/>
        <v>8.707728736258824</v>
      </c>
      <c r="BH10" s="59">
        <f t="shared" si="8"/>
        <v>273.92995095848107</v>
      </c>
      <c r="BI10" s="59">
        <f ca="1">AVERAGE(OFFSET($BH$3,0,0,'Données projet'!$E$11+1,1))-AVERAGE(OFFSET($H$3,0,0,'Données projet'!$E$11+1,1))</f>
        <v>295.35565287134125</v>
      </c>
      <c r="BJ10" s="59">
        <f t="shared" si="38"/>
        <v>244.451492444461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2.1</v>
      </c>
      <c r="BY10" s="12">
        <f>IF('Données projet'!$A$114&gt;35,BY9+BX10-CG9,IF(A10&lt;'Données projet'!$A$114,$BV$205^A10,IF(A10='Données projet'!$A$114,'Données projet'!$B$114,BY9+BX10-CG9)))</f>
        <v>3.6994507637402658</v>
      </c>
      <c r="BZ10" s="13">
        <f>BY10*VLOOKUP('Données projet'!$B$12,Paramètres!$A$1:$I$89,3,0)*VLOOKUP('Données projet'!$B$12,Paramètres!$A$1:$I$89,5,0)</f>
        <v>3.982088802090022</v>
      </c>
      <c r="CA10" s="13">
        <f t="shared" si="39"/>
        <v>1.5624642602705792</v>
      </c>
      <c r="CB10" s="20">
        <f t="shared" si="10"/>
        <v>9.6567632502780452</v>
      </c>
      <c r="CC10" s="59">
        <f t="shared" si="11"/>
        <v>274.87898547250029</v>
      </c>
      <c r="CD10" s="59">
        <f ca="1">AVERAGE(OFFSET($CC$3,0,0,'Données projet'!$E$12+1,1))-AVERAGE(OFFSET($H$3,0,0,'Données projet'!$E$12+1,1))</f>
        <v>324.61094137855798</v>
      </c>
      <c r="CE10" s="59">
        <f t="shared" si="40"/>
        <v>267.2998309535638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7.333333333333333</v>
      </c>
      <c r="CT10" s="12">
        <f>IF('Données projet'!$A$140&gt;35,CT9+CS10-DB9,IF(A10&lt;'Données projet'!$A$140,$CQ$205^A10,IF(A10='Données projet'!$A$140,'Données projet'!$B$140,CT9+CS10-DB9)))</f>
        <v>8.9670567798205276</v>
      </c>
      <c r="CU10" s="17">
        <f>CT10*VLOOKUP('Données projet'!$B$13,Paramètres!$A$1:$I$89,3,0)*VLOOKUP('Données projet'!$B$13,Paramètres!$A$1:$I$89,5,0)</f>
        <v>5.3622999543326761</v>
      </c>
      <c r="CV10" s="13">
        <f t="shared" si="41"/>
        <v>2.032388365582547</v>
      </c>
      <c r="CW10" s="20">
        <f t="shared" si="13"/>
        <v>12.87908215718568</v>
      </c>
      <c r="CX10" s="59">
        <f t="shared" si="14"/>
        <v>278.10130437940791</v>
      </c>
      <c r="CY10" s="59">
        <f ca="1">AVERAGE(OFFSET($CX$3,0,0,'Données projet'!$E$13+1,1))-AVERAGE(OFFSET($H$3,0,0,'Données projet'!$E$13+1,1))</f>
        <v>319.9010109022521</v>
      </c>
      <c r="CZ10" s="59">
        <f t="shared" si="42"/>
        <v>441.82647565372287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7</v>
      </c>
      <c r="DO10" s="12">
        <f>IF('Données projet'!$A$166&gt;35,DO9+DN10-DW9,IF(A10&lt;'Données projet'!$A$166,$DL$205^A10,IF(A10='Données projet'!$A$166,'Données projet'!$B$166,DO9+DN10-DW9)))</f>
        <v>5.6382562823625264</v>
      </c>
      <c r="DP10" s="17">
        <f>DO10*VLOOKUP('Données projet'!$B$14,Paramètres!$A$1:$I$89,3,0)*VLOOKUP('Données projet'!$B$14,Paramètres!$A$1:$I$89,5,0)</f>
        <v>2.6387039401456627</v>
      </c>
      <c r="DQ10" s="13">
        <f t="shared" si="43"/>
        <v>1.0861576289918606</v>
      </c>
      <c r="DR10" s="20">
        <f t="shared" si="16"/>
        <v>6.4874672329145193</v>
      </c>
      <c r="DS10" s="59">
        <f t="shared" si="17"/>
        <v>271.70968945513675</v>
      </c>
      <c r="DT10" s="59">
        <f ca="1">AVERAGE(OFFSET($DS$3,0,0,'Données projet'!$E$14+1,1))-AVERAGE(OFFSET($H$3,0,0,'Données projet'!$E$14+1,1))</f>
        <v>229.61973863654862</v>
      </c>
      <c r="DU10" s="59">
        <f t="shared" si="44"/>
        <v>254.08208375594052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2.1</v>
      </c>
      <c r="N11" s="13">
        <f>IF('Données projet'!$A$36&gt;35,N10+M11-V10,IF(A11&lt;'Données projet'!$A$36,$K$205^A11,IF(A11='Données projet'!$A$36,'Données projet'!$B$36,N10+M11-V10)))</f>
        <v>4.4596391171162209</v>
      </c>
      <c r="O11" s="13">
        <f>N11*VLOOKUP('Données projet'!$B$9,Paramètres!$A$1:$I$89,3,0)*VLOOKUP('Données projet'!$B$9,Paramètres!$A$1:$I$89,5,0)</f>
        <v>4.0350814731667564</v>
      </c>
      <c r="P11" s="13">
        <f t="shared" si="33"/>
        <v>1.5808227025391921</v>
      </c>
      <c r="Q11" s="20">
        <f t="shared" si="2"/>
        <v>9.7810331060211926</v>
      </c>
      <c r="R11" s="59">
        <f t="shared" si="0"/>
        <v>276.22547755046565</v>
      </c>
      <c r="S11" s="59">
        <f ca="1">AVERAGE(OFFSET($R$3,0,0,'Données projet'!$E$9+1,1))-AVERAGE(OFFSET($H$3,0,0,'Données projet'!$E$9+1,1))</f>
        <v>373.59295497283125</v>
      </c>
      <c r="T11" s="59">
        <f t="shared" si="34"/>
        <v>231.36959598460686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2.1</v>
      </c>
      <c r="AI11" s="13">
        <f>IF('Données projet'!$A$62&gt;35,AI10+AH11-AQ10,IF(A11&lt;'Données projet'!$A$62,$AF$205^A11,IF(A11='Données projet'!$A$62,'Données projet'!$B$62,AI10+AH11-AQ10)))</f>
        <v>4.4596391171162209</v>
      </c>
      <c r="AJ11" s="13">
        <f>AI11*VLOOKUP('Données projet'!$B$10,Paramètres!$A$1:$I$89,3,0)*VLOOKUP('Données projet'!$B$10,Paramètres!$A$1:$I$89,5,0)</f>
        <v>4.5220740647558486</v>
      </c>
      <c r="AK11" s="13">
        <f t="shared" si="35"/>
        <v>1.7482697016499746</v>
      </c>
      <c r="AL11" s="20">
        <f t="shared" si="4"/>
        <v>10.92084872649014</v>
      </c>
      <c r="AM11" s="59">
        <f t="shared" si="5"/>
        <v>277.36529317093459</v>
      </c>
      <c r="AN11" s="59">
        <f ca="1">AVERAGE(OFFSET($AM$3,0,0,'Données projet'!$E$10+1,1))-AVERAGE(OFFSET($H$3,0,0,'Données projet'!$E$10+1,1))</f>
        <v>413.81510455446738</v>
      </c>
      <c r="AO11" s="59">
        <f t="shared" si="36"/>
        <v>254.25036207346602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2.1</v>
      </c>
      <c r="BD11" s="12">
        <f>IF('Données projet'!$A$88&gt;35,BD10+BC11-BL10,IF(A11&lt;'Données projet'!$A$88,$BA$205^A11,IF(A11='Données projet'!$A$88,'Données projet'!$B$88,BD10+BC11-BL10)))</f>
        <v>4.4596391171162209</v>
      </c>
      <c r="BE11" s="13">
        <f>BD11*VLOOKUP('Données projet'!$B$11,Paramètres!$A$1:$I$89,3,0)*VLOOKUP('Données projet'!$B$11,Paramètres!$A$1:$I$89,5,0)</f>
        <v>4.3133629540748091</v>
      </c>
      <c r="BF11" s="13">
        <f t="shared" si="37"/>
        <v>1.6767776864592203</v>
      </c>
      <c r="BG11" s="20">
        <f t="shared" si="7"/>
        <v>10.432828282263435</v>
      </c>
      <c r="BH11" s="59">
        <f t="shared" si="8"/>
        <v>276.87727272670787</v>
      </c>
      <c r="BI11" s="59">
        <f ca="1">AVERAGE(OFFSET($BH$3,0,0,'Données projet'!$E$11+1,1))-AVERAGE(OFFSET($H$3,0,0,'Données projet'!$E$11+1,1))</f>
        <v>295.35565287134125</v>
      </c>
      <c r="BJ11" s="59">
        <f t="shared" si="38"/>
        <v>244.451492444461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2.1</v>
      </c>
      <c r="BY11" s="12">
        <f>IF('Données projet'!$A$114&gt;35,BY10+BX11-CG10,IF(A11&lt;'Données projet'!$A$114,$BV$205^A11,IF(A11='Données projet'!$A$114,'Données projet'!$B$114,BY10+BX11-CG10)))</f>
        <v>4.4596391171162209</v>
      </c>
      <c r="BZ11" s="13">
        <f>BY11*VLOOKUP('Données projet'!$B$12,Paramètres!$A$1:$I$89,3,0)*VLOOKUP('Données projet'!$B$12,Paramètres!$A$1:$I$89,5,0)</f>
        <v>4.8003555456638995</v>
      </c>
      <c r="CA11" s="13">
        <f t="shared" si="39"/>
        <v>1.8429996203200378</v>
      </c>
      <c r="CB11" s="20">
        <f t="shared" si="10"/>
        <v>11.570510247422023</v>
      </c>
      <c r="CC11" s="59">
        <f t="shared" si="11"/>
        <v>278.01495469186648</v>
      </c>
      <c r="CD11" s="59">
        <f ca="1">AVERAGE(OFFSET($CC$3,0,0,'Données projet'!$E$12+1,1))-AVERAGE(OFFSET($H$3,0,0,'Données projet'!$E$12+1,1))</f>
        <v>324.61094137855798</v>
      </c>
      <c r="CE11" s="59">
        <f t="shared" si="40"/>
        <v>267.2998309535638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7.333333333333333</v>
      </c>
      <c r="CT11" s="12">
        <f>IF('Données projet'!$A$140&gt;35,CT10+CS11-DB10,IF(A11&lt;'Données projet'!$A$140,$CQ$205^A11,IF(A11='Données projet'!$A$140,'Données projet'!$B$140,CT10+CS11-DB10)))</f>
        <v>12.26712428625903</v>
      </c>
      <c r="CU11" s="17">
        <f>CT11*VLOOKUP('Données projet'!$B$13,Paramètres!$A$1:$I$89,3,0)*VLOOKUP('Données projet'!$B$13,Paramètres!$A$1:$I$89,5,0)</f>
        <v>7.3357403231829004</v>
      </c>
      <c r="CV11" s="13">
        <f t="shared" si="41"/>
        <v>2.6807624928913736</v>
      </c>
      <c r="CW11" s="20">
        <f t="shared" si="13"/>
        <v>17.445409071329362</v>
      </c>
      <c r="CX11" s="59">
        <f t="shared" si="14"/>
        <v>283.88985351577384</v>
      </c>
      <c r="CY11" s="59">
        <f ca="1">AVERAGE(OFFSET($CX$3,0,0,'Données projet'!$E$13+1,1))-AVERAGE(OFFSET($H$3,0,0,'Données projet'!$E$13+1,1))</f>
        <v>319.9010109022521</v>
      </c>
      <c r="CZ11" s="59">
        <f t="shared" si="42"/>
        <v>441.82647565372287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7</v>
      </c>
      <c r="DO11" s="12">
        <f>IF('Données projet'!$A$166&gt;35,DO10+DN11-DW10,IF(A11&lt;'Données projet'!$A$166,$DL$205^A11,IF(A11='Données projet'!$A$166,'Données projet'!$B$166,DO10+DN11-DW10)))</f>
        <v>7.2185706980175075</v>
      </c>
      <c r="DP11" s="17">
        <f>DO11*VLOOKUP('Données projet'!$B$14,Paramètres!$A$1:$I$89,3,0)*VLOOKUP('Données projet'!$B$14,Paramètres!$A$1:$I$89,5,0)</f>
        <v>3.3782910866721938</v>
      </c>
      <c r="DQ11" s="13">
        <f t="shared" si="43"/>
        <v>1.3511662651455716</v>
      </c>
      <c r="DR11" s="20">
        <f t="shared" si="16"/>
        <v>8.2371382210826081</v>
      </c>
      <c r="DS11" s="59">
        <f t="shared" si="17"/>
        <v>274.68158266552706</v>
      </c>
      <c r="DT11" s="59">
        <f ca="1">AVERAGE(OFFSET($DS$3,0,0,'Données projet'!$E$14+1,1))-AVERAGE(OFFSET($H$3,0,0,'Données projet'!$E$14+1,1))</f>
        <v>229.61973863654862</v>
      </c>
      <c r="DU11" s="59">
        <f t="shared" si="44"/>
        <v>254.08208375594052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2.1</v>
      </c>
      <c r="N12" s="13">
        <f>IF('Données projet'!$A$36&gt;35,N11+M12-V11,IF(A12&lt;'Données projet'!$A$36,$K$205^A12,IF(A12='Données projet'!$A$36,'Données projet'!$B$36,N11+M12-V11)))</f>
        <v>5.3760361537574148</v>
      </c>
      <c r="O12" s="13">
        <f>N12*VLOOKUP('Données projet'!$B$9,Paramètres!$A$1:$I$89,3,0)*VLOOKUP('Données projet'!$B$9,Paramètres!$A$1:$I$89,5,0)</f>
        <v>4.8642375119197085</v>
      </c>
      <c r="P12" s="13">
        <f t="shared" si="33"/>
        <v>1.8646542609995393</v>
      </c>
      <c r="Q12" s="20">
        <f t="shared" si="2"/>
        <v>11.719486504501022</v>
      </c>
      <c r="R12" s="59">
        <f t="shared" si="0"/>
        <v>279.38615317116773</v>
      </c>
      <c r="S12" s="59">
        <f ca="1">AVERAGE(OFFSET($R$3,0,0,'Données projet'!$E$9+1,1))-AVERAGE(OFFSET($H$3,0,0,'Données projet'!$E$9+1,1))</f>
        <v>373.59295497283125</v>
      </c>
      <c r="T12" s="59">
        <f t="shared" si="34"/>
        <v>231.36959598460686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2.1</v>
      </c>
      <c r="AI12" s="13">
        <f>IF('Données projet'!$A$62&gt;35,AI11+AH12-AQ11,IF(A12&lt;'Données projet'!$A$62,$AF$205^A12,IF(A12='Données projet'!$A$62,'Données projet'!$B$62,AI11+AH12-AQ11)))</f>
        <v>5.3760361537574148</v>
      </c>
      <c r="AJ12" s="13">
        <f>AI12*VLOOKUP('Données projet'!$B$10,Paramètres!$A$1:$I$89,3,0)*VLOOKUP('Données projet'!$B$10,Paramètres!$A$1:$I$89,5,0)</f>
        <v>5.4513006599100189</v>
      </c>
      <c r="AK12" s="13">
        <f t="shared" si="35"/>
        <v>2.062165822468125</v>
      </c>
      <c r="AL12" s="20">
        <f t="shared" si="4"/>
        <v>13.085954123475267</v>
      </c>
      <c r="AM12" s="59">
        <f t="shared" si="5"/>
        <v>280.75262079014198</v>
      </c>
      <c r="AN12" s="59">
        <f ca="1">AVERAGE(OFFSET($AM$3,0,0,'Données projet'!$E$10+1,1))-AVERAGE(OFFSET($H$3,0,0,'Données projet'!$E$10+1,1))</f>
        <v>413.81510455446738</v>
      </c>
      <c r="AO12" s="59">
        <f t="shared" si="36"/>
        <v>254.25036207346602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2.1</v>
      </c>
      <c r="BD12" s="12">
        <f>IF('Données projet'!$A$88&gt;35,BD11+BC12-BL11,IF(A12&lt;'Données projet'!$A$88,$BA$205^A12,IF(A12='Données projet'!$A$88,'Données projet'!$B$88,BD11+BC12-BL11)))</f>
        <v>5.3760361537574148</v>
      </c>
      <c r="BE12" s="13">
        <f>BD12*VLOOKUP('Données projet'!$B$11,Paramètres!$A$1:$I$89,3,0)*VLOOKUP('Données projet'!$B$11,Paramètres!$A$1:$I$89,5,0)</f>
        <v>5.1997021679141717</v>
      </c>
      <c r="BF12" s="13">
        <f t="shared" si="37"/>
        <v>1.977837649208241</v>
      </c>
      <c r="BG12" s="20">
        <f t="shared" si="7"/>
        <v>12.500881848154869</v>
      </c>
      <c r="BH12" s="59">
        <f t="shared" si="8"/>
        <v>280.16754851482153</v>
      </c>
      <c r="BI12" s="59">
        <f ca="1">AVERAGE(OFFSET($BH$3,0,0,'Données projet'!$E$11+1,1))-AVERAGE(OFFSET($H$3,0,0,'Données projet'!$E$11+1,1))</f>
        <v>295.35565287134125</v>
      </c>
      <c r="BJ12" s="59">
        <f t="shared" si="38"/>
        <v>244.451492444461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2.1</v>
      </c>
      <c r="BY12" s="12">
        <f>IF('Données projet'!$A$114&gt;35,BY11+BX12-CG11,IF(A12&lt;'Données projet'!$A$114,$BV$205^A12,IF(A12='Données projet'!$A$114,'Données projet'!$B$114,BY11+BX12-CG11)))</f>
        <v>5.3760361537574148</v>
      </c>
      <c r="BZ12" s="13">
        <f>BY12*VLOOKUP('Données projet'!$B$12,Paramètres!$A$1:$I$89,3,0)*VLOOKUP('Données projet'!$B$12,Paramètres!$A$1:$I$89,5,0)</f>
        <v>5.7867653159044812</v>
      </c>
      <c r="CA12" s="13">
        <f t="shared" si="39"/>
        <v>2.1739041889582755</v>
      </c>
      <c r="CB12" s="20">
        <f t="shared" si="10"/>
        <v>13.864832720969302</v>
      </c>
      <c r="CC12" s="59">
        <f t="shared" si="11"/>
        <v>281.53149938763596</v>
      </c>
      <c r="CD12" s="59">
        <f ca="1">AVERAGE(OFFSET($CC$3,0,0,'Données projet'!$E$12+1,1))-AVERAGE(OFFSET($H$3,0,0,'Données projet'!$E$12+1,1))</f>
        <v>324.61094137855798</v>
      </c>
      <c r="CE12" s="59">
        <f t="shared" si="40"/>
        <v>267.2998309535638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7.333333333333333</v>
      </c>
      <c r="CT12" s="12">
        <f>IF('Données projet'!$A$140&gt;35,CT11+CS12-DB11,IF(A12&lt;'Données projet'!$A$140,$CQ$205^A12,IF(A12='Données projet'!$A$140,'Données projet'!$B$140,CT11+CS12-DB11)))</f>
        <v>16.781686784137655</v>
      </c>
      <c r="CU12" s="17">
        <f>CT12*VLOOKUP('Données projet'!$B$13,Paramètres!$A$1:$I$89,3,0)*VLOOKUP('Données projet'!$B$13,Paramètres!$A$1:$I$89,5,0)</f>
        <v>10.035448696914319</v>
      </c>
      <c r="CV12" s="13">
        <f t="shared" si="41"/>
        <v>3.5359814418310247</v>
      </c>
      <c r="CW12" s="20">
        <f t="shared" si="13"/>
        <v>23.636907491648142</v>
      </c>
      <c r="CX12" s="59">
        <f t="shared" si="14"/>
        <v>291.3035741583148</v>
      </c>
      <c r="CY12" s="59">
        <f ca="1">AVERAGE(OFFSET($CX$3,0,0,'Données projet'!$E$13+1,1))-AVERAGE(OFFSET($H$3,0,0,'Données projet'!$E$13+1,1))</f>
        <v>319.9010109022521</v>
      </c>
      <c r="CZ12" s="59">
        <f t="shared" si="42"/>
        <v>441.82647565372287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7</v>
      </c>
      <c r="DO12" s="12">
        <f>IF('Données projet'!$A$166&gt;35,DO11+DN12-DW11,IF(A12&lt;'Données projet'!$A$166,$DL$205^A12,IF(A12='Données projet'!$A$166,'Données projet'!$B$166,DO11+DN12-DW11)))</f>
        <v>9.2418223494521463</v>
      </c>
      <c r="DP12" s="17">
        <f>DO12*VLOOKUP('Données projet'!$B$14,Paramètres!$A$1:$I$89,3,0)*VLOOKUP('Données projet'!$B$14,Paramètres!$A$1:$I$89,5,0)</f>
        <v>4.3251728595436045</v>
      </c>
      <c r="DQ12" s="13">
        <f t="shared" si="43"/>
        <v>1.6808336353186117</v>
      </c>
      <c r="DR12" s="20">
        <f t="shared" si="16"/>
        <v>10.460461311885025</v>
      </c>
      <c r="DS12" s="59">
        <f t="shared" si="17"/>
        <v>278.1271279785517</v>
      </c>
      <c r="DT12" s="59">
        <f ca="1">AVERAGE(OFFSET($DS$3,0,0,'Données projet'!$E$14+1,1))-AVERAGE(OFFSET($H$3,0,0,'Données projet'!$E$14+1,1))</f>
        <v>229.61973863654862</v>
      </c>
      <c r="DU12" s="59">
        <f t="shared" si="44"/>
        <v>254.08208375594052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2.1</v>
      </c>
      <c r="N13" s="13">
        <f>IF('Données projet'!$A$36&gt;35,N12+M13-V12,IF(A13&lt;'Données projet'!$A$36,$K$205^A13,IF(A13='Données projet'!$A$36,'Données projet'!$B$36,N12+M13-V12)))</f>
        <v>6.4807406984078657</v>
      </c>
      <c r="O13" s="13">
        <f>N13*VLOOKUP('Données projet'!$B$9,Paramètres!$A$1:$I$89,3,0)*VLOOKUP('Données projet'!$B$9,Paramètres!$A$1:$I$89,5,0)</f>
        <v>5.8637741839194364</v>
      </c>
      <c r="P13" s="13">
        <f t="shared" si="33"/>
        <v>2.1994468497187687</v>
      </c>
      <c r="Q13" s="20">
        <f t="shared" si="2"/>
        <v>14.043443300253207</v>
      </c>
      <c r="R13" s="59">
        <f t="shared" si="0"/>
        <v>282.93233218914207</v>
      </c>
      <c r="S13" s="59">
        <f ca="1">AVERAGE(OFFSET($R$3,0,0,'Données projet'!$E$9+1,1))-AVERAGE(OFFSET($H$3,0,0,'Données projet'!$E$9+1,1))</f>
        <v>373.59295497283125</v>
      </c>
      <c r="T13" s="59">
        <f t="shared" si="34"/>
        <v>231.36959598460686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2.1</v>
      </c>
      <c r="AI13" s="13">
        <f>IF('Données projet'!$A$62&gt;35,AI12+AH13-AQ12,IF(A13&lt;'Données projet'!$A$62,$AF$205^A13,IF(A13='Données projet'!$A$62,'Données projet'!$B$62,AI12+AH13-AQ12)))</f>
        <v>6.4807406984078657</v>
      </c>
      <c r="AJ13" s="13">
        <f>AI13*VLOOKUP('Données projet'!$B$10,Paramètres!$A$1:$I$89,3,0)*VLOOKUP('Données projet'!$B$10,Paramètres!$A$1:$I$89,5,0)</f>
        <v>6.5714710681855761</v>
      </c>
      <c r="AK13" s="13">
        <f t="shared" si="35"/>
        <v>2.4324209676242781</v>
      </c>
      <c r="AL13" s="20">
        <f t="shared" si="4"/>
        <v>15.681778629035497</v>
      </c>
      <c r="AM13" s="59">
        <f t="shared" si="5"/>
        <v>284.57066751792433</v>
      </c>
      <c r="AN13" s="59">
        <f ca="1">AVERAGE(OFFSET($AM$3,0,0,'Données projet'!$E$10+1,1))-AVERAGE(OFFSET($H$3,0,0,'Données projet'!$E$10+1,1))</f>
        <v>413.81510455446738</v>
      </c>
      <c r="AO13" s="59">
        <f t="shared" si="36"/>
        <v>254.25036207346602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2.1</v>
      </c>
      <c r="BD13" s="12">
        <f>IF('Données projet'!$A$88&gt;35,BD12+BC13-BL12,IF(A13&lt;'Données projet'!$A$88,$BA$205^A13,IF(A13='Données projet'!$A$88,'Données projet'!$B$88,BD12+BC13-BL12)))</f>
        <v>6.4807406984078657</v>
      </c>
      <c r="BE13" s="13">
        <f>BD13*VLOOKUP('Données projet'!$B$11,Paramètres!$A$1:$I$89,3,0)*VLOOKUP('Données projet'!$B$11,Paramètres!$A$1:$I$89,5,0)</f>
        <v>6.2681724035000874</v>
      </c>
      <c r="BF13" s="13">
        <f t="shared" si="37"/>
        <v>2.3329519459947301</v>
      </c>
      <c r="BG13" s="20">
        <f t="shared" si="7"/>
        <v>14.98029157537014</v>
      </c>
      <c r="BH13" s="59">
        <f t="shared" si="8"/>
        <v>283.86918046425899</v>
      </c>
      <c r="BI13" s="59">
        <f ca="1">AVERAGE(OFFSET($BH$3,0,0,'Données projet'!$E$11+1,1))-AVERAGE(OFFSET($H$3,0,0,'Données projet'!$E$11+1,1))</f>
        <v>295.35565287134125</v>
      </c>
      <c r="BJ13" s="59">
        <f t="shared" si="38"/>
        <v>244.451492444461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2.1</v>
      </c>
      <c r="BY13" s="12">
        <f>IF('Données projet'!$A$114&gt;35,BY12+BX13-CG12,IF(A13&lt;'Données projet'!$A$114,$BV$205^A13,IF(A13='Données projet'!$A$114,'Données projet'!$B$114,BY12+BX13-CG12)))</f>
        <v>6.4807406984078657</v>
      </c>
      <c r="BZ13" s="13">
        <f>BY13*VLOOKUP('Données projet'!$B$12,Paramètres!$A$1:$I$89,3,0)*VLOOKUP('Données projet'!$B$12,Paramètres!$A$1:$I$89,5,0)</f>
        <v>6.9758692877662263</v>
      </c>
      <c r="CA13" s="13">
        <f t="shared" si="39"/>
        <v>2.5642215932468222</v>
      </c>
      <c r="CB13" s="20">
        <f t="shared" si="10"/>
        <v>16.61565828443106</v>
      </c>
      <c r="CC13" s="59">
        <f t="shared" si="11"/>
        <v>285.50454717331991</v>
      </c>
      <c r="CD13" s="59">
        <f ca="1">AVERAGE(OFFSET($CC$3,0,0,'Données projet'!$E$12+1,1))-AVERAGE(OFFSET($H$3,0,0,'Données projet'!$E$12+1,1))</f>
        <v>324.61094137855798</v>
      </c>
      <c r="CE13" s="59">
        <f t="shared" si="40"/>
        <v>267.2998309535638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7.333333333333333</v>
      </c>
      <c r="CT13" s="12">
        <f>IF('Données projet'!$A$140&gt;35,CT12+CS13-DB12,IF(A13&lt;'Données projet'!$A$140,$CQ$205^A13,IF(A13='Données projet'!$A$140,'Données projet'!$B$140,CT12+CS13-DB12)))</f>
        <v>22.95770424665556</v>
      </c>
      <c r="CU13" s="17">
        <f>CT13*VLOOKUP('Données projet'!$B$13,Paramètres!$A$1:$I$89,3,0)*VLOOKUP('Données projet'!$B$13,Paramètres!$A$1:$I$89,5,0)</f>
        <v>13.728707139500026</v>
      </c>
      <c r="CV13" s="13">
        <f t="shared" si="41"/>
        <v>4.6640330093129414</v>
      </c>
      <c r="CW13" s="20">
        <f t="shared" si="13"/>
        <v>32.034022425849251</v>
      </c>
      <c r="CX13" s="59">
        <f t="shared" si="14"/>
        <v>300.92291131473809</v>
      </c>
      <c r="CY13" s="59">
        <f ca="1">AVERAGE(OFFSET($CX$3,0,0,'Données projet'!$E$13+1,1))-AVERAGE(OFFSET($H$3,0,0,'Données projet'!$E$13+1,1))</f>
        <v>319.9010109022521</v>
      </c>
      <c r="CZ13" s="59">
        <f t="shared" si="42"/>
        <v>441.82647565372287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7</v>
      </c>
      <c r="DO13" s="12">
        <f>IF('Données projet'!$A$166&gt;35,DO12+DN13-DW12,IF(A13&lt;'Données projet'!$A$166,$DL$205^A13,IF(A13='Données projet'!$A$166,'Données projet'!$B$166,DO12+DN13-DW12)))</f>
        <v>11.832159566199214</v>
      </c>
      <c r="DP13" s="17">
        <f>DO13*VLOOKUP('Données projet'!$B$14,Paramètres!$A$1:$I$89,3,0)*VLOOKUP('Données projet'!$B$14,Paramètres!$A$1:$I$89,5,0)</f>
        <v>5.5374506769812326</v>
      </c>
      <c r="DQ13" s="13">
        <f t="shared" si="43"/>
        <v>2.090935647593303</v>
      </c>
      <c r="DR13" s="20">
        <f t="shared" si="16"/>
        <v>13.286106181967314</v>
      </c>
      <c r="DS13" s="59">
        <f t="shared" si="17"/>
        <v>282.1749950708562</v>
      </c>
      <c r="DT13" s="59">
        <f ca="1">AVERAGE(OFFSET($DS$3,0,0,'Données projet'!$E$14+1,1))-AVERAGE(OFFSET($H$3,0,0,'Données projet'!$E$14+1,1))</f>
        <v>229.61973863654862</v>
      </c>
      <c r="DU13" s="59">
        <f t="shared" si="44"/>
        <v>254.08208375594052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2.1</v>
      </c>
      <c r="N14" s="13">
        <f>IF('Données projet'!$A$36&gt;35,N13+M14-V13,IF(A14&lt;'Données projet'!$A$36,$K$205^A14,IF(A14='Données projet'!$A$36,'Données projet'!$B$36,N13+M14-V13)))</f>
        <v>7.8124474610620815</v>
      </c>
      <c r="O14" s="13">
        <f>N14*VLOOKUP('Données projet'!$B$9,Paramètres!$A$1:$I$89,3,0)*VLOOKUP('Données projet'!$B$9,Paramètres!$A$1:$I$89,5,0)</f>
        <v>7.0687024627689707</v>
      </c>
      <c r="P14" s="13">
        <f t="shared" si="33"/>
        <v>2.5943503554083325</v>
      </c>
      <c r="Q14" s="20">
        <f t="shared" si="2"/>
        <v>16.829816991658799</v>
      </c>
      <c r="R14" s="59">
        <f t="shared" si="0"/>
        <v>286.94092810276993</v>
      </c>
      <c r="S14" s="59">
        <f ca="1">AVERAGE(OFFSET($R$3,0,0,'Données projet'!$E$9+1,1))-AVERAGE(OFFSET($H$3,0,0,'Données projet'!$E$9+1,1))</f>
        <v>373.59295497283125</v>
      </c>
      <c r="T14" s="59">
        <f t="shared" si="34"/>
        <v>231.36959598460686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2.1</v>
      </c>
      <c r="AI14" s="13">
        <f>IF('Données projet'!$A$62&gt;35,AI13+AH14-AQ13,IF(A14&lt;'Données projet'!$A$62,$AF$205^A14,IF(A14='Données projet'!$A$62,'Données projet'!$B$62,AI13+AH14-AQ13)))</f>
        <v>7.8124474610620815</v>
      </c>
      <c r="AJ14" s="13">
        <f>AI14*VLOOKUP('Données projet'!$B$10,Paramètres!$A$1:$I$89,3,0)*VLOOKUP('Données projet'!$B$10,Paramètres!$A$1:$I$89,5,0)</f>
        <v>7.921821725516951</v>
      </c>
      <c r="AK14" s="13">
        <f t="shared" si="35"/>
        <v>2.869154216054651</v>
      </c>
      <c r="AL14" s="20">
        <f t="shared" si="4"/>
        <v>18.794283098237205</v>
      </c>
      <c r="AM14" s="59">
        <f t="shared" si="5"/>
        <v>288.90539420934834</v>
      </c>
      <c r="AN14" s="59">
        <f ca="1">AVERAGE(OFFSET($AM$3,0,0,'Données projet'!$E$10+1,1))-AVERAGE(OFFSET($H$3,0,0,'Données projet'!$E$10+1,1))</f>
        <v>413.81510455446738</v>
      </c>
      <c r="AO14" s="59">
        <f t="shared" si="36"/>
        <v>254.25036207346602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2.1</v>
      </c>
      <c r="BD14" s="12">
        <f>IF('Données projet'!$A$88&gt;35,BD13+BC14-BL13,IF(A14&lt;'Données projet'!$A$88,$BA$205^A14,IF(A14='Données projet'!$A$88,'Données projet'!$B$88,BD13+BC14-BL13)))</f>
        <v>7.8124474610620815</v>
      </c>
      <c r="BE14" s="13">
        <f>BD14*VLOOKUP('Données projet'!$B$11,Paramètres!$A$1:$I$89,3,0)*VLOOKUP('Données projet'!$B$11,Paramètres!$A$1:$I$89,5,0)</f>
        <v>7.5561991843392455</v>
      </c>
      <c r="BF14" s="13">
        <f t="shared" si="37"/>
        <v>2.7518258561310041</v>
      </c>
      <c r="BG14" s="20">
        <f t="shared" si="7"/>
        <v>17.953143612152349</v>
      </c>
      <c r="BH14" s="59">
        <f t="shared" si="8"/>
        <v>288.0642547232635</v>
      </c>
      <c r="BI14" s="59">
        <f ca="1">AVERAGE(OFFSET($BH$3,0,0,'Données projet'!$E$11+1,1))-AVERAGE(OFFSET($H$3,0,0,'Données projet'!$E$11+1,1))</f>
        <v>295.35565287134125</v>
      </c>
      <c r="BJ14" s="59">
        <f t="shared" si="38"/>
        <v>244.451492444461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2.1</v>
      </c>
      <c r="BY14" s="12">
        <f>IF('Données projet'!$A$114&gt;35,BY13+BX14-CG13,IF(A14&lt;'Données projet'!$A$114,$BV$205^A14,IF(A14='Données projet'!$A$114,'Données projet'!$B$114,BY13+BX14-CG13)))</f>
        <v>7.8124474610620815</v>
      </c>
      <c r="BZ14" s="13">
        <f>BY14*VLOOKUP('Données projet'!$B$12,Paramètres!$A$1:$I$89,3,0)*VLOOKUP('Données projet'!$B$12,Paramètres!$A$1:$I$89,5,0)</f>
        <v>8.4093184470872249</v>
      </c>
      <c r="CA14" s="13">
        <f t="shared" si="39"/>
        <v>3.0246192139792929</v>
      </c>
      <c r="CB14" s="20">
        <f t="shared" si="10"/>
        <v>19.914108093024186</v>
      </c>
      <c r="CC14" s="59">
        <f t="shared" si="11"/>
        <v>290.02521920413534</v>
      </c>
      <c r="CD14" s="59">
        <f ca="1">AVERAGE(OFFSET($CC$3,0,0,'Données projet'!$E$12+1,1))-AVERAGE(OFFSET($H$3,0,0,'Données projet'!$E$12+1,1))</f>
        <v>324.61094137855798</v>
      </c>
      <c r="CE14" s="59">
        <f t="shared" si="40"/>
        <v>267.2998309535638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7.333333333333333</v>
      </c>
      <c r="CT14" s="12">
        <f>IF('Données projet'!$A$140&gt;35,CT13+CS14-DB13,IF(A14&lt;'Données projet'!$A$140,$CQ$205^A14,IF(A14='Données projet'!$A$140,'Données projet'!$B$140,CT13+CS14-DB13)))</f>
        <v>31.406627418114457</v>
      </c>
      <c r="CU14" s="17">
        <f>CT14*VLOOKUP('Données projet'!$B$13,Paramètres!$A$1:$I$89,3,0)*VLOOKUP('Données projet'!$B$13,Paramètres!$A$1:$I$89,5,0)</f>
        <v>18.781163196032448</v>
      </c>
      <c r="CV14" s="13">
        <f t="shared" si="41"/>
        <v>6.1519564708734276</v>
      </c>
      <c r="CW14" s="20">
        <f t="shared" si="13"/>
        <v>43.425183419861064</v>
      </c>
      <c r="CX14" s="59">
        <f t="shared" si="14"/>
        <v>313.53629453097221</v>
      </c>
      <c r="CY14" s="59">
        <f ca="1">AVERAGE(OFFSET($CX$3,0,0,'Données projet'!$E$13+1,1))-AVERAGE(OFFSET($H$3,0,0,'Données projet'!$E$13+1,1))</f>
        <v>319.9010109022521</v>
      </c>
      <c r="CZ14" s="59">
        <f t="shared" si="42"/>
        <v>441.82647565372287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7</v>
      </c>
      <c r="DO14" s="12">
        <f>IF('Données projet'!$A$166&gt;35,DO13+DN14-DW13,IF(A14&lt;'Données projet'!$A$166,$DL$205^A14,IF(A14='Données projet'!$A$166,'Données projet'!$B$166,DO13+DN14-DW13)))</f>
        <v>15.148527498832387</v>
      </c>
      <c r="DP14" s="17">
        <f>DO14*VLOOKUP('Données projet'!$B$14,Paramètres!$A$1:$I$89,3,0)*VLOOKUP('Données projet'!$B$14,Paramètres!$A$1:$I$89,5,0)</f>
        <v>7.0895108694535569</v>
      </c>
      <c r="DQ14" s="13">
        <f t="shared" si="43"/>
        <v>2.6010973308180407</v>
      </c>
      <c r="DR14" s="20">
        <f t="shared" si="16"/>
        <v>16.877809282139697</v>
      </c>
      <c r="DS14" s="59">
        <f t="shared" si="17"/>
        <v>286.98892039325085</v>
      </c>
      <c r="DT14" s="59">
        <f ca="1">AVERAGE(OFFSET($DS$3,0,0,'Données projet'!$E$14+1,1))-AVERAGE(OFFSET($H$3,0,0,'Données projet'!$E$14+1,1))</f>
        <v>229.61973863654862</v>
      </c>
      <c r="DU14" s="59">
        <f t="shared" si="44"/>
        <v>254.08208375594052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2.1</v>
      </c>
      <c r="N15" s="13">
        <f>IF('Données projet'!$A$36&gt;35,N14+M15-V14,IF(A15&lt;'Données projet'!$A$36,$K$205^A15,IF(A15='Données projet'!$A$36,'Données projet'!$B$36,N14+M15-V14)))</f>
        <v>9.4178024044149407</v>
      </c>
      <c r="O15" s="13">
        <f>N15*VLOOKUP('Données projet'!$B$9,Paramètres!$A$1:$I$89,3,0)*VLOOKUP('Données projet'!$B$9,Paramètres!$A$1:$I$89,5,0)</f>
        <v>8.521227615514638</v>
      </c>
      <c r="P15" s="13">
        <f t="shared" si="33"/>
        <v>3.0601574970852128</v>
      </c>
      <c r="Q15" s="20">
        <f t="shared" si="2"/>
        <v>20.170912404444739</v>
      </c>
      <c r="R15" s="59">
        <f t="shared" si="0"/>
        <v>291.50424573777804</v>
      </c>
      <c r="S15" s="59">
        <f ca="1">AVERAGE(OFFSET($R$3,0,0,'Données projet'!$E$9+1,1))-AVERAGE(OFFSET($H$3,0,0,'Données projet'!$E$9+1,1))</f>
        <v>373.59295497283125</v>
      </c>
      <c r="T15" s="59">
        <f t="shared" si="34"/>
        <v>231.36959598460686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2.1</v>
      </c>
      <c r="AI15" s="13">
        <f>IF('Données projet'!$A$62&gt;35,AI14+AH15-AQ14,IF(A15&lt;'Données projet'!$A$62,$AF$205^A15,IF(A15='Données projet'!$A$62,'Données projet'!$B$62,AI14+AH15-AQ14)))</f>
        <v>9.4178024044149407</v>
      </c>
      <c r="AJ15" s="13">
        <f>AI15*VLOOKUP('Données projet'!$B$10,Paramètres!$A$1:$I$89,3,0)*VLOOKUP('Données projet'!$B$10,Paramètres!$A$1:$I$89,5,0)</f>
        <v>9.5496516380767513</v>
      </c>
      <c r="AK15" s="13">
        <f t="shared" si="35"/>
        <v>3.3843014943027487</v>
      </c>
      <c r="AL15" s="20">
        <f t="shared" si="4"/>
        <v>22.526635038894295</v>
      </c>
      <c r="AM15" s="59">
        <f t="shared" si="5"/>
        <v>293.85996837222763</v>
      </c>
      <c r="AN15" s="59">
        <f ca="1">AVERAGE(OFFSET($AM$3,0,0,'Données projet'!$E$10+1,1))-AVERAGE(OFFSET($H$3,0,0,'Données projet'!$E$10+1,1))</f>
        <v>413.81510455446738</v>
      </c>
      <c r="AO15" s="59">
        <f t="shared" si="36"/>
        <v>254.25036207346602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2.1</v>
      </c>
      <c r="BD15" s="12">
        <f>IF('Données projet'!$A$88&gt;35,BD14+BC15-BL14,IF(A15&lt;'Données projet'!$A$88,$BA$205^A15,IF(A15='Données projet'!$A$88,'Données projet'!$B$88,BD14+BC15-BL14)))</f>
        <v>9.4178024044149407</v>
      </c>
      <c r="BE15" s="13">
        <f>BD15*VLOOKUP('Données projet'!$B$11,Paramètres!$A$1:$I$89,3,0)*VLOOKUP('Données projet'!$B$11,Paramètres!$A$1:$I$89,5,0)</f>
        <v>9.1088984855501316</v>
      </c>
      <c r="BF15" s="13">
        <f t="shared" si="37"/>
        <v>3.2459072101643005</v>
      </c>
      <c r="BG15" s="20">
        <f t="shared" si="7"/>
        <v>21.517953253369303</v>
      </c>
      <c r="BH15" s="59">
        <f t="shared" si="8"/>
        <v>292.8512865867026</v>
      </c>
      <c r="BI15" s="59">
        <f ca="1">AVERAGE(OFFSET($BH$3,0,0,'Données projet'!$E$11+1,1))-AVERAGE(OFFSET($H$3,0,0,'Données projet'!$E$11+1,1))</f>
        <v>295.35565287134125</v>
      </c>
      <c r="BJ15" s="59">
        <f t="shared" si="38"/>
        <v>244.451492444461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2.1</v>
      </c>
      <c r="BY15" s="12">
        <f>IF('Données projet'!$A$114&gt;35,BY14+BX15-CG14,IF(A15&lt;'Données projet'!$A$114,$BV$205^A15,IF(A15='Données projet'!$A$114,'Données projet'!$B$114,BY14+BX15-CG14)))</f>
        <v>9.4178024044149407</v>
      </c>
      <c r="BZ15" s="13">
        <f>BY15*VLOOKUP('Données projet'!$B$12,Paramètres!$A$1:$I$89,3,0)*VLOOKUP('Données projet'!$B$12,Paramètres!$A$1:$I$89,5,0)</f>
        <v>10.137322508112241</v>
      </c>
      <c r="CA15" s="13">
        <f t="shared" si="39"/>
        <v>3.5676797253661268</v>
      </c>
      <c r="CB15" s="20">
        <f t="shared" si="10"/>
        <v>23.869545556641487</v>
      </c>
      <c r="CC15" s="59">
        <f t="shared" si="11"/>
        <v>295.20287888997478</v>
      </c>
      <c r="CD15" s="59">
        <f ca="1">AVERAGE(OFFSET($CC$3,0,0,'Données projet'!$E$12+1,1))-AVERAGE(OFFSET($H$3,0,0,'Données projet'!$E$12+1,1))</f>
        <v>324.61094137855798</v>
      </c>
      <c r="CE15" s="59">
        <f t="shared" si="40"/>
        <v>267.2998309535638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7.333333333333333</v>
      </c>
      <c r="CT15" s="12">
        <f>IF('Données projet'!$A$140&gt;35,CT14+CS15-DB14,IF(A15&lt;'Données projet'!$A$140,$CQ$205^A15,IF(A15='Données projet'!$A$140,'Données projet'!$B$140,CT14+CS15-DB14)))</f>
        <v>42.964933914241549</v>
      </c>
      <c r="CU15" s="17">
        <f>CT15*VLOOKUP('Données projet'!$B$13,Paramètres!$A$1:$I$89,3,0)*VLOOKUP('Données projet'!$B$13,Paramètres!$A$1:$I$89,5,0)</f>
        <v>25.693030480716448</v>
      </c>
      <c r="CV15" s="13">
        <f t="shared" si="41"/>
        <v>8.1145584398633126</v>
      </c>
      <c r="CW15" s="20">
        <f t="shared" si="13"/>
        <v>58.881550703343073</v>
      </c>
      <c r="CX15" s="59">
        <f t="shared" si="14"/>
        <v>330.21488403667638</v>
      </c>
      <c r="CY15" s="59">
        <f ca="1">AVERAGE(OFFSET($CX$3,0,0,'Données projet'!$E$13+1,1))-AVERAGE(OFFSET($H$3,0,0,'Données projet'!$E$13+1,1))</f>
        <v>319.9010109022521</v>
      </c>
      <c r="CZ15" s="59">
        <f t="shared" si="42"/>
        <v>441.82647565372287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7</v>
      </c>
      <c r="DO15" s="12">
        <f>IF('Données projet'!$A$166&gt;35,DO14+DN15-DW14,IF(A15&lt;'Données projet'!$A$166,$DL$205^A15,IF(A15='Données projet'!$A$166,'Données projet'!$B$166,DO14+DN15-DW14)))</f>
        <v>19.394421119744504</v>
      </c>
      <c r="DP15" s="17">
        <f>DO15*VLOOKUP('Données projet'!$B$14,Paramètres!$A$1:$I$89,3,0)*VLOOKUP('Données projet'!$B$14,Paramètres!$A$1:$I$89,5,0)</f>
        <v>9.0765890840404282</v>
      </c>
      <c r="DQ15" s="13">
        <f t="shared" si="43"/>
        <v>3.2357319710801056</v>
      </c>
      <c r="DR15" s="20">
        <f t="shared" si="16"/>
        <v>21.443959171001595</v>
      </c>
      <c r="DS15" s="59">
        <f t="shared" si="17"/>
        <v>292.77729250433492</v>
      </c>
      <c r="DT15" s="59">
        <f ca="1">AVERAGE(OFFSET($DS$3,0,0,'Données projet'!$E$14+1,1))-AVERAGE(OFFSET($H$3,0,0,'Données projet'!$E$14+1,1))</f>
        <v>229.61973863654862</v>
      </c>
      <c r="DU15" s="59">
        <f t="shared" si="44"/>
        <v>254.08208375594052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2.1</v>
      </c>
      <c r="N16" s="13">
        <f>IF('Données projet'!$A$36&gt;35,N15+M16-V15,IF(A16&lt;'Données projet'!$A$36,$K$205^A16,IF(A16='Données projet'!$A$36,'Données projet'!$B$36,N15+M16-V15)))</f>
        <v>11.35303662145153</v>
      </c>
      <c r="O16" s="13">
        <f>N16*VLOOKUP('Données projet'!$B$9,Paramètres!$A$1:$I$89,3,0)*VLOOKUP('Données projet'!$B$9,Paramètres!$A$1:$I$89,5,0)</f>
        <v>10.272227535089344</v>
      </c>
      <c r="P16" s="13">
        <f t="shared" si="33"/>
        <v>3.6095987912522753</v>
      </c>
      <c r="Q16" s="20">
        <f t="shared" si="2"/>
        <v>24.177514185044988</v>
      </c>
      <c r="R16" s="59">
        <f t="shared" si="0"/>
        <v>296.73306974060051</v>
      </c>
      <c r="S16" s="59">
        <f ca="1">AVERAGE(OFFSET($R$3,0,0,'Données projet'!$E$9+1,1))-AVERAGE(OFFSET($H$3,0,0,'Données projet'!$E$9+1,1))</f>
        <v>373.59295497283125</v>
      </c>
      <c r="T16" s="59">
        <f t="shared" si="34"/>
        <v>231.36959598460686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2.1</v>
      </c>
      <c r="AI16" s="13">
        <f>IF('Données projet'!$A$62&gt;35,AI15+AH16-AQ15,IF(A16&lt;'Données projet'!$A$62,$AF$205^A16,IF(A16='Données projet'!$A$62,'Données projet'!$B$62,AI15+AH16-AQ15)))</f>
        <v>11.35303662145153</v>
      </c>
      <c r="AJ16" s="13">
        <f>AI16*VLOOKUP('Données projet'!$B$10,Paramètres!$A$1:$I$89,3,0)*VLOOKUP('Données projet'!$B$10,Paramètres!$A$1:$I$89,5,0)</f>
        <v>11.511979134151852</v>
      </c>
      <c r="AK16" s="13">
        <f t="shared" si="35"/>
        <v>3.9919417855793822</v>
      </c>
      <c r="AL16" s="20">
        <f t="shared" si="4"/>
        <v>27.002662268531896</v>
      </c>
      <c r="AM16" s="59">
        <f t="shared" si="5"/>
        <v>299.55821782408742</v>
      </c>
      <c r="AN16" s="59">
        <f ca="1">AVERAGE(OFFSET($AM$3,0,0,'Données projet'!$E$10+1,1))-AVERAGE(OFFSET($H$3,0,0,'Données projet'!$E$10+1,1))</f>
        <v>413.81510455446738</v>
      </c>
      <c r="AO16" s="59">
        <f t="shared" si="36"/>
        <v>254.25036207346602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2.1</v>
      </c>
      <c r="BD16" s="12">
        <f>IF('Données projet'!$A$88&gt;35,BD15+BC16-BL15,IF(A16&lt;'Données projet'!$A$88,$BA$205^A16,IF(A16='Données projet'!$A$88,'Données projet'!$B$88,BD15+BC16-BL15)))</f>
        <v>11.35303662145153</v>
      </c>
      <c r="BE16" s="13">
        <f>BD16*VLOOKUP('Données projet'!$B$11,Paramètres!$A$1:$I$89,3,0)*VLOOKUP('Données projet'!$B$11,Paramètres!$A$1:$I$89,5,0)</f>
        <v>10.98065702026792</v>
      </c>
      <c r="BF16" s="13">
        <f t="shared" si="37"/>
        <v>3.8286992592655618</v>
      </c>
      <c r="BG16" s="20">
        <f t="shared" si="7"/>
        <v>25.792962186854144</v>
      </c>
      <c r="BH16" s="59">
        <f t="shared" si="8"/>
        <v>298.34851774240968</v>
      </c>
      <c r="BI16" s="59">
        <f ca="1">AVERAGE(OFFSET($BH$3,0,0,'Données projet'!$E$11+1,1))-AVERAGE(OFFSET($H$3,0,0,'Données projet'!$E$11+1,1))</f>
        <v>295.35565287134125</v>
      </c>
      <c r="BJ16" s="59">
        <f t="shared" si="38"/>
        <v>244.451492444461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2.1</v>
      </c>
      <c r="BY16" s="12">
        <f>IF('Données projet'!$A$114&gt;35,BY15+BX16-CG15,IF(A16&lt;'Données projet'!$A$114,$BV$205^A16,IF(A16='Données projet'!$A$114,'Données projet'!$B$114,BY15+BX16-CG15)))</f>
        <v>11.35303662145153</v>
      </c>
      <c r="BZ16" s="13">
        <f>BY16*VLOOKUP('Données projet'!$B$12,Paramètres!$A$1:$I$89,3,0)*VLOOKUP('Données projet'!$B$12,Paramètres!$A$1:$I$89,5,0)</f>
        <v>12.220408619330426</v>
      </c>
      <c r="CA16" s="13">
        <f t="shared" si="39"/>
        <v>4.2082449797185175</v>
      </c>
      <c r="CB16" s="20">
        <f t="shared" si="10"/>
        <v>28.613238351676909</v>
      </c>
      <c r="CC16" s="59">
        <f t="shared" si="11"/>
        <v>301.16879390723244</v>
      </c>
      <c r="CD16" s="59">
        <f ca="1">AVERAGE(OFFSET($CC$3,0,0,'Données projet'!$E$12+1,1))-AVERAGE(OFFSET($H$3,0,0,'Données projet'!$E$12+1,1))</f>
        <v>324.61094137855798</v>
      </c>
      <c r="CE16" s="59">
        <f t="shared" si="40"/>
        <v>267.2998309535638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7.333333333333333</v>
      </c>
      <c r="CT16" s="12">
        <f>IF('Données projet'!$A$140&gt;35,CT15+CS16-DB15,IF(A16&lt;'Données projet'!$A$140,$CQ$205^A16,IF(A16='Données projet'!$A$140,'Données projet'!$B$140,CT15+CS16-DB15)))</f>
        <v>58.776942894238665</v>
      </c>
      <c r="CU16" s="17">
        <f>CT16*VLOOKUP('Données projet'!$B$13,Paramètres!$A$1:$I$89,3,0)*VLOOKUP('Données projet'!$B$13,Paramètres!$A$1:$I$89,5,0)</f>
        <v>35.148611850754726</v>
      </c>
      <c r="CV16" s="13">
        <f t="shared" si="41"/>
        <v>10.703271225293379</v>
      </c>
      <c r="CW16" s="20">
        <f t="shared" si="13"/>
        <v>79.858696357450455</v>
      </c>
      <c r="CX16" s="59">
        <f t="shared" si="14"/>
        <v>352.41425191300601</v>
      </c>
      <c r="CY16" s="59">
        <f ca="1">AVERAGE(OFFSET($CX$3,0,0,'Données projet'!$E$13+1,1))-AVERAGE(OFFSET($H$3,0,0,'Données projet'!$E$13+1,1))</f>
        <v>319.9010109022521</v>
      </c>
      <c r="CZ16" s="59">
        <f t="shared" si="42"/>
        <v>441.82647565372287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7</v>
      </c>
      <c r="DO16" s="12">
        <f>IF('Données projet'!$A$166&gt;35,DO15+DN16-DW15,IF(A16&lt;'Données projet'!$A$166,$DL$205^A16,IF(A16='Données projet'!$A$166,'Données projet'!$B$166,DO15+DN16-DW15)))</f>
        <v>24.830371836403501</v>
      </c>
      <c r="DP16" s="17">
        <f>DO16*VLOOKUP('Données projet'!$B$14,Paramètres!$A$1:$I$89,3,0)*VLOOKUP('Données projet'!$B$14,Paramètres!$A$1:$I$89,5,0)</f>
        <v>11.620614019436839</v>
      </c>
      <c r="DQ16" s="13">
        <f t="shared" si="43"/>
        <v>4.0252093855239011</v>
      </c>
      <c r="DR16" s="20">
        <f t="shared" si="16"/>
        <v>27.249809096973291</v>
      </c>
      <c r="DS16" s="59">
        <f t="shared" si="17"/>
        <v>299.80536465252885</v>
      </c>
      <c r="DT16" s="59">
        <f ca="1">AVERAGE(OFFSET($DS$3,0,0,'Données projet'!$E$14+1,1))-AVERAGE(OFFSET($H$3,0,0,'Données projet'!$E$14+1,1))</f>
        <v>229.61973863654862</v>
      </c>
      <c r="DU16" s="59">
        <f t="shared" si="44"/>
        <v>254.08208375594052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2.1</v>
      </c>
      <c r="N17" s="13">
        <f>IF('Données projet'!$A$36&gt;35,N16+M17-V16,IF(A17&lt;'Données projet'!$A$36,$K$205^A17,IF(A17='Données projet'!$A$36,'Données projet'!$B$36,N16+M17-V16)))</f>
        <v>13.685935953338433</v>
      </c>
      <c r="O17" s="13">
        <f>N17*VLOOKUP('Données projet'!$B$9,Paramètres!$A$1:$I$89,3,0)*VLOOKUP('Données projet'!$B$9,Paramètres!$A$1:$I$89,5,0)</f>
        <v>12.383034850580612</v>
      </c>
      <c r="P17" s="13">
        <f t="shared" si="33"/>
        <v>4.2576904771143838</v>
      </c>
      <c r="Q17" s="20">
        <f t="shared" si="2"/>
        <v>28.982596612402116</v>
      </c>
      <c r="R17" s="59">
        <f t="shared" si="0"/>
        <v>302.76037439017989</v>
      </c>
      <c r="S17" s="59">
        <f ca="1">AVERAGE(OFFSET($R$3,0,0,'Données projet'!$E$9+1,1))-AVERAGE(OFFSET($H$3,0,0,'Données projet'!$E$9+1,1))</f>
        <v>373.59295497283125</v>
      </c>
      <c r="T17" s="59">
        <f t="shared" si="34"/>
        <v>231.36959598460686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2.1</v>
      </c>
      <c r="AI17" s="13">
        <f>IF('Données projet'!$A$62&gt;35,AI16+AH17-AQ16,IF(A17&lt;'Données projet'!$A$62,$AF$205^A17,IF(A17='Données projet'!$A$62,'Données projet'!$B$62,AI16+AH17-AQ16)))</f>
        <v>13.685935953338433</v>
      </c>
      <c r="AJ17" s="13">
        <f>AI17*VLOOKUP('Données projet'!$B$10,Paramètres!$A$1:$I$89,3,0)*VLOOKUP('Données projet'!$B$10,Paramètres!$A$1:$I$89,5,0)</f>
        <v>13.877539056685173</v>
      </c>
      <c r="AK17" s="13">
        <f t="shared" si="35"/>
        <v>4.7086819085950955</v>
      </c>
      <c r="AL17" s="20">
        <f t="shared" si="4"/>
        <v>32.371001514529802</v>
      </c>
      <c r="AM17" s="59">
        <f t="shared" si="5"/>
        <v>306.14877929230755</v>
      </c>
      <c r="AN17" s="59">
        <f ca="1">AVERAGE(OFFSET($AM$3,0,0,'Données projet'!$E$10+1,1))-AVERAGE(OFFSET($H$3,0,0,'Données projet'!$E$10+1,1))</f>
        <v>413.81510455446738</v>
      </c>
      <c r="AO17" s="59">
        <f t="shared" si="36"/>
        <v>254.25036207346602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2.1</v>
      </c>
      <c r="BD17" s="12">
        <f>IF('Données projet'!$A$88&gt;35,BD16+BC17-BL16,IF(A17&lt;'Données projet'!$A$88,$BA$205^A17,IF(A17='Données projet'!$A$88,'Données projet'!$B$88,BD16+BC17-BL16)))</f>
        <v>13.685935953338433</v>
      </c>
      <c r="BE17" s="13">
        <f>BD17*VLOOKUP('Données projet'!$B$11,Paramètres!$A$1:$I$89,3,0)*VLOOKUP('Données projet'!$B$11,Paramètres!$A$1:$I$89,5,0)</f>
        <v>13.237037254068934</v>
      </c>
      <c r="BF17" s="13">
        <f t="shared" si="37"/>
        <v>4.5161297192961545</v>
      </c>
      <c r="BG17" s="20">
        <f t="shared" si="7"/>
        <v>30.920099145277529</v>
      </c>
      <c r="BH17" s="59">
        <f t="shared" si="8"/>
        <v>304.69787692305528</v>
      </c>
      <c r="BI17" s="59">
        <f ca="1">AVERAGE(OFFSET($BH$3,0,0,'Données projet'!$E$11+1,1))-AVERAGE(OFFSET($H$3,0,0,'Données projet'!$E$11+1,1))</f>
        <v>295.35565287134125</v>
      </c>
      <c r="BJ17" s="59">
        <f t="shared" si="38"/>
        <v>244.451492444461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2.1</v>
      </c>
      <c r="BY17" s="12">
        <f>IF('Données projet'!$A$114&gt;35,BY16+BX17-CG16,IF(A17&lt;'Données projet'!$A$114,$BV$205^A17,IF(A17='Données projet'!$A$114,'Données projet'!$B$114,BY16+BX17-CG16)))</f>
        <v>13.685935953338433</v>
      </c>
      <c r="BZ17" s="13">
        <f>BY17*VLOOKUP('Données projet'!$B$12,Paramètres!$A$1:$I$89,3,0)*VLOOKUP('Données projet'!$B$12,Paramètres!$A$1:$I$89,5,0)</f>
        <v>14.731541460173487</v>
      </c>
      <c r="CA17" s="13">
        <f t="shared" si="39"/>
        <v>4.9638216355053304</v>
      </c>
      <c r="CB17" s="20">
        <f t="shared" si="10"/>
        <v>34.302757391640604</v>
      </c>
      <c r="CC17" s="59">
        <f t="shared" si="11"/>
        <v>308.0805351694184</v>
      </c>
      <c r="CD17" s="59">
        <f ca="1">AVERAGE(OFFSET($CC$3,0,0,'Données projet'!$E$12+1,1))-AVERAGE(OFFSET($H$3,0,0,'Données projet'!$E$12+1,1))</f>
        <v>324.61094137855798</v>
      </c>
      <c r="CE17" s="59">
        <f t="shared" si="40"/>
        <v>267.2998309535638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7.333333333333333</v>
      </c>
      <c r="CT17" s="12">
        <f>IF('Données projet'!$A$140&gt;35,CT16+CS17-DB16,IF(A17&lt;'Données projet'!$A$140,$CQ$205^A17,IF(A17='Données projet'!$A$140,'Données projet'!$B$140,CT16+CS17-DB16)))</f>
        <v>80.408107292525273</v>
      </c>
      <c r="CU17" s="17">
        <f>CT17*VLOOKUP('Données projet'!$B$13,Paramètres!$A$1:$I$89,3,0)*VLOOKUP('Données projet'!$B$13,Paramètres!$A$1:$I$89,5,0)</f>
        <v>48.084048160930124</v>
      </c>
      <c r="CV17" s="13">
        <f t="shared" si="41"/>
        <v>14.11783718993377</v>
      </c>
      <c r="CW17" s="20">
        <f t="shared" si="13"/>
        <v>108.33495031942128</v>
      </c>
      <c r="CX17" s="59">
        <f t="shared" si="14"/>
        <v>382.11272809719907</v>
      </c>
      <c r="CY17" s="59">
        <f ca="1">AVERAGE(OFFSET($CX$3,0,0,'Données projet'!$E$13+1,1))-AVERAGE(OFFSET($H$3,0,0,'Données projet'!$E$13+1,1))</f>
        <v>319.9010109022521</v>
      </c>
      <c r="CZ17" s="59">
        <f t="shared" si="42"/>
        <v>441.82647565372287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7</v>
      </c>
      <c r="DO17" s="12">
        <f>IF('Données projet'!$A$166&gt;35,DO16+DN17-DW16,IF(A17&lt;'Données projet'!$A$166,$DL$205^A17,IF(A17='Données projet'!$A$166,'Données projet'!$B$166,DO16+DN17-DW16)))</f>
        <v>31.789933905600495</v>
      </c>
      <c r="DP17" s="17">
        <f>DO17*VLOOKUP('Données projet'!$B$14,Paramètres!$A$1:$I$89,3,0)*VLOOKUP('Données projet'!$B$14,Paramètres!$A$1:$I$89,5,0)</f>
        <v>14.877689067821033</v>
      </c>
      <c r="DQ17" s="13">
        <f t="shared" si="43"/>
        <v>5.0073092401102919</v>
      </c>
      <c r="DR17" s="20">
        <f t="shared" si="16"/>
        <v>34.633038719647061</v>
      </c>
      <c r="DS17" s="59">
        <f t="shared" si="17"/>
        <v>308.41081649742483</v>
      </c>
      <c r="DT17" s="59">
        <f ca="1">AVERAGE(OFFSET($DS$3,0,0,'Données projet'!$E$14+1,1))-AVERAGE(OFFSET($H$3,0,0,'Données projet'!$E$14+1,1))</f>
        <v>229.61973863654862</v>
      </c>
      <c r="DU17" s="59">
        <f t="shared" si="44"/>
        <v>254.08208375594052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2.1</v>
      </c>
      <c r="N18" s="13">
        <f>IF('Données projet'!$A$36&gt;35,N17+M18-V17,IF(A18&lt;'Données projet'!$A$36,$K$205^A18,IF(A18='Données projet'!$A$36,'Données projet'!$B$36,N17+M18-V17)))</f>
        <v>16.498215337821566</v>
      </c>
      <c r="O18" s="13">
        <f>N18*VLOOKUP('Données projet'!$B$9,Paramètres!$A$1:$I$89,3,0)*VLOOKUP('Données projet'!$B$9,Paramètres!$A$1:$I$89,5,0)</f>
        <v>14.927585237660953</v>
      </c>
      <c r="P18" s="13">
        <f t="shared" si="33"/>
        <v>5.0221449106318534</v>
      </c>
      <c r="Q18" s="20">
        <f t="shared" si="2"/>
        <v>34.745780008276633</v>
      </c>
      <c r="R18" s="59">
        <f t="shared" si="0"/>
        <v>309.74578000827665</v>
      </c>
      <c r="S18" s="59">
        <f ca="1">AVERAGE(OFFSET($R$3,0,0,'Données projet'!$E$9+1,1))-AVERAGE(OFFSET($H$3,0,0,'Données projet'!$E$9+1,1))</f>
        <v>373.59295497283125</v>
      </c>
      <c r="T18" s="59">
        <f t="shared" si="34"/>
        <v>231.36959598460686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2.1</v>
      </c>
      <c r="AI18" s="13">
        <f>IF('Données projet'!$A$62&gt;35,AI17+AH18-AQ17,IF(A18&lt;'Données projet'!$A$62,$AF$205^A18,IF(A18='Données projet'!$A$62,'Données projet'!$B$62,AI17+AH18-AQ17)))</f>
        <v>16.498215337821566</v>
      </c>
      <c r="AJ18" s="13">
        <f>AI18*VLOOKUP('Données projet'!$B$10,Paramètres!$A$1:$I$89,3,0)*VLOOKUP('Données projet'!$B$10,Paramètres!$A$1:$I$89,5,0)</f>
        <v>16.729190352551068</v>
      </c>
      <c r="AK18" s="13">
        <f t="shared" si="35"/>
        <v>5.5541103821765283</v>
      </c>
      <c r="AL18" s="20">
        <f t="shared" si="4"/>
        <v>38.810082112983899</v>
      </c>
      <c r="AM18" s="59">
        <f t="shared" si="5"/>
        <v>313.81008211298388</v>
      </c>
      <c r="AN18" s="59">
        <f ca="1">AVERAGE(OFFSET($AM$3,0,0,'Données projet'!$E$10+1,1))-AVERAGE(OFFSET($H$3,0,0,'Données projet'!$E$10+1,1))</f>
        <v>413.81510455446738</v>
      </c>
      <c r="AO18" s="59">
        <f t="shared" si="36"/>
        <v>254.25036207346602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2.1</v>
      </c>
      <c r="BD18" s="12">
        <f>IF('Données projet'!$A$88&gt;35,BD17+BC18-BL17,IF(A18&lt;'Données projet'!$A$88,$BA$205^A18,IF(A18='Données projet'!$A$88,'Données projet'!$B$88,BD17+BC18-BL17)))</f>
        <v>16.498215337821566</v>
      </c>
      <c r="BE18" s="13">
        <f>BD18*VLOOKUP('Données projet'!$B$11,Paramètres!$A$1:$I$89,3,0)*VLOOKUP('Données projet'!$B$11,Paramètres!$A$1:$I$89,5,0)</f>
        <v>15.957073874741019</v>
      </c>
      <c r="BF18" s="13">
        <f t="shared" si="37"/>
        <v>5.3269860755326848</v>
      </c>
      <c r="BG18" s="20">
        <f t="shared" si="7"/>
        <v>37.069737746726702</v>
      </c>
      <c r="BH18" s="59">
        <f t="shared" si="8"/>
        <v>312.06973774672667</v>
      </c>
      <c r="BI18" s="59">
        <f ca="1">AVERAGE(OFFSET($BH$3,0,0,'Données projet'!$E$11+1,1))-AVERAGE(OFFSET($H$3,0,0,'Données projet'!$E$11+1,1))</f>
        <v>295.35565287134125</v>
      </c>
      <c r="BJ18" s="59">
        <f t="shared" si="38"/>
        <v>244.451492444461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2.1</v>
      </c>
      <c r="BY18" s="12">
        <f>IF('Données projet'!$A$114&gt;35,BY17+BX18-CG17,IF(A18&lt;'Données projet'!$A$114,$BV$205^A18,IF(A18='Données projet'!$A$114,'Données projet'!$B$114,BY17+BX18-CG17)))</f>
        <v>16.498215337821566</v>
      </c>
      <c r="BZ18" s="13">
        <f>BY18*VLOOKUP('Données projet'!$B$12,Paramètres!$A$1:$I$89,3,0)*VLOOKUP('Données projet'!$B$12,Paramètres!$A$1:$I$89,5,0)</f>
        <v>17.758678989631132</v>
      </c>
      <c r="CA18" s="13">
        <f t="shared" si="39"/>
        <v>5.8550596146042126</v>
      </c>
      <c r="CB18" s="20">
        <f t="shared" si="10"/>
        <v>41.127261402376554</v>
      </c>
      <c r="CC18" s="59">
        <f t="shared" si="11"/>
        <v>316.12726140237658</v>
      </c>
      <c r="CD18" s="59">
        <f ca="1">AVERAGE(OFFSET($CC$3,0,0,'Données projet'!$E$12+1,1))-AVERAGE(OFFSET($H$3,0,0,'Données projet'!$E$12+1,1))</f>
        <v>324.61094137855798</v>
      </c>
      <c r="CE18" s="59">
        <f t="shared" si="40"/>
        <v>267.2998309535638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110</v>
      </c>
      <c r="CR18" s="12">
        <f>VLOOKUP(A18,'Données projet'!$A$139:$I$159,9,0)</f>
        <v>7.333333333333333</v>
      </c>
      <c r="CS18" s="12">
        <f t="array" ref="CS18">INDEX(CR:CR,MIN(IF(ISNUMBER(CR18:CR214),ROW(CR18:CR214),"")))</f>
        <v>7.333333333333333</v>
      </c>
      <c r="CT18" s="12">
        <f>IF('Données projet'!$A$140&gt;35,CT17+CS18-DB17,IF(A18&lt;'Données projet'!$A$140,$CQ$205^A18,IF(A18='Données projet'!$A$140,'Données projet'!$B$140,CT17+CS18-DB17)))</f>
        <v>110</v>
      </c>
      <c r="CU18" s="17">
        <f>CT18*VLOOKUP('Données projet'!$B$13,Paramètres!$A$1:$I$89,3,0)*VLOOKUP('Données projet'!$B$13,Paramètres!$A$1:$I$89,5,0)</f>
        <v>65.78</v>
      </c>
      <c r="CV18" s="13">
        <f t="shared" si="41"/>
        <v>18.621720661480644</v>
      </c>
      <c r="CW18" s="20">
        <f t="shared" si="13"/>
        <v>146.99966348541213</v>
      </c>
      <c r="CX18" s="59">
        <f t="shared" si="14"/>
        <v>421.99966348541216</v>
      </c>
      <c r="CY18" s="59">
        <f ca="1">AVERAGE(OFFSET($CX$3,0,0,'Données projet'!$E$13+1,1))-AVERAGE(OFFSET($H$3,0,0,'Données projet'!$E$13+1,1))</f>
        <v>319.9010109022521</v>
      </c>
      <c r="CZ18" s="59">
        <f t="shared" si="42"/>
        <v>441.82647565372287</v>
      </c>
      <c r="DA18" s="15">
        <f>IF(ISNA(VLOOKUP(A18,'Données projet'!$A$139:$I$159,3,0)),0,VLOOKUP(A18,'Données projet'!$A$139:$I$159,3,0))</f>
        <v>1</v>
      </c>
      <c r="DB18" s="15">
        <f>IF(ISNA(VLOOKUP(A18,'Données projet'!$A$139:$I$159,4,0)),0,VLOOKUP(A18,'Données projet'!$A$139:$I$159,4,0))</f>
        <v>14</v>
      </c>
      <c r="DC18" s="16">
        <f>IF(ISNA(VLOOKUP(A18,'Données projet'!$A$139:$I$159,5,0)),0%,VLOOKUP(A18,'Données projet'!$A$139:$I$159,5,0)*VLOOKUP('Données projet'!$B$13,Paramètres!$A$1:$I$89,7,0))</f>
        <v>9.0000000000000011E-2</v>
      </c>
      <c r="DD18" s="16">
        <f>IF(ISNA(VLOOKUP(A18,'Données projet'!$A$139:$I$159,6,0)),0%,VLOOKUP(A18,'Données projet'!$A$139:$I$159,6,0)*VLOOKUP('Données projet'!$B$13,Paramètres!$A$1:$I$89,7,0))</f>
        <v>0.20250000000000001</v>
      </c>
      <c r="DE18" s="16">
        <f>IF(ISNA(VLOOKUP(A18,'Données projet'!$A$139:$I$159,7,0)),0%,VLOOKUP(A18,'Données projet'!$A$139:$I$159,7,0))</f>
        <v>0.35</v>
      </c>
      <c r="DF18" s="21">
        <f>EXP(-LN(2)/35)*DF17+(1-EXP(-LN(2)/35))/(LN(2)/35)*DB18*DC18*VLOOKUP('Données projet'!$B$13,Paramètres!$A$1:$I$89,3,0)*0.475*44/12</f>
        <v>0.99953978588458492</v>
      </c>
      <c r="DG18" s="21">
        <f>EXP(-LN(2)/25)*DG17+(1-EXP(-LN(2)/25))/(LN(2)/25)*Calculateur!DB18*Calculateur!DD18*VLOOKUP('Données projet'!$B$13,Paramètres!$A$1:$I$89,3,0)*0.475*44/12</f>
        <v>2.2401094880093408</v>
      </c>
      <c r="DH18" s="21">
        <f>EXP(-LN(2)/2)*DH17+(1-EXP(-LN(2)/2))/(LN(2)/2)*DB18*DE18*VLOOKUP('Données projet'!$B$13,Paramètres!$A$1:$I$89,3,0)*0.475*44/12</f>
        <v>3.3176670782120503</v>
      </c>
      <c r="DI18" s="22">
        <f t="shared" si="15"/>
        <v>6.5573163521059765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7</v>
      </c>
      <c r="DO18" s="12">
        <f>IF('Données projet'!$A$166&gt;35,DO17+DN18-DW17,IF(A18&lt;'Données projet'!$A$166,$DL$205^A18,IF(A18='Données projet'!$A$166,'Données projet'!$B$166,DO17+DN18-DW17)))</f>
        <v>40.70015158777526</v>
      </c>
      <c r="DP18" s="17">
        <f>DO18*VLOOKUP('Données projet'!$B$14,Paramètres!$A$1:$I$89,3,0)*VLOOKUP('Données projet'!$B$14,Paramètres!$A$1:$I$89,5,0)</f>
        <v>19.04767094307882</v>
      </c>
      <c r="DQ18" s="13">
        <f t="shared" si="43"/>
        <v>6.2290289584104483</v>
      </c>
      <c r="DR18" s="20">
        <f t="shared" si="16"/>
        <v>44.023585661760478</v>
      </c>
      <c r="DS18" s="59">
        <f t="shared" si="17"/>
        <v>319.02358566176048</v>
      </c>
      <c r="DT18" s="59">
        <f ca="1">AVERAGE(OFFSET($DS$3,0,0,'Données projet'!$E$14+1,1))-AVERAGE(OFFSET($H$3,0,0,'Données projet'!$E$14+1,1))</f>
        <v>229.61973863654862</v>
      </c>
      <c r="DU18" s="59">
        <f t="shared" si="44"/>
        <v>254.08208375594052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2.1</v>
      </c>
      <c r="N19" s="13">
        <f>IF('Données projet'!$A$36&gt;35,N18+M19-V18,IF(A19&lt;'Données projet'!$A$36,$K$205^A19,IF(A19='Données projet'!$A$36,'Données projet'!$B$36,N18+M19-V18)))</f>
        <v>19.888381054913147</v>
      </c>
      <c r="O19" s="13">
        <f>N19*VLOOKUP('Données projet'!$B$9,Paramètres!$A$1:$I$89,3,0)*VLOOKUP('Données projet'!$B$9,Paramètres!$A$1:$I$89,5,0)</f>
        <v>17.995007178485412</v>
      </c>
      <c r="P19" s="13">
        <f t="shared" si="33"/>
        <v>5.9238546434872337</v>
      </c>
      <c r="Q19" s="20">
        <f t="shared" si="2"/>
        <v>41.658684339935689</v>
      </c>
      <c r="R19" s="59">
        <f t="shared" si="0"/>
        <v>317.88090656215792</v>
      </c>
      <c r="S19" s="59">
        <f ca="1">AVERAGE(OFFSET($R$3,0,0,'Données projet'!$E$9+1,1))-AVERAGE(OFFSET($H$3,0,0,'Données projet'!$E$9+1,1))</f>
        <v>373.59295497283125</v>
      </c>
      <c r="T19" s="59">
        <f t="shared" si="34"/>
        <v>231.36959598460686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2.1</v>
      </c>
      <c r="AI19" s="13">
        <f>IF('Données projet'!$A$62&gt;35,AI18+AH19-AQ18,IF(A19&lt;'Données projet'!$A$62,$AF$205^A19,IF(A19='Données projet'!$A$62,'Données projet'!$B$62,AI18+AH19-AQ18)))</f>
        <v>19.888381054913147</v>
      </c>
      <c r="AJ19" s="13">
        <f>AI19*VLOOKUP('Données projet'!$B$10,Paramètres!$A$1:$I$89,3,0)*VLOOKUP('Données projet'!$B$10,Paramètres!$A$1:$I$89,5,0)</f>
        <v>20.166818389681932</v>
      </c>
      <c r="AK19" s="13">
        <f t="shared" si="35"/>
        <v>6.5513327797938032</v>
      </c>
      <c r="AL19" s="20">
        <f t="shared" si="4"/>
        <v>46.534113286836906</v>
      </c>
      <c r="AM19" s="59">
        <f t="shared" si="5"/>
        <v>322.75633550905911</v>
      </c>
      <c r="AN19" s="59">
        <f ca="1">AVERAGE(OFFSET($AM$3,0,0,'Données projet'!$E$10+1,1))-AVERAGE(OFFSET($H$3,0,0,'Données projet'!$E$10+1,1))</f>
        <v>413.81510455446738</v>
      </c>
      <c r="AO19" s="59">
        <f t="shared" si="36"/>
        <v>254.25036207346602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2.1</v>
      </c>
      <c r="BD19" s="12">
        <f>IF('Données projet'!$A$88&gt;35,BD18+BC19-BL18,IF(A19&lt;'Données projet'!$A$88,$BA$205^A19,IF(A19='Données projet'!$A$88,'Données projet'!$B$88,BD18+BC19-BL18)))</f>
        <v>19.888381054913147</v>
      </c>
      <c r="BE19" s="13">
        <f>BD19*VLOOKUP('Données projet'!$B$11,Paramètres!$A$1:$I$89,3,0)*VLOOKUP('Données projet'!$B$11,Paramètres!$A$1:$I$89,5,0)</f>
        <v>19.236042156311996</v>
      </c>
      <c r="BF19" s="13">
        <f t="shared" si="37"/>
        <v>6.2834290449348904</v>
      </c>
      <c r="BG19" s="20">
        <f t="shared" si="7"/>
        <v>44.446412342171662</v>
      </c>
      <c r="BH19" s="59">
        <f t="shared" si="8"/>
        <v>320.66863456439387</v>
      </c>
      <c r="BI19" s="59">
        <f ca="1">AVERAGE(OFFSET($BH$3,0,0,'Données projet'!$E$11+1,1))-AVERAGE(OFFSET($H$3,0,0,'Données projet'!$E$11+1,1))</f>
        <v>295.35565287134125</v>
      </c>
      <c r="BJ19" s="59">
        <f t="shared" si="38"/>
        <v>244.451492444461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2.1</v>
      </c>
      <c r="BY19" s="12">
        <f>IF('Données projet'!$A$114&gt;35,BY18+BX19-CG18,IF(A19&lt;'Données projet'!$A$114,$BV$205^A19,IF(A19='Données projet'!$A$114,'Données projet'!$B$114,BY18+BX19-CG18)))</f>
        <v>19.888381054913147</v>
      </c>
      <c r="BZ19" s="13">
        <f>BY19*VLOOKUP('Données projet'!$B$12,Paramètres!$A$1:$I$89,3,0)*VLOOKUP('Données projet'!$B$12,Paramètres!$A$1:$I$89,5,0)</f>
        <v>21.407853367508512</v>
      </c>
      <c r="CA19" s="13">
        <f t="shared" si="39"/>
        <v>6.906316464991046</v>
      </c>
      <c r="CB19" s="20">
        <f t="shared" si="10"/>
        <v>49.313845791603399</v>
      </c>
      <c r="CC19" s="59">
        <f t="shared" si="11"/>
        <v>325.53606801382563</v>
      </c>
      <c r="CD19" s="59">
        <f ca="1">AVERAGE(OFFSET($CC$3,0,0,'Données projet'!$E$12+1,1))-AVERAGE(OFFSET($H$3,0,0,'Données projet'!$E$12+1,1))</f>
        <v>324.61094137855798</v>
      </c>
      <c r="CE19" s="59">
        <f t="shared" si="40"/>
        <v>267.2998309535638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21.4</v>
      </c>
      <c r="CT19" s="12">
        <f>IF('Données projet'!$A$140&gt;35,CT18+CS19-DB18,IF(A19&lt;'Données projet'!$A$140,$CQ$205^A19,IF(A19='Données projet'!$A$140,'Données projet'!$B$140,CT18+CS19-DB18)))</f>
        <v>117.4</v>
      </c>
      <c r="CU19" s="17">
        <f>CT19*VLOOKUP('Données projet'!$B$13,Paramètres!$A$1:$I$89,3,0)*VLOOKUP('Données projet'!$B$13,Paramètres!$A$1:$I$89,5,0)</f>
        <v>70.205200000000005</v>
      </c>
      <c r="CV19" s="13">
        <f t="shared" si="41"/>
        <v>19.724407279037784</v>
      </c>
      <c r="CW19" s="20">
        <f t="shared" si="13"/>
        <v>156.62739934432412</v>
      </c>
      <c r="CX19" s="59">
        <f t="shared" si="14"/>
        <v>432.84962156654638</v>
      </c>
      <c r="CY19" s="59">
        <f ca="1">AVERAGE(OFFSET($CX$3,0,0,'Données projet'!$E$13+1,1))-AVERAGE(OFFSET($H$3,0,0,'Données projet'!$E$13+1,1))</f>
        <v>319.9010109022521</v>
      </c>
      <c r="CZ19" s="59">
        <f t="shared" si="42"/>
        <v>441.82647565372287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0.97993942034245873</v>
      </c>
      <c r="DG19" s="21">
        <f>EXP(-LN(2)/25)*DG18+(1-EXP(-LN(2)/25))/(LN(2)/25)*Calculateur!DB19*Calculateur!DD19*VLOOKUP('Données projet'!$B$13,Paramètres!$A$1:$I$89,3,0)*0.475*44/12</f>
        <v>2.1788535762574872</v>
      </c>
      <c r="DH19" s="21">
        <f>EXP(-LN(2)/2)*DH18+(1-EXP(-LN(2)/2))/(LN(2)/2)*DB19*DE19*VLOOKUP('Données projet'!$B$13,Paramètres!$A$1:$I$89,3,0)*0.475*44/12</f>
        <v>2.3459448887231007</v>
      </c>
      <c r="DI19" s="22">
        <f t="shared" si="15"/>
        <v>5.5047378853230464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7</v>
      </c>
      <c r="DO19" s="12">
        <f>IF('Données projet'!$A$166&gt;35,DO18+DN19-DW18,IF(A19&lt;'Données projet'!$A$166,$DL$205^A19,IF(A19='Données projet'!$A$166,'Données projet'!$B$166,DO18+DN19-DW18)))</f>
        <v>52.107762922276969</v>
      </c>
      <c r="DP19" s="17">
        <f>DO19*VLOOKUP('Données projet'!$B$14,Paramètres!$A$1:$I$89,3,0)*VLOOKUP('Données projet'!$B$14,Paramètres!$A$1:$I$89,5,0)</f>
        <v>24.386433047625623</v>
      </c>
      <c r="DQ19" s="13">
        <f t="shared" si="43"/>
        <v>7.7488327371331547</v>
      </c>
      <c r="DR19" s="20">
        <f t="shared" si="16"/>
        <v>55.968921241788202</v>
      </c>
      <c r="DS19" s="59">
        <f t="shared" si="17"/>
        <v>332.19114346401045</v>
      </c>
      <c r="DT19" s="59">
        <f ca="1">AVERAGE(OFFSET($DS$3,0,0,'Données projet'!$E$14+1,1))-AVERAGE(OFFSET($H$3,0,0,'Données projet'!$E$14+1,1))</f>
        <v>229.61973863654862</v>
      </c>
      <c r="DU19" s="59">
        <f t="shared" si="44"/>
        <v>254.08208375594052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2.1</v>
      </c>
      <c r="N20" s="13">
        <f>IF('Données projet'!$A$36&gt;35,N19+M20-V19,IF(A20&lt;'Données projet'!$A$36,$K$205^A20,IF(A20='Données projet'!$A$36,'Données projet'!$B$36,N19+M20-V19)))</f>
        <v>23.975181126327602</v>
      </c>
      <c r="O20" s="13">
        <f>N20*VLOOKUP('Données projet'!$B$9,Paramètres!$A$1:$I$89,3,0)*VLOOKUP('Données projet'!$B$9,Paramètres!$A$1:$I$89,5,0)</f>
        <v>21.692743883101215</v>
      </c>
      <c r="P20" s="13">
        <f t="shared" si="33"/>
        <v>6.98746341685115</v>
      </c>
      <c r="Q20" s="20">
        <f t="shared" si="2"/>
        <v>49.951361047417038</v>
      </c>
      <c r="R20" s="59">
        <f t="shared" si="0"/>
        <v>327.39580549186149</v>
      </c>
      <c r="S20" s="59">
        <f ca="1">AVERAGE(OFFSET($R$3,0,0,'Données projet'!$E$9+1,1))-AVERAGE(OFFSET($H$3,0,0,'Données projet'!$E$9+1,1))</f>
        <v>373.59295497283125</v>
      </c>
      <c r="T20" s="59">
        <f t="shared" si="34"/>
        <v>231.36959598460686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2.1</v>
      </c>
      <c r="AI20" s="13">
        <f>IF('Données projet'!$A$62&gt;35,AI19+AH20-AQ19,IF(A20&lt;'Données projet'!$A$62,$AF$205^A20,IF(A20='Données projet'!$A$62,'Données projet'!$B$62,AI19+AH20-AQ19)))</f>
        <v>23.975181126327602</v>
      </c>
      <c r="AJ20" s="13">
        <f>AI20*VLOOKUP('Données projet'!$B$10,Paramètres!$A$1:$I$89,3,0)*VLOOKUP('Données projet'!$B$10,Paramètres!$A$1:$I$89,5,0)</f>
        <v>24.31083366209619</v>
      </c>
      <c r="AK20" s="13">
        <f t="shared" si="35"/>
        <v>7.7276032052466093</v>
      </c>
      <c r="AL20" s="20">
        <f t="shared" si="4"/>
        <v>55.800277543955367</v>
      </c>
      <c r="AM20" s="59">
        <f t="shared" si="5"/>
        <v>333.24472198839982</v>
      </c>
      <c r="AN20" s="59">
        <f ca="1">AVERAGE(OFFSET($AM$3,0,0,'Données projet'!$E$10+1,1))-AVERAGE(OFFSET($H$3,0,0,'Données projet'!$E$10+1,1))</f>
        <v>413.81510455446738</v>
      </c>
      <c r="AO20" s="59">
        <f t="shared" si="36"/>
        <v>254.25036207346602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2.1</v>
      </c>
      <c r="BD20" s="12">
        <f>IF('Données projet'!$A$88&gt;35,BD19+BC20-BL19,IF(A20&lt;'Données projet'!$A$88,$BA$205^A20,IF(A20='Données projet'!$A$88,'Données projet'!$B$88,BD19+BC20-BL19)))</f>
        <v>23.975181126327602</v>
      </c>
      <c r="BE20" s="13">
        <f>BD20*VLOOKUP('Données projet'!$B$11,Paramètres!$A$1:$I$89,3,0)*VLOOKUP('Données projet'!$B$11,Paramètres!$A$1:$I$89,5,0)</f>
        <v>23.188795185384055</v>
      </c>
      <c r="BF20" s="13">
        <f t="shared" si="37"/>
        <v>7.4115982288884323</v>
      </c>
      <c r="BG20" s="20">
        <f t="shared" si="7"/>
        <v>53.29568519652458</v>
      </c>
      <c r="BH20" s="59">
        <f t="shared" si="8"/>
        <v>330.74012964096903</v>
      </c>
      <c r="BI20" s="59">
        <f ca="1">AVERAGE(OFFSET($BH$3,0,0,'Données projet'!$E$11+1,1))-AVERAGE(OFFSET($H$3,0,0,'Données projet'!$E$11+1,1))</f>
        <v>295.35565287134125</v>
      </c>
      <c r="BJ20" s="59">
        <f t="shared" si="38"/>
        <v>244.451492444461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2.1</v>
      </c>
      <c r="BY20" s="12">
        <f>IF('Données projet'!$A$114&gt;35,BY19+BX20-CG19,IF(A20&lt;'Données projet'!$A$114,$BV$205^A20,IF(A20='Données projet'!$A$114,'Données projet'!$B$114,BY19+BX20-CG19)))</f>
        <v>23.975181126327602</v>
      </c>
      <c r="BZ20" s="13">
        <f>BY20*VLOOKUP('Données projet'!$B$12,Paramètres!$A$1:$I$89,3,0)*VLOOKUP('Données projet'!$B$12,Paramètres!$A$1:$I$89,5,0)</f>
        <v>25.80688496437903</v>
      </c>
      <c r="CA20" s="13">
        <f t="shared" si="39"/>
        <v>8.146323052908933</v>
      </c>
      <c r="CB20" s="20">
        <f t="shared" si="10"/>
        <v>59.135170630109862</v>
      </c>
      <c r="CC20" s="59">
        <f t="shared" si="11"/>
        <v>336.57961507455434</v>
      </c>
      <c r="CD20" s="59">
        <f ca="1">AVERAGE(OFFSET($CC$3,0,0,'Données projet'!$E$12+1,1))-AVERAGE(OFFSET($H$3,0,0,'Données projet'!$E$12+1,1))</f>
        <v>324.61094137855798</v>
      </c>
      <c r="CE20" s="59">
        <f t="shared" si="40"/>
        <v>267.2998309535638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21.4</v>
      </c>
      <c r="CT20" s="12">
        <f>IF('Données projet'!$A$140&gt;35,CT19+CS20-DB19,IF(A20&lt;'Données projet'!$A$140,$CQ$205^A20,IF(A20='Données projet'!$A$140,'Données projet'!$B$140,CT19+CS20-DB19)))</f>
        <v>138.80000000000001</v>
      </c>
      <c r="CU20" s="17">
        <f>CT20*VLOOKUP('Données projet'!$B$13,Paramètres!$A$1:$I$89,3,0)*VLOOKUP('Données projet'!$B$13,Paramètres!$A$1:$I$89,5,0)</f>
        <v>83.002400000000009</v>
      </c>
      <c r="CV20" s="13">
        <f t="shared" si="41"/>
        <v>22.869705036637765</v>
      </c>
      <c r="CW20" s="20">
        <f t="shared" si="13"/>
        <v>184.39391627214411</v>
      </c>
      <c r="CX20" s="59">
        <f t="shared" si="14"/>
        <v>461.83836071658857</v>
      </c>
      <c r="CY20" s="59">
        <f ca="1">AVERAGE(OFFSET($CX$3,0,0,'Données projet'!$E$13+1,1))-AVERAGE(OFFSET($H$3,0,0,'Données projet'!$E$13+1,1))</f>
        <v>319.9010109022521</v>
      </c>
      <c r="CZ20" s="59">
        <f t="shared" si="42"/>
        <v>441.82647565372287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0.9607234060135712</v>
      </c>
      <c r="DG20" s="21">
        <f>EXP(-LN(2)/25)*DG19+(1-EXP(-LN(2)/25))/(LN(2)/25)*Calculateur!DB20*Calculateur!DD20*VLOOKUP('Données projet'!$B$13,Paramètres!$A$1:$I$89,3,0)*0.475*44/12</f>
        <v>2.1192727106337963</v>
      </c>
      <c r="DH20" s="21">
        <f>EXP(-LN(2)/2)*DH19+(1-EXP(-LN(2)/2))/(LN(2)/2)*DB20*DE20*VLOOKUP('Données projet'!$B$13,Paramètres!$A$1:$I$89,3,0)*0.475*44/12</f>
        <v>1.6588335391060252</v>
      </c>
      <c r="DI20" s="22">
        <f t="shared" si="15"/>
        <v>4.7388296557533929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7</v>
      </c>
      <c r="DO20" s="12">
        <f>IF('Données projet'!$A$166&gt;35,DO19+DN20-DW19,IF(A20&lt;'Données projet'!$A$166,$DL$205^A20,IF(A20='Données projet'!$A$166,'Données projet'!$B$166,DO19+DN20-DW19)))</f>
        <v>66.712748008038588</v>
      </c>
      <c r="DP20" s="17">
        <f>DO20*VLOOKUP('Données projet'!$B$14,Paramètres!$A$1:$I$89,3,0)*VLOOKUP('Données projet'!$B$14,Paramètres!$A$1:$I$89,5,0)</f>
        <v>31.221566067762058</v>
      </c>
      <c r="DQ20" s="13">
        <f t="shared" si="43"/>
        <v>9.6394492928138327</v>
      </c>
      <c r="DR20" s="20">
        <f t="shared" si="16"/>
        <v>71.166268419669663</v>
      </c>
      <c r="DS20" s="59">
        <f t="shared" si="17"/>
        <v>348.61071286411413</v>
      </c>
      <c r="DT20" s="59">
        <f ca="1">AVERAGE(OFFSET($DS$3,0,0,'Données projet'!$E$14+1,1))-AVERAGE(OFFSET($H$3,0,0,'Données projet'!$E$14+1,1))</f>
        <v>229.61973863654862</v>
      </c>
      <c r="DU20" s="59">
        <f t="shared" si="44"/>
        <v>254.08208375594052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2.1</v>
      </c>
      <c r="N21" s="13">
        <f>IF('Données projet'!$A$36&gt;35,N20+M21-V20,IF(A21&lt;'Données projet'!$A$36,$K$205^A21,IF(A21='Données projet'!$A$36,'Données projet'!$B$36,N20+M21-V20)))</f>
        <v>28.901764726506816</v>
      </c>
      <c r="O21" s="13">
        <f>N21*VLOOKUP('Données projet'!$B$9,Paramètres!$A$1:$I$89,3,0)*VLOOKUP('Données projet'!$B$9,Paramètres!$A$1:$I$89,5,0)</f>
        <v>26.150316724543362</v>
      </c>
      <c r="P21" s="13">
        <f t="shared" si="33"/>
        <v>8.2420396752158016</v>
      </c>
      <c r="Q21" s="20">
        <f t="shared" si="2"/>
        <v>59.900020729580547</v>
      </c>
      <c r="R21" s="59">
        <f t="shared" si="0"/>
        <v>338.56668739624723</v>
      </c>
      <c r="S21" s="59">
        <f ca="1">AVERAGE(OFFSET($R$3,0,0,'Données projet'!$E$9+1,1))-AVERAGE(OFFSET($H$3,0,0,'Données projet'!$E$9+1,1))</f>
        <v>373.59295497283125</v>
      </c>
      <c r="T21" s="59">
        <f t="shared" si="34"/>
        <v>231.36959598460686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2.1</v>
      </c>
      <c r="AI21" s="13">
        <f>IF('Données projet'!$A$62&gt;35,AI20+AH21-AQ20,IF(A21&lt;'Données projet'!$A$62,$AF$205^A21,IF(A21='Données projet'!$A$62,'Données projet'!$B$62,AI20+AH21-AQ20)))</f>
        <v>28.901764726506816</v>
      </c>
      <c r="AJ21" s="13">
        <f>AI21*VLOOKUP('Données projet'!$B$10,Paramètres!$A$1:$I$89,3,0)*VLOOKUP('Données projet'!$B$10,Paramètres!$A$1:$I$89,5,0)</f>
        <v>29.306389432677911</v>
      </c>
      <c r="AK21" s="13">
        <f t="shared" si="35"/>
        <v>9.1150691477493808</v>
      </c>
      <c r="AL21" s="20">
        <f t="shared" si="4"/>
        <v>66.917373694244205</v>
      </c>
      <c r="AM21" s="59">
        <f t="shared" si="5"/>
        <v>345.58404036091088</v>
      </c>
      <c r="AN21" s="59">
        <f ca="1">AVERAGE(OFFSET($AM$3,0,0,'Données projet'!$E$10+1,1))-AVERAGE(OFFSET($H$3,0,0,'Données projet'!$E$10+1,1))</f>
        <v>413.81510455446738</v>
      </c>
      <c r="AO21" s="59">
        <f t="shared" si="36"/>
        <v>254.25036207346602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2.1</v>
      </c>
      <c r="BD21" s="12">
        <f>IF('Données projet'!$A$88&gt;35,BD20+BC21-BL20,IF(A21&lt;'Données projet'!$A$88,$BA$205^A21,IF(A21='Données projet'!$A$88,'Données projet'!$B$88,BD20+BC21-BL20)))</f>
        <v>28.901764726506816</v>
      </c>
      <c r="BE21" s="13">
        <f>BD21*VLOOKUP('Données projet'!$B$11,Paramètres!$A$1:$I$89,3,0)*VLOOKUP('Données projet'!$B$11,Paramètres!$A$1:$I$89,5,0)</f>
        <v>27.953786843477392</v>
      </c>
      <c r="BF21" s="13">
        <f t="shared" si="37"/>
        <v>8.7423265089215931</v>
      </c>
      <c r="BG21" s="20">
        <f t="shared" si="7"/>
        <v>63.912397422094891</v>
      </c>
      <c r="BH21" s="59">
        <f t="shared" si="8"/>
        <v>342.57906408876158</v>
      </c>
      <c r="BI21" s="59">
        <f ca="1">AVERAGE(OFFSET($BH$3,0,0,'Données projet'!$E$11+1,1))-AVERAGE(OFFSET($H$3,0,0,'Données projet'!$E$11+1,1))</f>
        <v>295.35565287134125</v>
      </c>
      <c r="BJ21" s="59">
        <f t="shared" si="38"/>
        <v>244.451492444461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2.1</v>
      </c>
      <c r="BY21" s="12">
        <f>IF('Données projet'!$A$114&gt;35,BY20+BX21-CG20,IF(A21&lt;'Données projet'!$A$114,$BV$205^A21,IF(A21='Données projet'!$A$114,'Données projet'!$B$114,BY20+BX21-CG20)))</f>
        <v>28.901764726506816</v>
      </c>
      <c r="BZ21" s="13">
        <f>BY21*VLOOKUP('Données projet'!$B$12,Paramètres!$A$1:$I$89,3,0)*VLOOKUP('Données projet'!$B$12,Paramètres!$A$1:$I$89,5,0)</f>
        <v>31.109859551611933</v>
      </c>
      <c r="CA21" s="13">
        <f t="shared" si="39"/>
        <v>9.6089687778941872</v>
      </c>
      <c r="CB21" s="20">
        <f t="shared" si="10"/>
        <v>70.918626007223153</v>
      </c>
      <c r="CC21" s="59">
        <f t="shared" si="11"/>
        <v>349.58529267388985</v>
      </c>
      <c r="CD21" s="59">
        <f ca="1">AVERAGE(OFFSET($CC$3,0,0,'Données projet'!$E$12+1,1))-AVERAGE(OFFSET($H$3,0,0,'Données projet'!$E$12+1,1))</f>
        <v>324.61094137855798</v>
      </c>
      <c r="CE21" s="59">
        <f t="shared" si="40"/>
        <v>267.2998309535638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21.4</v>
      </c>
      <c r="CT21" s="12">
        <f>IF('Données projet'!$A$140&gt;35,CT20+CS21-DB20,IF(A21&lt;'Données projet'!$A$140,$CQ$205^A21,IF(A21='Données projet'!$A$140,'Données projet'!$B$140,CT20+CS21-DB20)))</f>
        <v>160.20000000000002</v>
      </c>
      <c r="CU21" s="17">
        <f>CT21*VLOOKUP('Données projet'!$B$13,Paramètres!$A$1:$I$89,3,0)*VLOOKUP('Données projet'!$B$13,Paramètres!$A$1:$I$89,5,0)</f>
        <v>95.799600000000012</v>
      </c>
      <c r="CV21" s="13">
        <f t="shared" si="41"/>
        <v>25.958824745990441</v>
      </c>
      <c r="CW21" s="20">
        <f t="shared" si="13"/>
        <v>212.06258976593335</v>
      </c>
      <c r="CX21" s="59">
        <f t="shared" si="14"/>
        <v>490.72925643260004</v>
      </c>
      <c r="CY21" s="59">
        <f ca="1">AVERAGE(OFFSET($CX$3,0,0,'Données projet'!$E$13+1,1))-AVERAGE(OFFSET($H$3,0,0,'Données projet'!$E$13+1,1))</f>
        <v>319.9010109022521</v>
      </c>
      <c r="CZ21" s="59">
        <f t="shared" si="42"/>
        <v>441.82647565372287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0.94188420600506173</v>
      </c>
      <c r="DG21" s="21">
        <f>EXP(-LN(2)/25)*DG20+(1-EXP(-LN(2)/25))/(LN(2)/25)*Calculateur!DB21*Calculateur!DD21*VLOOKUP('Données projet'!$B$13,Paramètres!$A$1:$I$89,3,0)*0.475*44/12</f>
        <v>2.0613210869138068</v>
      </c>
      <c r="DH21" s="21">
        <f>EXP(-LN(2)/2)*DH20+(1-EXP(-LN(2)/2))/(LN(2)/2)*DB21*DE21*VLOOKUP('Données projet'!$B$13,Paramètres!$A$1:$I$89,3,0)*0.475*44/12</f>
        <v>1.1729724443615503</v>
      </c>
      <c r="DI21" s="22">
        <f t="shared" si="15"/>
        <v>4.176177737280419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7</v>
      </c>
      <c r="DO21" s="12">
        <f>IF('Données projet'!$A$166&gt;35,DO20+DN21-DW20,IF(A21&lt;'Données projet'!$A$166,$DL$205^A21,IF(A21='Données projet'!$A$166,'Données projet'!$B$166,DO20+DN21-DW20)))</f>
        <v>85.411280338833194</v>
      </c>
      <c r="DP21" s="17">
        <f>DO21*VLOOKUP('Données projet'!$B$14,Paramètres!$A$1:$I$89,3,0)*VLOOKUP('Données projet'!$B$14,Paramètres!$A$1:$I$89,5,0)</f>
        <v>39.972479198573936</v>
      </c>
      <c r="DQ21" s="13">
        <f t="shared" si="43"/>
        <v>11.991352223084183</v>
      </c>
      <c r="DR21" s="20">
        <f t="shared" si="16"/>
        <v>90.503673059387893</v>
      </c>
      <c r="DS21" s="59">
        <f t="shared" si="17"/>
        <v>369.17033972605458</v>
      </c>
      <c r="DT21" s="59">
        <f ca="1">AVERAGE(OFFSET($DS$3,0,0,'Données projet'!$E$14+1,1))-AVERAGE(OFFSET($H$3,0,0,'Données projet'!$E$14+1,1))</f>
        <v>229.61973863654862</v>
      </c>
      <c r="DU21" s="59">
        <f t="shared" si="44"/>
        <v>254.08208375594052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2.1</v>
      </c>
      <c r="N22" s="13">
        <f>IF('Données projet'!$A$36&gt;35,N21+M22-V21,IF(A22&lt;'Données projet'!$A$36,$K$205^A22,IF(A22='Données projet'!$A$36,'Données projet'!$B$36,N21+M22-V21)))</f>
        <v>34.840696297767764</v>
      </c>
      <c r="O22" s="13">
        <f>N22*VLOOKUP('Données projet'!$B$9,Paramètres!$A$1:$I$89,3,0)*VLOOKUP('Données projet'!$B$9,Paramètres!$A$1:$I$89,5,0)</f>
        <v>31.52386201022027</v>
      </c>
      <c r="P22" s="13">
        <f t="shared" si="33"/>
        <v>9.7218710074397983</v>
      </c>
      <c r="Q22" s="20">
        <f t="shared" si="2"/>
        <v>71.836318339091292</v>
      </c>
      <c r="R22" s="59">
        <f t="shared" si="0"/>
        <v>351.72520722798015</v>
      </c>
      <c r="S22" s="59">
        <f ca="1">AVERAGE(OFFSET($R$3,0,0,'Données projet'!$E$9+1,1))-AVERAGE(OFFSET($H$3,0,0,'Données projet'!$E$9+1,1))</f>
        <v>373.59295497283125</v>
      </c>
      <c r="T22" s="59">
        <f t="shared" si="34"/>
        <v>231.36959598460686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2.1</v>
      </c>
      <c r="AI22" s="13">
        <f>IF('Données projet'!$A$62&gt;35,AI21+AH22-AQ21,IF(A22&lt;'Données projet'!$A$62,$AF$205^A22,IF(A22='Données projet'!$A$62,'Données projet'!$B$62,AI21+AH22-AQ21)))</f>
        <v>34.840696297767764</v>
      </c>
      <c r="AJ22" s="13">
        <f>AI22*VLOOKUP('Données projet'!$B$10,Paramètres!$A$1:$I$89,3,0)*VLOOKUP('Données projet'!$B$10,Paramètres!$A$1:$I$89,5,0)</f>
        <v>35.328466045936516</v>
      </c>
      <c r="AK22" s="13">
        <f t="shared" si="35"/>
        <v>10.751650073316766</v>
      </c>
      <c r="AL22" s="20">
        <f t="shared" si="4"/>
        <v>80.256202241032796</v>
      </c>
      <c r="AM22" s="59">
        <f t="shared" si="5"/>
        <v>360.14509112992164</v>
      </c>
      <c r="AN22" s="59">
        <f ca="1">AVERAGE(OFFSET($AM$3,0,0,'Données projet'!$E$10+1,1))-AVERAGE(OFFSET($H$3,0,0,'Données projet'!$E$10+1,1))</f>
        <v>413.81510455446738</v>
      </c>
      <c r="AO22" s="59">
        <f t="shared" si="36"/>
        <v>254.25036207346602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2.1</v>
      </c>
      <c r="BD22" s="12">
        <f>IF('Données projet'!$A$88&gt;35,BD21+BC22-BL21,IF(A22&lt;'Données projet'!$A$88,$BA$205^A22,IF(A22='Données projet'!$A$88,'Données projet'!$B$88,BD21+BC22-BL21)))</f>
        <v>34.840696297767764</v>
      </c>
      <c r="BE22" s="13">
        <f>BD22*VLOOKUP('Données projet'!$B$11,Paramètres!$A$1:$I$89,3,0)*VLOOKUP('Données projet'!$B$11,Paramètres!$A$1:$I$89,5,0)</f>
        <v>33.697921459200977</v>
      </c>
      <c r="BF22" s="13">
        <f t="shared" si="37"/>
        <v>10.31198270984201</v>
      </c>
      <c r="BG22" s="20">
        <f t="shared" si="7"/>
        <v>76.650583094416518</v>
      </c>
      <c r="BH22" s="59">
        <f t="shared" si="8"/>
        <v>356.53947198330536</v>
      </c>
      <c r="BI22" s="59">
        <f ca="1">AVERAGE(OFFSET($BH$3,0,0,'Données projet'!$E$11+1,1))-AVERAGE(OFFSET($H$3,0,0,'Données projet'!$E$11+1,1))</f>
        <v>295.35565287134125</v>
      </c>
      <c r="BJ22" s="59">
        <f t="shared" si="38"/>
        <v>244.451492444461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2.1</v>
      </c>
      <c r="BY22" s="12">
        <f>IF('Données projet'!$A$114&gt;35,BY21+BX22-CG21,IF(A22&lt;'Données projet'!$A$114,$BV$205^A22,IF(A22='Données projet'!$A$114,'Données projet'!$B$114,BY21+BX22-CG21)))</f>
        <v>34.840696297767764</v>
      </c>
      <c r="BZ22" s="13">
        <f>BY22*VLOOKUP('Données projet'!$B$12,Paramètres!$A$1:$I$89,3,0)*VLOOKUP('Données projet'!$B$12,Paramètres!$A$1:$I$89,5,0)</f>
        <v>37.502525494917215</v>
      </c>
      <c r="CA22" s="13">
        <f t="shared" si="39"/>
        <v>11.334227770598273</v>
      </c>
      <c r="CB22" s="20">
        <f t="shared" si="10"/>
        <v>85.057345270772814</v>
      </c>
      <c r="CC22" s="59">
        <f t="shared" si="11"/>
        <v>364.94623415966169</v>
      </c>
      <c r="CD22" s="59">
        <f ca="1">AVERAGE(OFFSET($CC$3,0,0,'Données projet'!$E$12+1,1))-AVERAGE(OFFSET($H$3,0,0,'Données projet'!$E$12+1,1))</f>
        <v>324.61094137855798</v>
      </c>
      <c r="CE22" s="59">
        <f t="shared" si="40"/>
        <v>267.2998309535638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21.4</v>
      </c>
      <c r="CT22" s="12">
        <f>IF('Données projet'!$A$140&gt;35,CT21+CS22-DB21,IF(A22&lt;'Données projet'!$A$140,$CQ$205^A22,IF(A22='Données projet'!$A$140,'Données projet'!$B$140,CT21+CS22-DB21)))</f>
        <v>181.60000000000002</v>
      </c>
      <c r="CU22" s="17">
        <f>CT22*VLOOKUP('Données projet'!$B$13,Paramètres!$A$1:$I$89,3,0)*VLOOKUP('Données projet'!$B$13,Paramètres!$A$1:$I$89,5,0)</f>
        <v>108.59680000000003</v>
      </c>
      <c r="CV22" s="13">
        <f t="shared" si="41"/>
        <v>29.000133087134955</v>
      </c>
      <c r="CW22" s="20">
        <f t="shared" si="13"/>
        <v>239.64799179342674</v>
      </c>
      <c r="CX22" s="59">
        <f t="shared" si="14"/>
        <v>519.53688068231554</v>
      </c>
      <c r="CY22" s="59">
        <f ca="1">AVERAGE(OFFSET($CX$3,0,0,'Données projet'!$E$13+1,1))-AVERAGE(OFFSET($H$3,0,0,'Données projet'!$E$13+1,1))</f>
        <v>319.9010109022521</v>
      </c>
      <c r="CZ22" s="59">
        <f t="shared" si="42"/>
        <v>441.82647565372287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0.92341443121794164</v>
      </c>
      <c r="DG22" s="21">
        <f>EXP(-LN(2)/25)*DG21+(1-EXP(-LN(2)/25))/(LN(2)/25)*Calculateur!DB22*Calculateur!DD22*VLOOKUP('Données projet'!$B$13,Paramètres!$A$1:$I$89,3,0)*0.475*44/12</f>
        <v>2.0049541533919841</v>
      </c>
      <c r="DH22" s="21">
        <f>EXP(-LN(2)/2)*DH21+(1-EXP(-LN(2)/2))/(LN(2)/2)*DB22*DE22*VLOOKUP('Données projet'!$B$13,Paramètres!$A$1:$I$89,3,0)*0.475*44/12</f>
        <v>0.82941676955301258</v>
      </c>
      <c r="DI22" s="22">
        <f t="shared" si="15"/>
        <v>3.7577853541629382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7</v>
      </c>
      <c r="DO22" s="12">
        <f>IF('Données projet'!$A$166&gt;35,DO21+DN22-DW21,IF(A22&lt;'Données projet'!$A$166,$DL$205^A22,IF(A22='Données projet'!$A$166,'Données projet'!$B$166,DO21+DN22-DW21)))</f>
        <v>109.35071672118391</v>
      </c>
      <c r="DP22" s="17">
        <f>DO22*VLOOKUP('Données projet'!$B$14,Paramètres!$A$1:$I$89,3,0)*VLOOKUP('Données projet'!$B$14,Paramètres!$A$1:$I$89,5,0)</f>
        <v>51.176135425514076</v>
      </c>
      <c r="DQ22" s="13">
        <f t="shared" si="43"/>
        <v>14.917089531791261</v>
      </c>
      <c r="DR22" s="20">
        <f t="shared" si="16"/>
        <v>115.11236680064013</v>
      </c>
      <c r="DS22" s="59">
        <f t="shared" si="17"/>
        <v>395.00125568952899</v>
      </c>
      <c r="DT22" s="59">
        <f ca="1">AVERAGE(OFFSET($DS$3,0,0,'Données projet'!$E$14+1,1))-AVERAGE(OFFSET($H$3,0,0,'Données projet'!$E$14+1,1))</f>
        <v>229.61973863654862</v>
      </c>
      <c r="DU22" s="59">
        <f t="shared" si="44"/>
        <v>254.08208375594052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42</v>
      </c>
      <c r="L23" s="12">
        <f>VLOOKUP(A23,'Données projet'!$A$35:$I$55,9,0)</f>
        <v>2.1</v>
      </c>
      <c r="M23" s="12">
        <f t="array" ref="M23">INDEX(L:L,MIN(IF(ISNUMBER(L23:L219),ROW(L23:L219),"")))</f>
        <v>2.1</v>
      </c>
      <c r="N23" s="13">
        <f>IF('Données projet'!$A$36&gt;35,N22+M23-V22,IF(A23&lt;'Données projet'!$A$36,$K$205^A23,IF(A23='Données projet'!$A$36,'Données projet'!$B$36,N22+M23-V22)))</f>
        <v>42</v>
      </c>
      <c r="O23" s="13">
        <f>N23*VLOOKUP('Données projet'!$B$9,Paramètres!$A$1:$I$89,3,0)*VLOOKUP('Données projet'!$B$9,Paramètres!$A$1:$I$89,5,0)</f>
        <v>38.001600000000003</v>
      </c>
      <c r="P23" s="13">
        <f t="shared" si="33"/>
        <v>11.467401227090512</v>
      </c>
      <c r="Q23" s="20">
        <f t="shared" si="2"/>
        <v>86.158510470515978</v>
      </c>
      <c r="R23" s="59">
        <f t="shared" si="0"/>
        <v>367.26962158162712</v>
      </c>
      <c r="S23" s="59">
        <f ca="1">AVERAGE(OFFSET($R$3,0,0,'Données projet'!$E$9+1,1))-AVERAGE(OFFSET($H$3,0,0,'Données projet'!$E$9+1,1))</f>
        <v>373.59295497283125</v>
      </c>
      <c r="T23" s="59">
        <f t="shared" si="34"/>
        <v>231.36959598460686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42</v>
      </c>
      <c r="AG23" s="12">
        <f>VLOOKUP(A23,'Données projet'!$A$61:$I$81,9,0)</f>
        <v>2.1</v>
      </c>
      <c r="AH23" s="12">
        <f t="array" ref="AH23">INDEX(AG:AG,MIN(IF(ISNUMBER(AG23:AG219),ROW(AG23:AG219),"")))</f>
        <v>2.1</v>
      </c>
      <c r="AI23" s="13">
        <f>IF('Données projet'!$A$62&gt;35,AI22+AH23-AQ22,IF(A23&lt;'Données projet'!$A$62,$AF$205^A23,IF(A23='Données projet'!$A$62,'Données projet'!$B$62,AI22+AH23-AQ22)))</f>
        <v>42</v>
      </c>
      <c r="AJ23" s="13">
        <f>AI23*VLOOKUP('Données projet'!$B$10,Paramètres!$A$1:$I$89,3,0)*VLOOKUP('Données projet'!$B$10,Paramètres!$A$1:$I$89,5,0)</f>
        <v>42.588000000000001</v>
      </c>
      <c r="AK23" s="13">
        <f t="shared" si="35"/>
        <v>12.682073764365764</v>
      </c>
      <c r="AL23" s="20">
        <f t="shared" si="4"/>
        <v>96.262045139603686</v>
      </c>
      <c r="AM23" s="59">
        <f t="shared" si="5"/>
        <v>377.37315625071483</v>
      </c>
      <c r="AN23" s="59">
        <f ca="1">AVERAGE(OFFSET($AM$3,0,0,'Données projet'!$E$10+1,1))-AVERAGE(OFFSET($H$3,0,0,'Données projet'!$E$10+1,1))</f>
        <v>413.81510455446738</v>
      </c>
      <c r="AO23" s="59">
        <f t="shared" si="36"/>
        <v>254.25036207346602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42</v>
      </c>
      <c r="BB23" s="12">
        <f>VLOOKUP(A23,'Données projet'!$A$87:$I$107,9,0)</f>
        <v>2.1</v>
      </c>
      <c r="BC23" s="12">
        <f t="array" ref="BC23">INDEX(BB:BB,MIN(IF(ISNUMBER(BB23:BB219),ROW(BB23:BB219),"")))</f>
        <v>2.1</v>
      </c>
      <c r="BD23" s="12">
        <f>IF('Données projet'!$A$88&gt;35,BD22+BC23-BL22,IF(A23&lt;'Données projet'!$A$88,$BA$205^A23,IF(A23='Données projet'!$A$88,'Données projet'!$B$88,BD22+BC23-BL22)))</f>
        <v>42</v>
      </c>
      <c r="BE23" s="13">
        <f>BD23*VLOOKUP('Données projet'!$B$11,Paramètres!$A$1:$I$89,3,0)*VLOOKUP('Données projet'!$B$11,Paramètres!$A$1:$I$89,5,0)</f>
        <v>40.622399999999999</v>
      </c>
      <c r="BF23" s="13">
        <f t="shared" si="37"/>
        <v>12.163465560290264</v>
      </c>
      <c r="BG23" s="20">
        <f t="shared" si="7"/>
        <v>91.935382517505545</v>
      </c>
      <c r="BH23" s="59">
        <f t="shared" si="8"/>
        <v>373.0464936286167</v>
      </c>
      <c r="BI23" s="59">
        <f ca="1">AVERAGE(OFFSET($BH$3,0,0,'Données projet'!$E$11+1,1))-AVERAGE(OFFSET($H$3,0,0,'Données projet'!$E$11+1,1))</f>
        <v>295.35565287134125</v>
      </c>
      <c r="BJ23" s="59">
        <f t="shared" si="38"/>
        <v>244.451492444461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42</v>
      </c>
      <c r="BW23" s="12">
        <f>VLOOKUP(A23,'Données projet'!$A$113:$I$133,9,0)</f>
        <v>2.1</v>
      </c>
      <c r="BX23" s="12">
        <f t="array" ref="BX23">INDEX(BW:BW,MIN(IF(ISNUMBER(BW23:BW219),ROW(BW23:BW219),"")))</f>
        <v>2.1</v>
      </c>
      <c r="BY23" s="12">
        <f>IF('Données projet'!$A$114&gt;35,BY22+BX23-CG22,IF(A23&lt;'Données projet'!$A$114,$BV$205^A23,IF(A23='Données projet'!$A$114,'Données projet'!$B$114,BY22+BX23-CG22)))</f>
        <v>42</v>
      </c>
      <c r="BZ23" s="13">
        <f>BY23*VLOOKUP('Données projet'!$B$12,Paramètres!$A$1:$I$89,3,0)*VLOOKUP('Données projet'!$B$12,Paramètres!$A$1:$I$89,5,0)</f>
        <v>45.208799999999997</v>
      </c>
      <c r="CA23" s="13">
        <f t="shared" si="39"/>
        <v>13.369251386406743</v>
      </c>
      <c r="CB23" s="20">
        <f t="shared" si="10"/>
        <v>102.02343949799173</v>
      </c>
      <c r="CC23" s="59">
        <f t="shared" si="11"/>
        <v>383.13455060910286</v>
      </c>
      <c r="CD23" s="59">
        <f ca="1">AVERAGE(OFFSET($CC$3,0,0,'Données projet'!$E$12+1,1))-AVERAGE(OFFSET($H$3,0,0,'Données projet'!$E$12+1,1))</f>
        <v>324.61094137855798</v>
      </c>
      <c r="CE23" s="59">
        <f t="shared" si="40"/>
        <v>267.2998309535638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203</v>
      </c>
      <c r="CR23" s="12">
        <f>VLOOKUP(A23,'Données projet'!$A$139:$I$159,9,0)</f>
        <v>21.4</v>
      </c>
      <c r="CS23" s="12">
        <f t="array" ref="CS23">INDEX(CR:CR,MIN(IF(ISNUMBER(CR23:CR219),ROW(CR23:CR219),"")))</f>
        <v>21.4</v>
      </c>
      <c r="CT23" s="12">
        <f>IF('Données projet'!$A$140&gt;35,CT22+CS23-DB22,IF(A23&lt;'Données projet'!$A$140,$CQ$205^A23,IF(A23='Données projet'!$A$140,'Données projet'!$B$140,CT22+CS23-DB22)))</f>
        <v>203.00000000000003</v>
      </c>
      <c r="CU23" s="17">
        <f>CT23*VLOOKUP('Données projet'!$B$13,Paramètres!$A$1:$I$89,3,0)*VLOOKUP('Données projet'!$B$13,Paramètres!$A$1:$I$89,5,0)</f>
        <v>121.39400000000003</v>
      </c>
      <c r="CV23" s="13">
        <f t="shared" si="41"/>
        <v>31.999908030972463</v>
      </c>
      <c r="CW23" s="20">
        <f t="shared" si="13"/>
        <v>267.16105648727711</v>
      </c>
      <c r="CX23" s="59">
        <f t="shared" si="14"/>
        <v>548.27216759838825</v>
      </c>
      <c r="CY23" s="59">
        <f ca="1">AVERAGE(OFFSET($CX$3,0,0,'Données projet'!$E$13+1,1))-AVERAGE(OFFSET($H$3,0,0,'Données projet'!$E$13+1,1))</f>
        <v>319.9010109022521</v>
      </c>
      <c r="CZ23" s="59">
        <f t="shared" si="42"/>
        <v>441.82647565372287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63</v>
      </c>
      <c r="DC23" s="16">
        <f>IF(ISNA(VLOOKUP(A23,'Données projet'!$A$139:$I$159,5,0)),0%,VLOOKUP(A23,'Données projet'!$A$139:$I$159,5,0)*VLOOKUP('Données projet'!$B$13,Paramètres!$A$1:$I$89,7,0))</f>
        <v>9.0000000000000011E-2</v>
      </c>
      <c r="DD23" s="16">
        <f>IF(ISNA(VLOOKUP(A23,'Données projet'!$A$139:$I$159,6,0)),0%,VLOOKUP(A23,'Données projet'!$A$139:$I$159,6,0)*VLOOKUP('Données projet'!$B$13,Paramètres!$A$1:$I$89,7,0))</f>
        <v>0.20250000000000001</v>
      </c>
      <c r="DE23" s="16">
        <f>IF(ISNA(VLOOKUP(A23,'Données projet'!$A$139:$I$159,7,0)),0%,VLOOKUP(A23,'Données projet'!$A$139:$I$159,7,0))</f>
        <v>0.35</v>
      </c>
      <c r="DF23" s="21">
        <f>EXP(-LN(2)/35)*DF22+(1-EXP(-LN(2)/35))/(LN(2)/35)*DB23*DC23*VLOOKUP('Données projet'!$B$13,Paramètres!$A$1:$I$89,3,0)*0.475*44/12</f>
        <v>5.4032358739295789</v>
      </c>
      <c r="DG23" s="21">
        <f>EXP(-LN(2)/25)*DG22+(1-EXP(-LN(2)/25))/(LN(2)/25)*Calculateur!DB23*Calculateur!DD23*VLOOKUP('Données projet'!$B$13,Paramètres!$A$1:$I$89,3,0)*0.475*44/12</f>
        <v>12.030621272673558</v>
      </c>
      <c r="DH23" s="21">
        <f>EXP(-LN(2)/2)*DH22+(1-EXP(-LN(2)/2))/(LN(2)/2)*DB23*DE23*VLOOKUP('Données projet'!$B$13,Paramètres!$A$1:$I$89,3,0)*0.475*44/12</f>
        <v>15.515988074135002</v>
      </c>
      <c r="DI23" s="22">
        <f t="shared" si="15"/>
        <v>32.94984522073814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140</v>
      </c>
      <c r="DM23" s="12">
        <f>VLOOKUP(A23,'Données projet'!$A$165:$I$185,9,0)</f>
        <v>7</v>
      </c>
      <c r="DN23" s="12">
        <f t="array" ref="DN23">INDEX(DM:DM,MIN(IF(ISNUMBER(DM23:DM219),ROW(DM23:DM219),"")))</f>
        <v>7</v>
      </c>
      <c r="DO23" s="12">
        <f>IF('Données projet'!$A$166&gt;35,DO22+DN23-DW22,IF(A23&lt;'Données projet'!$A$166,$DL$205^A23,IF(A23='Données projet'!$A$166,'Données projet'!$B$166,DO22+DN23-DW22)))</f>
        <v>140</v>
      </c>
      <c r="DP23" s="17">
        <f>DO23*VLOOKUP('Données projet'!$B$14,Paramètres!$A$1:$I$89,3,0)*VLOOKUP('Données projet'!$B$14,Paramètres!$A$1:$I$89,5,0)</f>
        <v>65.52</v>
      </c>
      <c r="DQ23" s="13">
        <f t="shared" si="43"/>
        <v>18.556669503136725</v>
      </c>
      <c r="DR23" s="20">
        <f t="shared" si="16"/>
        <v>146.43353271796309</v>
      </c>
      <c r="DS23" s="59">
        <f t="shared" si="17"/>
        <v>427.54464382907423</v>
      </c>
      <c r="DT23" s="59">
        <f ca="1">AVERAGE(OFFSET($DS$3,0,0,'Données projet'!$E$14+1,1))-AVERAGE(OFFSET($H$3,0,0,'Données projet'!$E$14+1,1))</f>
        <v>229.61973863654862</v>
      </c>
      <c r="DU23" s="59">
        <f t="shared" si="44"/>
        <v>254.08208375594052</v>
      </c>
      <c r="DV23" s="15">
        <f>IF(ISNA(VLOOKUP(A23,'Données projet'!$A$165:$I$185,3,0)),0,VLOOKUP(A23,'Données projet'!$A$165:$I$185,3,0))</f>
        <v>1</v>
      </c>
      <c r="DW23" s="15">
        <f>IF(ISNA(VLOOKUP(A23,'Données projet'!$A$165:$I$185,4,0)),0,VLOOKUP(A23,'Données projet'!$A$165:$I$185,4,0))</f>
        <v>40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0.30800000000000005</v>
      </c>
      <c r="DZ23" s="16">
        <f>IF(ISNA(VLOOKUP(A23,'Données projet'!$A$165:$I$185,7,0)),0%,VLOOKUP(A23,'Données projet'!$A$165:$I$185,7,0))</f>
        <v>0.44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7.6185366162250032</v>
      </c>
      <c r="EC23" s="21">
        <f>EXP(-LN(2)/2)*EC22+(1-EXP(-LN(2)/2))/(LN(2)/2)*DW23*DZ23*VLOOKUP('Données projet'!$B$14,Paramètres!$A$1:$I$89,3,0)*0.475*44/12</f>
        <v>9.3259709882659934</v>
      </c>
      <c r="ED23" s="22">
        <f t="shared" si="18"/>
        <v>16.944507604490997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5.6</v>
      </c>
      <c r="N24" s="13">
        <f>IF('Données projet'!$A$36&gt;35,N23+M24-V23,IF(A24&lt;'Données projet'!$A$36,$K$205^A24,IF(A24='Données projet'!$A$36,'Données projet'!$B$36,N23+M24-V23)))</f>
        <v>47.6</v>
      </c>
      <c r="O24" s="13">
        <f>N24*VLOOKUP('Données projet'!$B$9,Paramètres!$A$1:$I$89,3,0)*VLOOKUP('Données projet'!$B$9,Paramètres!$A$1:$I$89,5,0)</f>
        <v>43.068480000000001</v>
      </c>
      <c r="P24" s="13">
        <f t="shared" si="33"/>
        <v>12.808416415102187</v>
      </c>
      <c r="Q24" s="20">
        <f t="shared" si="2"/>
        <v>97.318927922969635</v>
      </c>
      <c r="R24" s="59">
        <f t="shared" si="0"/>
        <v>379.65226125630295</v>
      </c>
      <c r="S24" s="59">
        <f ca="1">AVERAGE(OFFSET($R$3,0,0,'Données projet'!$E$9+1,1))-AVERAGE(OFFSET($H$3,0,0,'Données projet'!$E$9+1,1))</f>
        <v>373.59295497283125</v>
      </c>
      <c r="T24" s="59">
        <f t="shared" si="34"/>
        <v>231.36959598460686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5.6</v>
      </c>
      <c r="AI24" s="13">
        <f>IF('Données projet'!$A$62&gt;35,AI23+AH24-AQ23,IF(A24&lt;'Données projet'!$A$62,$AF$205^A24,IF(A24='Données projet'!$A$62,'Données projet'!$B$62,AI23+AH24-AQ23)))</f>
        <v>47.6</v>
      </c>
      <c r="AJ24" s="13">
        <f>AI24*VLOOKUP('Données projet'!$B$10,Paramètres!$A$1:$I$89,3,0)*VLOOKUP('Données projet'!$B$10,Paramètres!$A$1:$I$89,5,0)</f>
        <v>48.266400000000004</v>
      </c>
      <c r="AK24" s="13">
        <f t="shared" si="35"/>
        <v>14.165134590154434</v>
      </c>
      <c r="AL24" s="20">
        <f t="shared" si="4"/>
        <v>108.73492274451898</v>
      </c>
      <c r="AM24" s="59">
        <f t="shared" si="5"/>
        <v>391.06825607785231</v>
      </c>
      <c r="AN24" s="59">
        <f ca="1">AVERAGE(OFFSET($AM$3,0,0,'Données projet'!$E$10+1,1))-AVERAGE(OFFSET($H$3,0,0,'Données projet'!$E$10+1,1))</f>
        <v>413.81510455446738</v>
      </c>
      <c r="AO24" s="59">
        <f t="shared" si="36"/>
        <v>254.25036207346602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5.6</v>
      </c>
      <c r="BD24" s="12">
        <f>IF('Données projet'!$A$88&gt;35,BD23+BC24-BL23,IF(A24&lt;'Données projet'!$A$88,$BA$205^A24,IF(A24='Données projet'!$A$88,'Données projet'!$B$88,BD23+BC24-BL23)))</f>
        <v>47.6</v>
      </c>
      <c r="BE24" s="13">
        <f>BD24*VLOOKUP('Données projet'!$B$11,Paramètres!$A$1:$I$89,3,0)*VLOOKUP('Données projet'!$B$11,Paramètres!$A$1:$I$89,5,0)</f>
        <v>46.038720000000005</v>
      </c>
      <c r="BF24" s="13">
        <f t="shared" si="37"/>
        <v>13.585879560828786</v>
      </c>
      <c r="BG24" s="20">
        <f t="shared" si="7"/>
        <v>103.84617756844348</v>
      </c>
      <c r="BH24" s="59">
        <f t="shared" si="8"/>
        <v>386.17951090177678</v>
      </c>
      <c r="BI24" s="59">
        <f ca="1">AVERAGE(OFFSET($BH$3,0,0,'Données projet'!$E$11+1,1))-AVERAGE(OFFSET($H$3,0,0,'Données projet'!$E$11+1,1))</f>
        <v>295.35565287134125</v>
      </c>
      <c r="BJ24" s="59">
        <f t="shared" si="38"/>
        <v>244.451492444461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5.6</v>
      </c>
      <c r="BY24" s="12">
        <f>IF('Données projet'!$A$114&gt;35,BY23+BX24-CG23,IF(A24&lt;'Données projet'!$A$114,$BV$205^A24,IF(A24='Données projet'!$A$114,'Données projet'!$B$114,BY23+BX24-CG23)))</f>
        <v>47.6</v>
      </c>
      <c r="BZ24" s="13">
        <f>BY24*VLOOKUP('Données projet'!$B$12,Paramètres!$A$1:$I$89,3,0)*VLOOKUP('Données projet'!$B$12,Paramètres!$A$1:$I$89,5,0)</f>
        <v>51.236640000000001</v>
      </c>
      <c r="CA24" s="13">
        <f t="shared" si="39"/>
        <v>14.932671799321549</v>
      </c>
      <c r="CB24" s="20">
        <f t="shared" si="10"/>
        <v>115.24488471715169</v>
      </c>
      <c r="CC24" s="59">
        <f t="shared" si="11"/>
        <v>397.57821805048502</v>
      </c>
      <c r="CD24" s="59">
        <f ca="1">AVERAGE(OFFSET($CC$3,0,0,'Données projet'!$E$12+1,1))-AVERAGE(OFFSET($H$3,0,0,'Données projet'!$E$12+1,1))</f>
        <v>324.61094137855798</v>
      </c>
      <c r="CE24" s="59">
        <f t="shared" si="40"/>
        <v>267.2998309535638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22.8</v>
      </c>
      <c r="CT24" s="12">
        <f>IF('Données projet'!$A$140&gt;35,CT23+CS24-DB23,IF(A24&lt;'Données projet'!$A$140,$CQ$205^A24,IF(A24='Données projet'!$A$140,'Données projet'!$B$140,CT23+CS24-DB23)))</f>
        <v>162.80000000000004</v>
      </c>
      <c r="CU24" s="17">
        <f>CT24*VLOOKUP('Données projet'!$B$13,Paramètres!$A$1:$I$89,3,0)*VLOOKUP('Données projet'!$B$13,Paramètres!$A$1:$I$89,5,0)</f>
        <v>97.354400000000027</v>
      </c>
      <c r="CV24" s="13">
        <f t="shared" si="41"/>
        <v>26.330739676620471</v>
      </c>
      <c r="CW24" s="20">
        <f t="shared" si="13"/>
        <v>215.41828493678068</v>
      </c>
      <c r="CX24" s="59">
        <f t="shared" si="14"/>
        <v>497.75161827011402</v>
      </c>
      <c r="CY24" s="59">
        <f ca="1">AVERAGE(OFFSET($CX$3,0,0,'Données projet'!$E$13+1,1))-AVERAGE(OFFSET($H$3,0,0,'Données projet'!$E$13+1,1))</f>
        <v>319.9010109022521</v>
      </c>
      <c r="CZ24" s="59">
        <f t="shared" si="42"/>
        <v>441.82647565372287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5.2972817140902846</v>
      </c>
      <c r="DG24" s="21">
        <f>EXP(-LN(2)/25)*DG23+(1-EXP(-LN(2)/25))/(LN(2)/25)*Calculateur!DB24*Calculateur!DD24*VLOOKUP('Données projet'!$B$13,Paramètres!$A$1:$I$89,3,0)*0.475*44/12</f>
        <v>11.701643301309424</v>
      </c>
      <c r="DH24" s="21">
        <f>EXP(-LN(2)/2)*DH23+(1-EXP(-LN(2)/2))/(LN(2)/2)*DB24*DE24*VLOOKUP('Données projet'!$B$13,Paramètres!$A$1:$I$89,3,0)*0.475*44/12</f>
        <v>10.971460384030461</v>
      </c>
      <c r="DI24" s="22">
        <f t="shared" si="15"/>
        <v>27.970385399430171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11</v>
      </c>
      <c r="DO24" s="12">
        <f>IF('Données projet'!$A$166&gt;35,DO23+DN24-DW23,IF(A24&lt;'Données projet'!$A$166,$DL$205^A24,IF(A24='Données projet'!$A$166,'Données projet'!$B$166,DO23+DN24-DW23)))</f>
        <v>111</v>
      </c>
      <c r="DP24" s="17">
        <f>DO24*VLOOKUP('Données projet'!$B$14,Paramètres!$A$1:$I$89,3,0)*VLOOKUP('Données projet'!$B$14,Paramètres!$A$1:$I$89,5,0)</f>
        <v>51.948</v>
      </c>
      <c r="DQ24" s="13">
        <f t="shared" si="43"/>
        <v>15.115714645211892</v>
      </c>
      <c r="DR24" s="20">
        <f t="shared" si="16"/>
        <v>116.8026363404107</v>
      </c>
      <c r="DS24" s="59">
        <f t="shared" si="17"/>
        <v>399.135969673744</v>
      </c>
      <c r="DT24" s="59">
        <f ca="1">AVERAGE(OFFSET($DS$3,0,0,'Données projet'!$E$14+1,1))-AVERAGE(OFFSET($H$3,0,0,'Données projet'!$E$14+1,1))</f>
        <v>229.61973863654862</v>
      </c>
      <c r="DU24" s="59">
        <f t="shared" si="44"/>
        <v>254.08208375594052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7.4102073318129023</v>
      </c>
      <c r="EC24" s="21">
        <f>EXP(-LN(2)/2)*EC23+(1-EXP(-LN(2)/2))/(LN(2)/2)*DW24*DZ24*VLOOKUP('Données projet'!$B$14,Paramètres!$A$1:$I$89,3,0)*0.475*44/12</f>
        <v>6.5944573269518925</v>
      </c>
      <c r="ED24" s="22">
        <f t="shared" si="18"/>
        <v>14.004664658764796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5.6</v>
      </c>
      <c r="N25" s="13">
        <f>IF('Données projet'!$A$36&gt;35,N24+M25-V24,IF(A25&lt;'Données projet'!$A$36,$K$205^A25,IF(A25='Données projet'!$A$36,'Données projet'!$B$36,N24+M25-V24)))</f>
        <v>53.2</v>
      </c>
      <c r="O25" s="13">
        <f>N25*VLOOKUP('Données projet'!$B$9,Paramètres!$A$1:$I$89,3,0)*VLOOKUP('Données projet'!$B$9,Paramètres!$A$1:$I$89,5,0)</f>
        <v>48.135359999999999</v>
      </c>
      <c r="P25" s="13">
        <f t="shared" si="33"/>
        <v>14.131148275361113</v>
      </c>
      <c r="Q25" s="20">
        <f t="shared" si="2"/>
        <v>108.4475019129206</v>
      </c>
      <c r="R25" s="59">
        <f t="shared" si="0"/>
        <v>392.00305746847613</v>
      </c>
      <c r="S25" s="59">
        <f ca="1">AVERAGE(OFFSET($R$3,0,0,'Données projet'!$E$9+1,1))-AVERAGE(OFFSET($H$3,0,0,'Données projet'!$E$9+1,1))</f>
        <v>373.59295497283125</v>
      </c>
      <c r="T25" s="59">
        <f t="shared" si="34"/>
        <v>231.36959598460686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5.6</v>
      </c>
      <c r="AI25" s="13">
        <f>IF('Données projet'!$A$62&gt;35,AI24+AH25-AQ24,IF(A25&lt;'Données projet'!$A$62,$AF$205^A25,IF(A25='Données projet'!$A$62,'Données projet'!$B$62,AI24+AH25-AQ24)))</f>
        <v>53.2</v>
      </c>
      <c r="AJ25" s="13">
        <f>AI25*VLOOKUP('Données projet'!$B$10,Paramètres!$A$1:$I$89,3,0)*VLOOKUP('Données projet'!$B$10,Paramètres!$A$1:$I$89,5,0)</f>
        <v>53.944800000000008</v>
      </c>
      <c r="AK25" s="13">
        <f t="shared" si="35"/>
        <v>15.627975445731321</v>
      </c>
      <c r="AL25" s="20">
        <f t="shared" si="4"/>
        <v>121.17258390131538</v>
      </c>
      <c r="AM25" s="59">
        <f t="shared" si="5"/>
        <v>404.72813945687091</v>
      </c>
      <c r="AN25" s="59">
        <f ca="1">AVERAGE(OFFSET($AM$3,0,0,'Données projet'!$E$10+1,1))-AVERAGE(OFFSET($H$3,0,0,'Données projet'!$E$10+1,1))</f>
        <v>413.81510455446738</v>
      </c>
      <c r="AO25" s="59">
        <f t="shared" si="36"/>
        <v>254.25036207346602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5.6</v>
      </c>
      <c r="BD25" s="12">
        <f>IF('Données projet'!$A$88&gt;35,BD24+BC25-BL24,IF(A25&lt;'Données projet'!$A$88,$BA$205^A25,IF(A25='Données projet'!$A$88,'Données projet'!$B$88,BD24+BC25-BL24)))</f>
        <v>53.2</v>
      </c>
      <c r="BE25" s="13">
        <f>BD25*VLOOKUP('Données projet'!$B$11,Paramètres!$A$1:$I$89,3,0)*VLOOKUP('Données projet'!$B$11,Paramètres!$A$1:$I$89,5,0)</f>
        <v>51.455040000000004</v>
      </c>
      <c r="BF25" s="13">
        <f t="shared" si="37"/>
        <v>14.988900446655085</v>
      </c>
      <c r="BG25" s="20">
        <f t="shared" si="7"/>
        <v>115.72319627792427</v>
      </c>
      <c r="BH25" s="59">
        <f t="shared" si="8"/>
        <v>399.27875183347982</v>
      </c>
      <c r="BI25" s="59">
        <f ca="1">AVERAGE(OFFSET($BH$3,0,0,'Données projet'!$E$11+1,1))-AVERAGE(OFFSET($H$3,0,0,'Données projet'!$E$11+1,1))</f>
        <v>295.35565287134125</v>
      </c>
      <c r="BJ25" s="59">
        <f t="shared" si="38"/>
        <v>244.451492444461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5.6</v>
      </c>
      <c r="BY25" s="12">
        <f>IF('Données projet'!$A$114&gt;35,BY24+BX25-CG24,IF(A25&lt;'Données projet'!$A$114,$BV$205^A25,IF(A25='Données projet'!$A$114,'Données projet'!$B$114,BY24+BX25-CG24)))</f>
        <v>53.2</v>
      </c>
      <c r="BZ25" s="13">
        <f>BY25*VLOOKUP('Données projet'!$B$12,Paramètres!$A$1:$I$89,3,0)*VLOOKUP('Données projet'!$B$12,Paramètres!$A$1:$I$89,5,0)</f>
        <v>57.264479999999999</v>
      </c>
      <c r="CA25" s="13">
        <f t="shared" si="39"/>
        <v>16.474776623807379</v>
      </c>
      <c r="CB25" s="20">
        <f t="shared" si="10"/>
        <v>128.42920528646451</v>
      </c>
      <c r="CC25" s="59">
        <f t="shared" si="11"/>
        <v>411.98476084202002</v>
      </c>
      <c r="CD25" s="59">
        <f ca="1">AVERAGE(OFFSET($CC$3,0,0,'Données projet'!$E$12+1,1))-AVERAGE(OFFSET($H$3,0,0,'Données projet'!$E$12+1,1))</f>
        <v>324.61094137855798</v>
      </c>
      <c r="CE25" s="59">
        <f t="shared" si="40"/>
        <v>267.2998309535638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22.8</v>
      </c>
      <c r="CT25" s="12">
        <f>IF('Données projet'!$A$140&gt;35,CT24+CS25-DB24,IF(A25&lt;'Données projet'!$A$140,$CQ$205^A25,IF(A25='Données projet'!$A$140,'Données projet'!$B$140,CT24+CS25-DB24)))</f>
        <v>185.60000000000005</v>
      </c>
      <c r="CU25" s="17">
        <f>CT25*VLOOKUP('Données projet'!$B$13,Paramètres!$A$1:$I$89,3,0)*VLOOKUP('Données projet'!$B$13,Paramètres!$A$1:$I$89,5,0)</f>
        <v>110.98880000000004</v>
      </c>
      <c r="CV25" s="13">
        <f t="shared" si="41"/>
        <v>29.56383208945169</v>
      </c>
      <c r="CW25" s="20">
        <f t="shared" si="13"/>
        <v>244.79583422246174</v>
      </c>
      <c r="CX25" s="59">
        <f t="shared" si="14"/>
        <v>528.35138977801728</v>
      </c>
      <c r="CY25" s="59">
        <f ca="1">AVERAGE(OFFSET($CX$3,0,0,'Données projet'!$E$13+1,1))-AVERAGE(OFFSET($H$3,0,0,'Données projet'!$E$13+1,1))</f>
        <v>319.9010109022521</v>
      </c>
      <c r="CZ25" s="59">
        <f t="shared" si="42"/>
        <v>441.82647565372287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5.193405250699783</v>
      </c>
      <c r="DG25" s="21">
        <f>EXP(-LN(2)/25)*DG24+(1-EXP(-LN(2)/25))/(LN(2)/25)*Calculateur!DB25*Calculateur!DD25*VLOOKUP('Données projet'!$B$13,Paramètres!$A$1:$I$89,3,0)*0.475*44/12</f>
        <v>11.381661249872442</v>
      </c>
      <c r="DH25" s="21">
        <f>EXP(-LN(2)/2)*DH24+(1-EXP(-LN(2)/2))/(LN(2)/2)*DB25*DE25*VLOOKUP('Données projet'!$B$13,Paramètres!$A$1:$I$89,3,0)*0.475*44/12</f>
        <v>7.7579940370675029</v>
      </c>
      <c r="DI25" s="22">
        <f t="shared" si="15"/>
        <v>24.333060537639732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11</v>
      </c>
      <c r="DO25" s="12">
        <f>IF('Données projet'!$A$166&gt;35,DO24+DN25-DW24,IF(A25&lt;'Données projet'!$A$166,$DL$205^A25,IF(A25='Données projet'!$A$166,'Données projet'!$B$166,DO24+DN25-DW24)))</f>
        <v>122</v>
      </c>
      <c r="DP25" s="17">
        <f>DO25*VLOOKUP('Données projet'!$B$14,Paramètres!$A$1:$I$89,3,0)*VLOOKUP('Données projet'!$B$14,Paramètres!$A$1:$I$89,5,0)</f>
        <v>57.096000000000004</v>
      </c>
      <c r="DQ25" s="13">
        <f t="shared" si="43"/>
        <v>16.431940248498016</v>
      </c>
      <c r="DR25" s="20">
        <f t="shared" si="16"/>
        <v>128.06116259946739</v>
      </c>
      <c r="DS25" s="59">
        <f t="shared" si="17"/>
        <v>411.61671815502291</v>
      </c>
      <c r="DT25" s="59">
        <f ca="1">AVERAGE(OFFSET($DS$3,0,0,'Données projet'!$E$14+1,1))-AVERAGE(OFFSET($H$3,0,0,'Données projet'!$E$14+1,1))</f>
        <v>229.61973863654862</v>
      </c>
      <c r="DU25" s="59">
        <f t="shared" si="44"/>
        <v>254.08208375594052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7.2075748226386107</v>
      </c>
      <c r="EC25" s="21">
        <f>EXP(-LN(2)/2)*EC24+(1-EXP(-LN(2)/2))/(LN(2)/2)*DW25*DZ25*VLOOKUP('Données projet'!$B$14,Paramètres!$A$1:$I$89,3,0)*0.475*44/12</f>
        <v>4.6629854941329976</v>
      </c>
      <c r="ED25" s="22">
        <f t="shared" si="18"/>
        <v>11.870560316771609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5.6</v>
      </c>
      <c r="N26" s="13">
        <f>IF('Données projet'!$A$36&gt;35,N25+M26-V25,IF(A26&lt;'Données projet'!$A$36,$K$205^A26,IF(A26='Données projet'!$A$36,'Données projet'!$B$36,N25+M26-V25)))</f>
        <v>58.800000000000004</v>
      </c>
      <c r="O26" s="13">
        <f>N26*VLOOKUP('Données projet'!$B$9,Paramètres!$A$1:$I$89,3,0)*VLOOKUP('Données projet'!$B$9,Paramètres!$A$1:$I$89,5,0)</f>
        <v>53.202240000000003</v>
      </c>
      <c r="P26" s="13">
        <f t="shared" si="33"/>
        <v>15.437740642425908</v>
      </c>
      <c r="Q26" s="20">
        <f t="shared" si="2"/>
        <v>119.54796628555846</v>
      </c>
      <c r="R26" s="59">
        <f t="shared" si="0"/>
        <v>404.32574406333623</v>
      </c>
      <c r="S26" s="59">
        <f ca="1">AVERAGE(OFFSET($R$3,0,0,'Données projet'!$E$9+1,1))-AVERAGE(OFFSET($H$3,0,0,'Données projet'!$E$9+1,1))</f>
        <v>373.59295497283125</v>
      </c>
      <c r="T26" s="59">
        <f t="shared" si="34"/>
        <v>231.36959598460686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5.6</v>
      </c>
      <c r="AI26" s="13">
        <f>IF('Données projet'!$A$62&gt;35,AI25+AH26-AQ25,IF(A26&lt;'Données projet'!$A$62,$AF$205^A26,IF(A26='Données projet'!$A$62,'Données projet'!$B$62,AI25+AH26-AQ25)))</f>
        <v>58.800000000000004</v>
      </c>
      <c r="AJ26" s="13">
        <f>AI26*VLOOKUP('Données projet'!$B$10,Paramètres!$A$1:$I$89,3,0)*VLOOKUP('Données projet'!$B$10,Paramètres!$A$1:$I$89,5,0)</f>
        <v>59.623200000000011</v>
      </c>
      <c r="AK26" s="13">
        <f t="shared" si="35"/>
        <v>17.072967249098898</v>
      </c>
      <c r="AL26" s="20">
        <f t="shared" si="4"/>
        <v>133.57915795884725</v>
      </c>
      <c r="AM26" s="59">
        <f t="shared" si="5"/>
        <v>418.35693573662502</v>
      </c>
      <c r="AN26" s="59">
        <f ca="1">AVERAGE(OFFSET($AM$3,0,0,'Données projet'!$E$10+1,1))-AVERAGE(OFFSET($H$3,0,0,'Données projet'!$E$10+1,1))</f>
        <v>413.81510455446738</v>
      </c>
      <c r="AO26" s="59">
        <f t="shared" si="36"/>
        <v>254.25036207346602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5.6</v>
      </c>
      <c r="BD26" s="12">
        <f>IF('Données projet'!$A$88&gt;35,BD25+BC26-BL25,IF(A26&lt;'Données projet'!$A$88,$BA$205^A26,IF(A26='Données projet'!$A$88,'Données projet'!$B$88,BD25+BC26-BL25)))</f>
        <v>58.800000000000004</v>
      </c>
      <c r="BE26" s="13">
        <f>BD26*VLOOKUP('Données projet'!$B$11,Paramètres!$A$1:$I$89,3,0)*VLOOKUP('Données projet'!$B$11,Paramètres!$A$1:$I$89,5,0)</f>
        <v>56.87136000000001</v>
      </c>
      <c r="BF26" s="13">
        <f t="shared" si="37"/>
        <v>16.374802181791551</v>
      </c>
      <c r="BG26" s="20">
        <f t="shared" si="7"/>
        <v>127.57039913328697</v>
      </c>
      <c r="BH26" s="59">
        <f t="shared" si="8"/>
        <v>412.34817691106474</v>
      </c>
      <c r="BI26" s="59">
        <f ca="1">AVERAGE(OFFSET($BH$3,0,0,'Données projet'!$E$11+1,1))-AVERAGE(OFFSET($H$3,0,0,'Données projet'!$E$11+1,1))</f>
        <v>295.35565287134125</v>
      </c>
      <c r="BJ26" s="59">
        <f t="shared" si="38"/>
        <v>244.451492444461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5.6</v>
      </c>
      <c r="BY26" s="12">
        <f>IF('Données projet'!$A$114&gt;35,BY25+BX26-CG25,IF(A26&lt;'Données projet'!$A$114,$BV$205^A26,IF(A26='Données projet'!$A$114,'Données projet'!$B$114,BY25+BX26-CG25)))</f>
        <v>58.800000000000004</v>
      </c>
      <c r="BZ26" s="13">
        <f>BY26*VLOOKUP('Données projet'!$B$12,Paramètres!$A$1:$I$89,3,0)*VLOOKUP('Données projet'!$B$12,Paramètres!$A$1:$I$89,5,0)</f>
        <v>63.292320000000004</v>
      </c>
      <c r="CA26" s="13">
        <f t="shared" si="39"/>
        <v>17.998065245956816</v>
      </c>
      <c r="CB26" s="20">
        <f t="shared" si="10"/>
        <v>141.58075430337479</v>
      </c>
      <c r="CC26" s="59">
        <f t="shared" si="11"/>
        <v>426.35853208115259</v>
      </c>
      <c r="CD26" s="59">
        <f ca="1">AVERAGE(OFFSET($CC$3,0,0,'Données projet'!$E$12+1,1))-AVERAGE(OFFSET($H$3,0,0,'Données projet'!$E$12+1,1))</f>
        <v>324.61094137855798</v>
      </c>
      <c r="CE26" s="59">
        <f t="shared" si="40"/>
        <v>267.2998309535638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22.8</v>
      </c>
      <c r="CT26" s="12">
        <f>IF('Données projet'!$A$140&gt;35,CT25+CS26-DB25,IF(A26&lt;'Données projet'!$A$140,$CQ$205^A26,IF(A26='Données projet'!$A$140,'Données projet'!$B$140,CT25+CS26-DB25)))</f>
        <v>208.40000000000006</v>
      </c>
      <c r="CU26" s="17">
        <f>CT26*VLOOKUP('Données projet'!$B$13,Paramètres!$A$1:$I$89,3,0)*VLOOKUP('Données projet'!$B$13,Paramètres!$A$1:$I$89,5,0)</f>
        <v>124.62320000000004</v>
      </c>
      <c r="CV26" s="13">
        <f t="shared" si="41"/>
        <v>32.750900958675722</v>
      </c>
      <c r="CW26" s="20">
        <f t="shared" si="13"/>
        <v>274.09322583636032</v>
      </c>
      <c r="CX26" s="59">
        <f t="shared" si="14"/>
        <v>558.87100361413809</v>
      </c>
      <c r="CY26" s="59">
        <f ca="1">AVERAGE(OFFSET($CX$3,0,0,'Données projet'!$E$13+1,1))-AVERAGE(OFFSET($H$3,0,0,'Données projet'!$E$13+1,1))</f>
        <v>319.9010109022521</v>
      </c>
      <c r="CZ26" s="59">
        <f t="shared" si="42"/>
        <v>441.82647565372287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5.0915657413979822</v>
      </c>
      <c r="DG26" s="21">
        <f>EXP(-LN(2)/25)*DG25+(1-EXP(-LN(2)/25))/(LN(2)/25)*Calculateur!DB26*Calculateur!DD26*VLOOKUP('Données projet'!$B$13,Paramètres!$A$1:$I$89,3,0)*0.475*44/12</f>
        <v>11.070429124459128</v>
      </c>
      <c r="DH26" s="21">
        <f>EXP(-LN(2)/2)*DH25+(1-EXP(-LN(2)/2))/(LN(2)/2)*DB26*DE26*VLOOKUP('Données projet'!$B$13,Paramètres!$A$1:$I$89,3,0)*0.475*44/12</f>
        <v>5.4857301920152315</v>
      </c>
      <c r="DI26" s="22">
        <f t="shared" si="15"/>
        <v>21.647725057872343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11</v>
      </c>
      <c r="DO26" s="12">
        <f>IF('Données projet'!$A$166&gt;35,DO25+DN26-DW25,IF(A26&lt;'Données projet'!$A$166,$DL$205^A26,IF(A26='Données projet'!$A$166,'Données projet'!$B$166,DO25+DN26-DW25)))</f>
        <v>133</v>
      </c>
      <c r="DP26" s="17">
        <f>DO26*VLOOKUP('Données projet'!$B$14,Paramètres!$A$1:$I$89,3,0)*VLOOKUP('Données projet'!$B$14,Paramètres!$A$1:$I$89,5,0)</f>
        <v>62.243999999999993</v>
      </c>
      <c r="DQ26" s="13">
        <f t="shared" si="43"/>
        <v>17.734404526076432</v>
      </c>
      <c r="DR26" s="20">
        <f t="shared" si="16"/>
        <v>139.29572121624975</v>
      </c>
      <c r="DS26" s="59">
        <f t="shared" si="17"/>
        <v>424.07349899402755</v>
      </c>
      <c r="DT26" s="59">
        <f ca="1">AVERAGE(OFFSET($DS$3,0,0,'Données projet'!$E$14+1,1))-AVERAGE(OFFSET($H$3,0,0,'Données projet'!$E$14+1,1))</f>
        <v>229.61973863654862</v>
      </c>
      <c r="DU26" s="59">
        <f t="shared" si="44"/>
        <v>254.08208375594052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7.0104833100836714</v>
      </c>
      <c r="EC26" s="21">
        <f>EXP(-LN(2)/2)*EC25+(1-EXP(-LN(2)/2))/(LN(2)/2)*DW26*DZ26*VLOOKUP('Données projet'!$B$14,Paramètres!$A$1:$I$89,3,0)*0.475*44/12</f>
        <v>3.2972286634759471</v>
      </c>
      <c r="ED26" s="22">
        <f t="shared" si="18"/>
        <v>10.307711973559618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5.6</v>
      </c>
      <c r="N27" s="13">
        <f>IF('Données projet'!$A$36&gt;35,N26+M27-V26,IF(A27&lt;'Données projet'!$A$36,$K$205^A27,IF(A27='Données projet'!$A$36,'Données projet'!$B$36,N26+M27-V26)))</f>
        <v>64.400000000000006</v>
      </c>
      <c r="O27" s="13">
        <f>N27*VLOOKUP('Données projet'!$B$9,Paramètres!$A$1:$I$89,3,0)*VLOOKUP('Données projet'!$B$9,Paramètres!$A$1:$I$89,5,0)</f>
        <v>58.269120000000008</v>
      </c>
      <c r="P27" s="13">
        <f t="shared" si="33"/>
        <v>16.729905486873804</v>
      </c>
      <c r="Q27" s="20">
        <f t="shared" si="2"/>
        <v>130.62330272297189</v>
      </c>
      <c r="R27" s="59">
        <f t="shared" si="0"/>
        <v>416.62330272297186</v>
      </c>
      <c r="S27" s="59">
        <f ca="1">AVERAGE(OFFSET($R$3,0,0,'Données projet'!$E$9+1,1))-AVERAGE(OFFSET($H$3,0,0,'Données projet'!$E$9+1,1))</f>
        <v>373.59295497283125</v>
      </c>
      <c r="T27" s="59">
        <f t="shared" si="34"/>
        <v>231.36959598460686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5.6</v>
      </c>
      <c r="AI27" s="13">
        <f>IF('Données projet'!$A$62&gt;35,AI26+AH27-AQ26,IF(A27&lt;'Données projet'!$A$62,$AF$205^A27,IF(A27='Données projet'!$A$62,'Données projet'!$B$62,AI26+AH27-AQ26)))</f>
        <v>64.400000000000006</v>
      </c>
      <c r="AJ27" s="13">
        <f>AI27*VLOOKUP('Données projet'!$B$10,Paramètres!$A$1:$I$89,3,0)*VLOOKUP('Données projet'!$B$10,Paramètres!$A$1:$I$89,5,0)</f>
        <v>65.301600000000008</v>
      </c>
      <c r="AK27" s="13">
        <f t="shared" si="35"/>
        <v>18.502003309535596</v>
      </c>
      <c r="AL27" s="20">
        <f t="shared" si="4"/>
        <v>145.95794243077449</v>
      </c>
      <c r="AM27" s="59">
        <f t="shared" si="5"/>
        <v>431.95794243077449</v>
      </c>
      <c r="AN27" s="59">
        <f ca="1">AVERAGE(OFFSET($AM$3,0,0,'Données projet'!$E$10+1,1))-AVERAGE(OFFSET($H$3,0,0,'Données projet'!$E$10+1,1))</f>
        <v>413.81510455446738</v>
      </c>
      <c r="AO27" s="59">
        <f t="shared" si="36"/>
        <v>254.25036207346602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5.6</v>
      </c>
      <c r="BD27" s="12">
        <f>IF('Données projet'!$A$88&gt;35,BD26+BC27-BL26,IF(A27&lt;'Données projet'!$A$88,$BA$205^A27,IF(A27='Données projet'!$A$88,'Données projet'!$B$88,BD26+BC27-BL26)))</f>
        <v>64.400000000000006</v>
      </c>
      <c r="BE27" s="13">
        <f>BD27*VLOOKUP('Données projet'!$B$11,Paramètres!$A$1:$I$89,3,0)*VLOOKUP('Données projet'!$B$11,Paramètres!$A$1:$I$89,5,0)</f>
        <v>62.287680000000009</v>
      </c>
      <c r="BF27" s="13">
        <f t="shared" si="37"/>
        <v>17.745400652396182</v>
      </c>
      <c r="BG27" s="20">
        <f t="shared" si="7"/>
        <v>139.39094880292336</v>
      </c>
      <c r="BH27" s="59">
        <f t="shared" si="8"/>
        <v>425.39094880292339</v>
      </c>
      <c r="BI27" s="59">
        <f ca="1">AVERAGE(OFFSET($BH$3,0,0,'Données projet'!$E$11+1,1))-AVERAGE(OFFSET($H$3,0,0,'Données projet'!$E$11+1,1))</f>
        <v>295.35565287134125</v>
      </c>
      <c r="BJ27" s="59">
        <f t="shared" si="38"/>
        <v>244.451492444461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5.6</v>
      </c>
      <c r="BY27" s="12">
        <f>IF('Données projet'!$A$114&gt;35,BY26+BX27-CG26,IF(A27&lt;'Données projet'!$A$114,$BV$205^A27,IF(A27='Données projet'!$A$114,'Données projet'!$B$114,BY26+BX27-CG26)))</f>
        <v>64.400000000000006</v>
      </c>
      <c r="BZ27" s="13">
        <f>BY27*VLOOKUP('Données projet'!$B$12,Paramètres!$A$1:$I$89,3,0)*VLOOKUP('Données projet'!$B$12,Paramètres!$A$1:$I$89,5,0)</f>
        <v>69.320160000000001</v>
      </c>
      <c r="CA27" s="13">
        <f t="shared" si="39"/>
        <v>19.50453356393022</v>
      </c>
      <c r="CB27" s="20">
        <f t="shared" si="10"/>
        <v>154.70300795717847</v>
      </c>
      <c r="CC27" s="59">
        <f t="shared" si="11"/>
        <v>440.70300795717844</v>
      </c>
      <c r="CD27" s="59">
        <f ca="1">AVERAGE(OFFSET($CC$3,0,0,'Données projet'!$E$12+1,1))-AVERAGE(OFFSET($H$3,0,0,'Données projet'!$E$12+1,1))</f>
        <v>324.61094137855798</v>
      </c>
      <c r="CE27" s="59">
        <f t="shared" si="40"/>
        <v>267.2998309535638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22.8</v>
      </c>
      <c r="CT27" s="12">
        <f>IF('Données projet'!$A$140&gt;35,CT26+CS27-DB26,IF(A27&lt;'Données projet'!$A$140,$CQ$205^A27,IF(A27='Données projet'!$A$140,'Données projet'!$B$140,CT26+CS27-DB26)))</f>
        <v>231.20000000000007</v>
      </c>
      <c r="CU27" s="17">
        <f>CT27*VLOOKUP('Données projet'!$B$13,Paramètres!$A$1:$I$89,3,0)*VLOOKUP('Données projet'!$B$13,Paramètres!$A$1:$I$89,5,0)</f>
        <v>138.25760000000005</v>
      </c>
      <c r="CV27" s="13">
        <f t="shared" si="41"/>
        <v>35.897555647294986</v>
      </c>
      <c r="CW27" s="20">
        <f t="shared" si="13"/>
        <v>303.32022941903887</v>
      </c>
      <c r="CX27" s="59">
        <f t="shared" si="14"/>
        <v>589.32022941903892</v>
      </c>
      <c r="CY27" s="59">
        <f ca="1">AVERAGE(OFFSET($CX$3,0,0,'Données projet'!$E$13+1,1))-AVERAGE(OFFSET($H$3,0,0,'Données projet'!$E$13+1,1))</f>
        <v>319.9010109022521</v>
      </c>
      <c r="CZ27" s="59">
        <f t="shared" si="42"/>
        <v>441.82647565372287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4.9917232427576224</v>
      </c>
      <c r="DG27" s="21">
        <f>EXP(-LN(2)/25)*DG26+(1-EXP(-LN(2)/25))/(LN(2)/25)*Calculateur!DB27*Calculateur!DD27*VLOOKUP('Données projet'!$B$13,Paramètres!$A$1:$I$89,3,0)*0.475*44/12</f>
        <v>10.767707657882227</v>
      </c>
      <c r="DH27" s="21">
        <f>EXP(-LN(2)/2)*DH26+(1-EXP(-LN(2)/2))/(LN(2)/2)*DB27*DE27*VLOOKUP('Données projet'!$B$13,Paramètres!$A$1:$I$89,3,0)*0.475*44/12</f>
        <v>3.8789970185337519</v>
      </c>
      <c r="DI27" s="22">
        <f t="shared" si="15"/>
        <v>19.638427919173601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11</v>
      </c>
      <c r="DO27" s="12">
        <f>IF('Données projet'!$A$166&gt;35,DO26+DN27-DW26,IF(A27&lt;'Données projet'!$A$166,$DL$205^A27,IF(A27='Données projet'!$A$166,'Données projet'!$B$166,DO26+DN27-DW26)))</f>
        <v>144</v>
      </c>
      <c r="DP27" s="17">
        <f>DO27*VLOOKUP('Données projet'!$B$14,Paramètres!$A$1:$I$89,3,0)*VLOOKUP('Données projet'!$B$14,Paramètres!$A$1:$I$89,5,0)</f>
        <v>67.391999999999996</v>
      </c>
      <c r="DQ27" s="13">
        <f t="shared" si="43"/>
        <v>19.02437502991798</v>
      </c>
      <c r="DR27" s="20">
        <f t="shared" si="16"/>
        <v>150.5085198437738</v>
      </c>
      <c r="DS27" s="59">
        <f t="shared" si="17"/>
        <v>436.5085198437738</v>
      </c>
      <c r="DT27" s="59">
        <f ca="1">AVERAGE(OFFSET($DS$3,0,0,'Données projet'!$E$14+1,1))-AVERAGE(OFFSET($H$3,0,0,'Données projet'!$E$14+1,1))</f>
        <v>229.61973863654862</v>
      </c>
      <c r="DU27" s="59">
        <f t="shared" si="44"/>
        <v>254.08208375594052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6.818781275304139</v>
      </c>
      <c r="EC27" s="21">
        <f>EXP(-LN(2)/2)*EC26+(1-EXP(-LN(2)/2))/(LN(2)/2)*DW27*DZ27*VLOOKUP('Données projet'!$B$14,Paramètres!$A$1:$I$89,3,0)*0.475*44/12</f>
        <v>2.3314927470664992</v>
      </c>
      <c r="ED27" s="22">
        <f t="shared" si="18"/>
        <v>9.1502740223706382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70</v>
      </c>
      <c r="L28" s="12">
        <f>VLOOKUP(A28,'Données projet'!$A$35:$I$55,9,0)</f>
        <v>5.6</v>
      </c>
      <c r="M28" s="12">
        <f t="array" ref="M28">INDEX(L:L,MIN(IF(ISNUMBER(L28:L224),ROW(L28:L224),"")))</f>
        <v>5.6</v>
      </c>
      <c r="N28" s="13">
        <f>IF('Données projet'!$A$36&gt;35,N27+M28-V27,IF(A28&lt;'Données projet'!$A$36,$K$205^A28,IF(A28='Données projet'!$A$36,'Données projet'!$B$36,N27+M28-V27)))</f>
        <v>70</v>
      </c>
      <c r="O28" s="13">
        <f>N28*VLOOKUP('Données projet'!$B$9,Paramètres!$A$1:$I$89,3,0)*VLOOKUP('Données projet'!$B$9,Paramètres!$A$1:$I$89,5,0)</f>
        <v>63.335999999999991</v>
      </c>
      <c r="P28" s="13">
        <f t="shared" si="33"/>
        <v>18.009040022946227</v>
      </c>
      <c r="Q28" s="20">
        <f t="shared" si="2"/>
        <v>141.67594470663133</v>
      </c>
      <c r="R28" s="59">
        <f t="shared" si="0"/>
        <v>428.89816692885358</v>
      </c>
      <c r="S28" s="59">
        <f ca="1">AVERAGE(OFFSET($R$3,0,0,'Données projet'!$E$9+1,1))-AVERAGE(OFFSET($H$3,0,0,'Données projet'!$E$9+1,1))</f>
        <v>373.59295497283125</v>
      </c>
      <c r="T28" s="59">
        <f t="shared" si="34"/>
        <v>231.36959598460686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70</v>
      </c>
      <c r="AG28" s="12">
        <f>VLOOKUP(A28,'Données projet'!$A$61:$I$81,9,0)</f>
        <v>5.6</v>
      </c>
      <c r="AH28" s="12">
        <f t="array" ref="AH28">INDEX(AG:AG,MIN(IF(ISNUMBER(AG28:AG224),ROW(AG28:AG224),"")))</f>
        <v>5.6</v>
      </c>
      <c r="AI28" s="13">
        <f>IF('Données projet'!$A$62&gt;35,AI27+AH28-AQ27,IF(A28&lt;'Données projet'!$A$62,$AF$205^A28,IF(A28='Données projet'!$A$62,'Données projet'!$B$62,AI27+AH28-AQ27)))</f>
        <v>70</v>
      </c>
      <c r="AJ28" s="13">
        <f>AI28*VLOOKUP('Données projet'!$B$10,Paramètres!$A$1:$I$89,3,0)*VLOOKUP('Données projet'!$B$10,Paramètres!$A$1:$I$89,5,0)</f>
        <v>70.98</v>
      </c>
      <c r="AK28" s="13">
        <f t="shared" si="35"/>
        <v>19.916628839746853</v>
      </c>
      <c r="AL28" s="20">
        <f t="shared" si="4"/>
        <v>158.31162856255909</v>
      </c>
      <c r="AM28" s="59">
        <f t="shared" si="5"/>
        <v>445.53385078478129</v>
      </c>
      <c r="AN28" s="59">
        <f ca="1">AVERAGE(OFFSET($AM$3,0,0,'Données projet'!$E$10+1,1))-AVERAGE(OFFSET($H$3,0,0,'Données projet'!$E$10+1,1))</f>
        <v>413.81510455446738</v>
      </c>
      <c r="AO28" s="59">
        <f t="shared" si="36"/>
        <v>254.25036207346602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70</v>
      </c>
      <c r="BB28" s="12">
        <f>VLOOKUP(A28,'Données projet'!$A$87:$I$107,9,0)</f>
        <v>5.6</v>
      </c>
      <c r="BC28" s="12">
        <f t="array" ref="BC28">INDEX(BB:BB,MIN(IF(ISNUMBER(BB28:BB224),ROW(BB28:BB224),"")))</f>
        <v>5.6</v>
      </c>
      <c r="BD28" s="12">
        <f>IF('Données projet'!$A$88&gt;35,BD27+BC28-BL27,IF(A28&lt;'Données projet'!$A$88,$BA$205^A28,IF(A28='Données projet'!$A$88,'Données projet'!$B$88,BD27+BC28-BL27)))</f>
        <v>70</v>
      </c>
      <c r="BE28" s="13">
        <f>BD28*VLOOKUP('Données projet'!$B$11,Paramètres!$A$1:$I$89,3,0)*VLOOKUP('Données projet'!$B$11,Paramètres!$A$1:$I$89,5,0)</f>
        <v>67.703999999999994</v>
      </c>
      <c r="BF28" s="13">
        <f t="shared" si="37"/>
        <v>19.102177882771514</v>
      </c>
      <c r="BG28" s="20">
        <f t="shared" si="7"/>
        <v>151.18742647916039</v>
      </c>
      <c r="BH28" s="59">
        <f t="shared" si="8"/>
        <v>438.40964870138259</v>
      </c>
      <c r="BI28" s="59">
        <f ca="1">AVERAGE(OFFSET($BH$3,0,0,'Données projet'!$E$11+1,1))-AVERAGE(OFFSET($H$3,0,0,'Données projet'!$E$11+1,1))</f>
        <v>295.35565287134125</v>
      </c>
      <c r="BJ28" s="59">
        <f t="shared" si="38"/>
        <v>244.451492444461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70</v>
      </c>
      <c r="BW28" s="12">
        <f>VLOOKUP(A28,'Données projet'!$A$113:$I$133,9,0)</f>
        <v>5.6</v>
      </c>
      <c r="BX28" s="12">
        <f t="array" ref="BX28">INDEX(BW:BW,MIN(IF(ISNUMBER(BW28:BW224),ROW(BW28:BW224),"")))</f>
        <v>5.6</v>
      </c>
      <c r="BY28" s="12">
        <f>IF('Données projet'!$A$114&gt;35,BY27+BX28-CG27,IF(A28&lt;'Données projet'!$A$114,$BV$205^A28,IF(A28='Données projet'!$A$114,'Données projet'!$B$114,BY27+BX28-CG27)))</f>
        <v>70</v>
      </c>
      <c r="BZ28" s="13">
        <f>BY28*VLOOKUP('Données projet'!$B$12,Paramètres!$A$1:$I$89,3,0)*VLOOKUP('Données projet'!$B$12,Paramètres!$A$1:$I$89,5,0)</f>
        <v>75.347999999999999</v>
      </c>
      <c r="CA28" s="13">
        <f t="shared" si="39"/>
        <v>20.99581051771704</v>
      </c>
      <c r="CB28" s="20">
        <f t="shared" si="10"/>
        <v>167.79880331835713</v>
      </c>
      <c r="CC28" s="59">
        <f t="shared" si="11"/>
        <v>455.02102554057933</v>
      </c>
      <c r="CD28" s="59">
        <f ca="1">AVERAGE(OFFSET($CC$3,0,0,'Données projet'!$E$12+1,1))-AVERAGE(OFFSET($H$3,0,0,'Données projet'!$E$12+1,1))</f>
        <v>324.61094137855798</v>
      </c>
      <c r="CE28" s="59">
        <f t="shared" si="40"/>
        <v>267.2998309535638</v>
      </c>
      <c r="CF28" s="15">
        <f>IF(ISNA(VLOOKUP(A28,'Données projet'!$A$113:$I$133,3,0)),0,VLOOKUP(A28,'Données projet'!$A$113:$I$133,3,0))</f>
        <v>2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254</v>
      </c>
      <c r="CR28" s="12">
        <f>VLOOKUP(A28,'Données projet'!$A$139:$I$159,9,0)</f>
        <v>22.8</v>
      </c>
      <c r="CS28" s="12">
        <f t="array" ref="CS28">INDEX(CR:CR,MIN(IF(ISNUMBER(CR28:CR224),ROW(CR28:CR224),"")))</f>
        <v>22.8</v>
      </c>
      <c r="CT28" s="12">
        <f>IF('Données projet'!$A$140&gt;35,CT27+CS28-DB27,IF(A28&lt;'Données projet'!$A$140,$CQ$205^A28,IF(A28='Données projet'!$A$140,'Données projet'!$B$140,CT27+CS28-DB27)))</f>
        <v>254.00000000000009</v>
      </c>
      <c r="CU28" s="17">
        <f>CT28*VLOOKUP('Données projet'!$B$13,Paramètres!$A$1:$I$89,3,0)*VLOOKUP('Données projet'!$B$13,Paramètres!$A$1:$I$89,5,0)</f>
        <v>151.89200000000005</v>
      </c>
      <c r="CV28" s="13">
        <f t="shared" si="41"/>
        <v>39.008235247069457</v>
      </c>
      <c r="CW28" s="20">
        <f t="shared" si="13"/>
        <v>332.48457638864602</v>
      </c>
      <c r="CX28" s="59">
        <f t="shared" si="14"/>
        <v>619.70679861086819</v>
      </c>
      <c r="CY28" s="59">
        <f ca="1">AVERAGE(OFFSET($CX$3,0,0,'Données projet'!$E$13+1,1))-AVERAGE(OFFSET($H$3,0,0,'Données projet'!$E$13+1,1))</f>
        <v>319.9010109022521</v>
      </c>
      <c r="CZ28" s="59">
        <f t="shared" si="42"/>
        <v>441.82647565372287</v>
      </c>
      <c r="DA28" s="15">
        <f>IF(ISNA(VLOOKUP(A28,'Données projet'!$A$139:$I$159,3,0)),0,VLOOKUP(A28,'Données projet'!$A$139:$I$159,3,0))</f>
        <v>3</v>
      </c>
      <c r="DB28" s="15">
        <f>IF(ISNA(VLOOKUP(A28,'Données projet'!$A$139:$I$159,4,0)),0,VLOOKUP(A28,'Données projet'!$A$139:$I$159,4,0))</f>
        <v>63</v>
      </c>
      <c r="DC28" s="16">
        <f>IF(ISNA(VLOOKUP(A28,'Données projet'!$A$139:$I$159,5,0)),0%,VLOOKUP(A28,'Données projet'!$A$139:$I$159,5,0)*VLOOKUP('Données projet'!$B$13,Paramètres!$A$1:$I$89,7,0))</f>
        <v>0.13500000000000001</v>
      </c>
      <c r="DD28" s="16">
        <f>IF(ISNA(VLOOKUP(A28,'Données projet'!$A$139:$I$159,6,0)),0%,VLOOKUP(A28,'Données projet'!$A$139:$I$159,6,0)*VLOOKUP('Données projet'!$B$13,Paramètres!$A$1:$I$89,7,0))</f>
        <v>0.17550000000000002</v>
      </c>
      <c r="DE28" s="16">
        <f>IF(ISNA(VLOOKUP(A28,'Données projet'!$A$139:$I$159,7,0)),0%,VLOOKUP(A28,'Données projet'!$A$139:$I$159,7,0))</f>
        <v>0.31</v>
      </c>
      <c r="DF28" s="21">
        <f>EXP(-LN(2)/35)*DF27+(1-EXP(-LN(2)/35))/(LN(2)/35)*DB28*DC28*VLOOKUP('Données projet'!$B$13,Paramètres!$A$1:$I$89,3,0)*0.475*44/12</f>
        <v>11.640732149338637</v>
      </c>
      <c r="DG28" s="21">
        <f>EXP(-LN(2)/25)*DG27+(1-EXP(-LN(2)/25))/(LN(2)/25)*Calculateur!DB28*Calculateur!DD28*VLOOKUP('Données projet'!$B$13,Paramètres!$A$1:$I$89,3,0)*0.475*44/12</f>
        <v>19.209691128964732</v>
      </c>
      <c r="DH28" s="21">
        <f>EXP(-LN(2)/2)*DH27+(1-EXP(-LN(2)/2))/(LN(2)/2)*DB28*DE28*VLOOKUP('Données projet'!$B$13,Paramètres!$A$1:$I$89,3,0)*0.475*44/12</f>
        <v>15.966138164881361</v>
      </c>
      <c r="DI28" s="22">
        <f t="shared" si="15"/>
        <v>46.816561443184725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11</v>
      </c>
      <c r="DO28" s="12">
        <f>IF('Données projet'!$A$166&gt;35,DO27+DN28-DW27,IF(A28&lt;'Données projet'!$A$166,$DL$205^A28,IF(A28='Données projet'!$A$166,'Données projet'!$B$166,DO27+DN28-DW27)))</f>
        <v>155</v>
      </c>
      <c r="DP28" s="17">
        <f>DO28*VLOOKUP('Données projet'!$B$14,Paramètres!$A$1:$I$89,3,0)*VLOOKUP('Données projet'!$B$14,Paramètres!$A$1:$I$89,5,0)</f>
        <v>72.539999999999992</v>
      </c>
      <c r="DQ28" s="13">
        <f t="shared" si="43"/>
        <v>20.302914660456786</v>
      </c>
      <c r="DR28" s="20">
        <f t="shared" si="16"/>
        <v>161.70140970029556</v>
      </c>
      <c r="DS28" s="59">
        <f t="shared" si="17"/>
        <v>448.92363192251776</v>
      </c>
      <c r="DT28" s="59">
        <f ca="1">AVERAGE(OFFSET($DS$3,0,0,'Données projet'!$E$14+1,1))-AVERAGE(OFFSET($H$3,0,0,'Données projet'!$E$14+1,1))</f>
        <v>229.61973863654862</v>
      </c>
      <c r="DU28" s="59">
        <f t="shared" si="44"/>
        <v>254.08208375594052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6.6323213427468248</v>
      </c>
      <c r="EC28" s="21">
        <f>EXP(-LN(2)/2)*EC27+(1-EXP(-LN(2)/2))/(LN(2)/2)*DW28*DZ28*VLOOKUP('Données projet'!$B$14,Paramètres!$A$1:$I$89,3,0)*0.475*44/12</f>
        <v>1.6486143317379738</v>
      </c>
      <c r="ED28" s="22">
        <f t="shared" si="18"/>
        <v>8.2809356744847982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5.4</v>
      </c>
      <c r="N29" s="13">
        <f>IF('Données projet'!$A$36&gt;35,N28+M29-V28,IF(A29&lt;'Données projet'!$A$36,$K$205^A29,IF(A29='Données projet'!$A$36,'Données projet'!$B$36,N28+M29-V28)))</f>
        <v>75.400000000000006</v>
      </c>
      <c r="O29" s="13">
        <f>N29*VLOOKUP('Données projet'!$B$9,Paramètres!$A$1:$I$89,3,0)*VLOOKUP('Données projet'!$B$9,Paramètres!$A$1:$I$89,5,0)</f>
        <v>68.221919999999997</v>
      </c>
      <c r="P29" s="13">
        <f t="shared" si="33"/>
        <v>19.23123860664986</v>
      </c>
      <c r="Q29" s="20">
        <f t="shared" si="2"/>
        <v>152.31425123991514</v>
      </c>
      <c r="R29" s="59">
        <f t="shared" si="0"/>
        <v>440.75869568435962</v>
      </c>
      <c r="S29" s="59">
        <f ca="1">AVERAGE(OFFSET($R$3,0,0,'Données projet'!$E$9+1,1))-AVERAGE(OFFSET($H$3,0,0,'Données projet'!$E$9+1,1))</f>
        <v>373.59295497283125</v>
      </c>
      <c r="T29" s="59">
        <f t="shared" si="34"/>
        <v>231.36959598460686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5.4</v>
      </c>
      <c r="AI29" s="13">
        <f>IF('Données projet'!$A$62&gt;35,AI28+AH29-AQ28,IF(A29&lt;'Données projet'!$A$62,$AF$205^A29,IF(A29='Données projet'!$A$62,'Données projet'!$B$62,AI28+AH29-AQ28)))</f>
        <v>75.400000000000006</v>
      </c>
      <c r="AJ29" s="13">
        <f>AI29*VLOOKUP('Données projet'!$B$10,Paramètres!$A$1:$I$89,3,0)*VLOOKUP('Données projet'!$B$10,Paramètres!$A$1:$I$89,5,0)</f>
        <v>76.455600000000004</v>
      </c>
      <c r="AK29" s="13">
        <f t="shared" si="35"/>
        <v>21.268287536105685</v>
      </c>
      <c r="AL29" s="20">
        <f t="shared" si="4"/>
        <v>170.20243745871741</v>
      </c>
      <c r="AM29" s="59">
        <f t="shared" si="5"/>
        <v>458.6468819031619</v>
      </c>
      <c r="AN29" s="59">
        <f ca="1">AVERAGE(OFFSET($AM$3,0,0,'Données projet'!$E$10+1,1))-AVERAGE(OFFSET($H$3,0,0,'Données projet'!$E$10+1,1))</f>
        <v>413.81510455446738</v>
      </c>
      <c r="AO29" s="59">
        <f t="shared" si="36"/>
        <v>254.25036207346602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5.4</v>
      </c>
      <c r="BD29" s="12">
        <f>IF('Données projet'!$A$88&gt;35,BD28+BC29-BL28,IF(A29&lt;'Données projet'!$A$88,$BA$205^A29,IF(A29='Données projet'!$A$88,'Données projet'!$B$88,BD28+BC29-BL28)))</f>
        <v>75.400000000000006</v>
      </c>
      <c r="BE29" s="13">
        <f>BD29*VLOOKUP('Données projet'!$B$11,Paramètres!$A$1:$I$89,3,0)*VLOOKUP('Données projet'!$B$11,Paramètres!$A$1:$I$89,5,0)</f>
        <v>72.926880000000011</v>
      </c>
      <c r="BF29" s="13">
        <f t="shared" si="37"/>
        <v>20.398563182833673</v>
      </c>
      <c r="BG29" s="20">
        <f t="shared" si="7"/>
        <v>162.54181354343532</v>
      </c>
      <c r="BH29" s="59">
        <f t="shared" si="8"/>
        <v>450.98625798787975</v>
      </c>
      <c r="BI29" s="59">
        <f ca="1">AVERAGE(OFFSET($BH$3,0,0,'Données projet'!$E$11+1,1))-AVERAGE(OFFSET($H$3,0,0,'Données projet'!$E$11+1,1))</f>
        <v>295.35565287134125</v>
      </c>
      <c r="BJ29" s="59">
        <f t="shared" si="38"/>
        <v>244.451492444461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5.4</v>
      </c>
      <c r="BY29" s="12">
        <f>IF('Données projet'!$A$114&gt;35,BY28+BX29-CG28,IF(A29&lt;'Données projet'!$A$114,$BV$205^A29,IF(A29='Données projet'!$A$114,'Données projet'!$B$114,BY28+BX29-CG28)))</f>
        <v>75.400000000000006</v>
      </c>
      <c r="BZ29" s="13">
        <f>BY29*VLOOKUP('Données projet'!$B$12,Paramètres!$A$1:$I$89,3,0)*VLOOKUP('Données projet'!$B$12,Paramètres!$A$1:$I$89,5,0)</f>
        <v>81.160560000000004</v>
      </c>
      <c r="CA29" s="13">
        <f t="shared" si="39"/>
        <v>22.420708782464519</v>
      </c>
      <c r="CB29" s="20">
        <f t="shared" si="10"/>
        <v>180.40404312945904</v>
      </c>
      <c r="CC29" s="59">
        <f t="shared" si="11"/>
        <v>468.84848757390353</v>
      </c>
      <c r="CD29" s="59">
        <f ca="1">AVERAGE(OFFSET($CC$3,0,0,'Données projet'!$E$12+1,1))-AVERAGE(OFFSET($H$3,0,0,'Données projet'!$E$12+1,1))</f>
        <v>324.61094137855798</v>
      </c>
      <c r="CE29" s="59">
        <f t="shared" si="40"/>
        <v>267.2998309535638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24</v>
      </c>
      <c r="CT29" s="12">
        <f>IF('Données projet'!$A$140&gt;35,CT28+CS29-DB28,IF(A29&lt;'Données projet'!$A$140,$CQ$205^A29,IF(A29='Données projet'!$A$140,'Données projet'!$B$140,CT28+CS29-DB28)))</f>
        <v>215.00000000000011</v>
      </c>
      <c r="CU29" s="17">
        <f>CT29*VLOOKUP('Données projet'!$B$13,Paramètres!$A$1:$I$89,3,0)*VLOOKUP('Données projet'!$B$13,Paramètres!$A$1:$I$89,5,0)</f>
        <v>128.57000000000008</v>
      </c>
      <c r="CV29" s="13">
        <f t="shared" si="41"/>
        <v>33.665715905233277</v>
      </c>
      <c r="CW29" s="20">
        <f t="shared" si="13"/>
        <v>282.56053853494808</v>
      </c>
      <c r="CX29" s="59">
        <f t="shared" si="14"/>
        <v>571.00498297939248</v>
      </c>
      <c r="CY29" s="59">
        <f ca="1">AVERAGE(OFFSET($CX$3,0,0,'Données projet'!$E$13+1,1))-AVERAGE(OFFSET($H$3,0,0,'Données projet'!$E$13+1,1))</f>
        <v>319.9010109022521</v>
      </c>
      <c r="CZ29" s="59">
        <f t="shared" si="42"/>
        <v>441.82647565372287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11.412464492035637</v>
      </c>
      <c r="DG29" s="21">
        <f>EXP(-LN(2)/25)*DG28+(1-EXP(-LN(2)/25))/(LN(2)/25)*Calculateur!DB29*Calculateur!DD29*VLOOKUP('Données projet'!$B$13,Paramètres!$A$1:$I$89,3,0)*0.475*44/12</f>
        <v>18.68440111484944</v>
      </c>
      <c r="DH29" s="21">
        <f>EXP(-LN(2)/2)*DH28+(1-EXP(-LN(2)/2))/(LN(2)/2)*DB29*DE29*VLOOKUP('Données projet'!$B$13,Paramètres!$A$1:$I$89,3,0)*0.475*44/12</f>
        <v>11.28976456574895</v>
      </c>
      <c r="DI29" s="22">
        <f t="shared" si="15"/>
        <v>41.386630172634028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11</v>
      </c>
      <c r="DO29" s="12">
        <f>IF('Données projet'!$A$166&gt;35,DO28+DN29-DW28,IF(A29&lt;'Données projet'!$A$166,$DL$205^A29,IF(A29='Données projet'!$A$166,'Données projet'!$B$166,DO28+DN29-DW28)))</f>
        <v>166</v>
      </c>
      <c r="DP29" s="17">
        <f>DO29*VLOOKUP('Données projet'!$B$14,Paramètres!$A$1:$I$89,3,0)*VLOOKUP('Données projet'!$B$14,Paramètres!$A$1:$I$89,5,0)</f>
        <v>77.688000000000002</v>
      </c>
      <c r="DQ29" s="13">
        <f t="shared" si="43"/>
        <v>21.570926907728207</v>
      </c>
      <c r="DR29" s="20">
        <f t="shared" si="16"/>
        <v>172.87596436429328</v>
      </c>
      <c r="DS29" s="59">
        <f t="shared" si="17"/>
        <v>461.32040880873774</v>
      </c>
      <c r="DT29" s="59">
        <f ca="1">AVERAGE(OFFSET($DS$3,0,0,'Données projet'!$E$14+1,1))-AVERAGE(OFFSET($H$3,0,0,'Données projet'!$E$14+1,1))</f>
        <v>229.61973863654862</v>
      </c>
      <c r="DU29" s="59">
        <f t="shared" si="44"/>
        <v>254.08208375594052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6.4509601668507921</v>
      </c>
      <c r="EC29" s="21">
        <f>EXP(-LN(2)/2)*EC28+(1-EXP(-LN(2)/2))/(LN(2)/2)*DW29*DZ29*VLOOKUP('Données projet'!$B$14,Paramètres!$A$1:$I$89,3,0)*0.475*44/12</f>
        <v>1.1657463735332498</v>
      </c>
      <c r="ED29" s="22">
        <f t="shared" si="18"/>
        <v>7.6167065403840422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5.4</v>
      </c>
      <c r="N30" s="13">
        <f>IF('Données projet'!$A$36&gt;35,N29+M30-V29,IF(A30&lt;'Données projet'!$A$36,$K$205^A30,IF(A30='Données projet'!$A$36,'Données projet'!$B$36,N29+M30-V29)))</f>
        <v>80.800000000000011</v>
      </c>
      <c r="O30" s="13">
        <f>N30*VLOOKUP('Données projet'!$B$9,Paramètres!$A$1:$I$89,3,0)*VLOOKUP('Données projet'!$B$9,Paramètres!$A$1:$I$89,5,0)</f>
        <v>73.10784000000001</v>
      </c>
      <c r="P30" s="13">
        <f t="shared" si="33"/>
        <v>20.443281718403117</v>
      </c>
      <c r="Q30" s="20">
        <f t="shared" si="2"/>
        <v>162.93487032621877</v>
      </c>
      <c r="R30" s="59">
        <f t="shared" si="0"/>
        <v>452.60153699288549</v>
      </c>
      <c r="S30" s="59">
        <f ca="1">AVERAGE(OFFSET($R$3,0,0,'Données projet'!$E$9+1,1))-AVERAGE(OFFSET($H$3,0,0,'Données projet'!$E$9+1,1))</f>
        <v>373.59295497283125</v>
      </c>
      <c r="T30" s="59">
        <f t="shared" si="34"/>
        <v>231.36959598460686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5.4</v>
      </c>
      <c r="AI30" s="13">
        <f>IF('Données projet'!$A$62&gt;35,AI29+AH30-AQ29,IF(A30&lt;'Données projet'!$A$62,$AF$205^A30,IF(A30='Données projet'!$A$62,'Données projet'!$B$62,AI29+AH30-AQ29)))</f>
        <v>80.800000000000011</v>
      </c>
      <c r="AJ30" s="13">
        <f>AI30*VLOOKUP('Données projet'!$B$10,Paramètres!$A$1:$I$89,3,0)*VLOOKUP('Données projet'!$B$10,Paramètres!$A$1:$I$89,5,0)</f>
        <v>81.931200000000018</v>
      </c>
      <c r="AK30" s="13">
        <f t="shared" si="35"/>
        <v>22.608715052719766</v>
      </c>
      <c r="AL30" s="20">
        <f t="shared" si="4"/>
        <v>182.07368538348692</v>
      </c>
      <c r="AM30" s="59">
        <f t="shared" si="5"/>
        <v>471.7403520501536</v>
      </c>
      <c r="AN30" s="59">
        <f ca="1">AVERAGE(OFFSET($AM$3,0,0,'Données projet'!$E$10+1,1))-AVERAGE(OFFSET($H$3,0,0,'Données projet'!$E$10+1,1))</f>
        <v>413.81510455446738</v>
      </c>
      <c r="AO30" s="59">
        <f t="shared" si="36"/>
        <v>254.25036207346602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5.4</v>
      </c>
      <c r="BD30" s="12">
        <f>IF('Données projet'!$A$88&gt;35,BD29+BC30-BL29,IF(A30&lt;'Données projet'!$A$88,$BA$205^A30,IF(A30='Données projet'!$A$88,'Données projet'!$B$88,BD29+BC30-BL29)))</f>
        <v>80.800000000000011</v>
      </c>
      <c r="BE30" s="13">
        <f>BD30*VLOOKUP('Données projet'!$B$11,Paramètres!$A$1:$I$89,3,0)*VLOOKUP('Données projet'!$B$11,Paramètres!$A$1:$I$89,5,0)</f>
        <v>78.149760000000015</v>
      </c>
      <c r="BF30" s="13">
        <f t="shared" si="37"/>
        <v>21.684176579927502</v>
      </c>
      <c r="BG30" s="20">
        <f t="shared" si="7"/>
        <v>173.87743954337375</v>
      </c>
      <c r="BH30" s="59">
        <f t="shared" si="8"/>
        <v>463.54410621004047</v>
      </c>
      <c r="BI30" s="59">
        <f ca="1">AVERAGE(OFFSET($BH$3,0,0,'Données projet'!$E$11+1,1))-AVERAGE(OFFSET($H$3,0,0,'Données projet'!$E$11+1,1))</f>
        <v>295.35565287134125</v>
      </c>
      <c r="BJ30" s="59">
        <f t="shared" si="38"/>
        <v>244.451492444461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5.4</v>
      </c>
      <c r="BY30" s="12">
        <f>IF('Données projet'!$A$114&gt;35,BY29+BX30-CG29,IF(A30&lt;'Données projet'!$A$114,$BV$205^A30,IF(A30='Données projet'!$A$114,'Données projet'!$B$114,BY29+BX30-CG29)))</f>
        <v>80.800000000000011</v>
      </c>
      <c r="BZ30" s="13">
        <f>BY30*VLOOKUP('Données projet'!$B$12,Paramètres!$A$1:$I$89,3,0)*VLOOKUP('Données projet'!$B$12,Paramètres!$A$1:$I$89,5,0)</f>
        <v>86.973120000000009</v>
      </c>
      <c r="CA30" s="13">
        <f t="shared" si="39"/>
        <v>23.833767306475281</v>
      </c>
      <c r="CB30" s="20">
        <f t="shared" si="10"/>
        <v>192.98866205877778</v>
      </c>
      <c r="CC30" s="59">
        <f t="shared" si="11"/>
        <v>482.65532872544446</v>
      </c>
      <c r="CD30" s="59">
        <f ca="1">AVERAGE(OFFSET($CC$3,0,0,'Données projet'!$E$12+1,1))-AVERAGE(OFFSET($H$3,0,0,'Données projet'!$E$12+1,1))</f>
        <v>324.61094137855798</v>
      </c>
      <c r="CE30" s="59">
        <f t="shared" si="40"/>
        <v>267.2998309535638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24</v>
      </c>
      <c r="CT30" s="12">
        <f>IF('Données projet'!$A$140&gt;35,CT29+CS30-DB29,IF(A30&lt;'Données projet'!$A$140,$CQ$205^A30,IF(A30='Données projet'!$A$140,'Données projet'!$B$140,CT29+CS30-DB29)))</f>
        <v>239.00000000000011</v>
      </c>
      <c r="CU30" s="17">
        <f>CT30*VLOOKUP('Données projet'!$B$13,Paramètres!$A$1:$I$89,3,0)*VLOOKUP('Données projet'!$B$13,Paramètres!$A$1:$I$89,5,0)</f>
        <v>142.92200000000008</v>
      </c>
      <c r="CV30" s="13">
        <f t="shared" si="41"/>
        <v>36.965587791044591</v>
      </c>
      <c r="CW30" s="20">
        <f t="shared" si="13"/>
        <v>313.30421540273613</v>
      </c>
      <c r="CX30" s="59">
        <f t="shared" si="14"/>
        <v>602.97088206940282</v>
      </c>
      <c r="CY30" s="59">
        <f ca="1">AVERAGE(OFFSET($CX$3,0,0,'Données projet'!$E$13+1,1))-AVERAGE(OFFSET($H$3,0,0,'Données projet'!$E$13+1,1))</f>
        <v>319.9010109022521</v>
      </c>
      <c r="CZ30" s="59">
        <f t="shared" si="42"/>
        <v>441.82647565372287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11.188673024262824</v>
      </c>
      <c r="DG30" s="21">
        <f>EXP(-LN(2)/25)*DG29+(1-EXP(-LN(2)/25))/(LN(2)/25)*Calculateur!DB30*Calculateur!DD30*VLOOKUP('Données projet'!$B$13,Paramètres!$A$1:$I$89,3,0)*0.475*44/12</f>
        <v>18.173475183793929</v>
      </c>
      <c r="DH30" s="21">
        <f>EXP(-LN(2)/2)*DH29+(1-EXP(-LN(2)/2))/(LN(2)/2)*DB30*DE30*VLOOKUP('Données projet'!$B$13,Paramètres!$A$1:$I$89,3,0)*0.475*44/12</f>
        <v>7.9830690824406814</v>
      </c>
      <c r="DI30" s="22">
        <f t="shared" si="15"/>
        <v>37.34521729049743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11</v>
      </c>
      <c r="DO30" s="12">
        <f>IF('Données projet'!$A$166&gt;35,DO29+DN30-DW29,IF(A30&lt;'Données projet'!$A$166,$DL$205^A30,IF(A30='Données projet'!$A$166,'Données projet'!$B$166,DO29+DN30-DW29)))</f>
        <v>177</v>
      </c>
      <c r="DP30" s="17">
        <f>DO30*VLOOKUP('Données projet'!$B$14,Paramètres!$A$1:$I$89,3,0)*VLOOKUP('Données projet'!$B$14,Paramètres!$A$1:$I$89,5,0)</f>
        <v>82.835999999999999</v>
      </c>
      <c r="DQ30" s="13">
        <f t="shared" si="43"/>
        <v>22.829188748646022</v>
      </c>
      <c r="DR30" s="20">
        <f t="shared" si="16"/>
        <v>184.03353707055848</v>
      </c>
      <c r="DS30" s="59">
        <f t="shared" si="17"/>
        <v>473.70020373722514</v>
      </c>
      <c r="DT30" s="59">
        <f ca="1">AVERAGE(OFFSET($DS$3,0,0,'Données projet'!$E$14+1,1))-AVERAGE(OFFSET($H$3,0,0,'Données projet'!$E$14+1,1))</f>
        <v>229.61973863654862</v>
      </c>
      <c r="DU30" s="59">
        <f t="shared" si="44"/>
        <v>254.08208375594052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6.2745583218470058</v>
      </c>
      <c r="EC30" s="21">
        <f>EXP(-LN(2)/2)*EC29+(1-EXP(-LN(2)/2))/(LN(2)/2)*DW30*DZ30*VLOOKUP('Données projet'!$B$14,Paramètres!$A$1:$I$89,3,0)*0.475*44/12</f>
        <v>0.824307165868987</v>
      </c>
      <c r="ED30" s="22">
        <f t="shared" si="18"/>
        <v>7.0988654877159929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5.4</v>
      </c>
      <c r="N31" s="13">
        <f>IF('Données projet'!$A$36&gt;35,N30+M31-V30,IF(A31&lt;'Données projet'!$A$36,$K$205^A31,IF(A31='Données projet'!$A$36,'Données projet'!$B$36,N30+M31-V30)))</f>
        <v>86.200000000000017</v>
      </c>
      <c r="O31" s="13">
        <f>N31*VLOOKUP('Données projet'!$B$9,Paramètres!$A$1:$I$89,3,0)*VLOOKUP('Données projet'!$B$9,Paramètres!$A$1:$I$89,5,0)</f>
        <v>77.993760000000023</v>
      </c>
      <c r="P31" s="13">
        <f t="shared" si="33"/>
        <v>21.645925290308433</v>
      </c>
      <c r="Q31" s="20">
        <f t="shared" si="2"/>
        <v>173.53911854728722</v>
      </c>
      <c r="R31" s="59">
        <f t="shared" si="0"/>
        <v>464.42800743617607</v>
      </c>
      <c r="S31" s="59">
        <f ca="1">AVERAGE(OFFSET($R$3,0,0,'Données projet'!$E$9+1,1))-AVERAGE(OFFSET($H$3,0,0,'Données projet'!$E$9+1,1))</f>
        <v>373.59295497283125</v>
      </c>
      <c r="T31" s="59">
        <f t="shared" si="34"/>
        <v>231.36959598460686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5.4</v>
      </c>
      <c r="AI31" s="13">
        <f>IF('Données projet'!$A$62&gt;35,AI30+AH31-AQ30,IF(A31&lt;'Données projet'!$A$62,$AF$205^A31,IF(A31='Données projet'!$A$62,'Données projet'!$B$62,AI30+AH31-AQ30)))</f>
        <v>86.200000000000017</v>
      </c>
      <c r="AJ31" s="13">
        <f>AI31*VLOOKUP('Données projet'!$B$10,Paramètres!$A$1:$I$89,3,0)*VLOOKUP('Données projet'!$B$10,Paramètres!$A$1:$I$89,5,0)</f>
        <v>87.406800000000032</v>
      </c>
      <c r="AK31" s="13">
        <f t="shared" si="35"/>
        <v>23.938747393012555</v>
      </c>
      <c r="AL31" s="20">
        <f t="shared" si="4"/>
        <v>193.9268283761636</v>
      </c>
      <c r="AM31" s="59">
        <f t="shared" si="5"/>
        <v>484.81571726505246</v>
      </c>
      <c r="AN31" s="59">
        <f ca="1">AVERAGE(OFFSET($AM$3,0,0,'Données projet'!$E$10+1,1))-AVERAGE(OFFSET($H$3,0,0,'Données projet'!$E$10+1,1))</f>
        <v>413.81510455446738</v>
      </c>
      <c r="AO31" s="59">
        <f t="shared" si="36"/>
        <v>254.25036207346602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5.4</v>
      </c>
      <c r="BD31" s="12">
        <f>IF('Données projet'!$A$88&gt;35,BD30+BC31-BL30,IF(A31&lt;'Données projet'!$A$88,$BA$205^A31,IF(A31='Données projet'!$A$88,'Données projet'!$B$88,BD30+BC31-BL30)))</f>
        <v>86.200000000000017</v>
      </c>
      <c r="BE31" s="13">
        <f>BD31*VLOOKUP('Données projet'!$B$11,Paramètres!$A$1:$I$89,3,0)*VLOOKUP('Données projet'!$B$11,Paramètres!$A$1:$I$89,5,0)</f>
        <v>83.372640000000018</v>
      </c>
      <c r="BF31" s="13">
        <f t="shared" si="37"/>
        <v>22.959819890777826</v>
      </c>
      <c r="BG31" s="20">
        <f t="shared" si="7"/>
        <v>185.19570097643805</v>
      </c>
      <c r="BH31" s="59">
        <f t="shared" si="8"/>
        <v>476.0845898653269</v>
      </c>
      <c r="BI31" s="59">
        <f ca="1">AVERAGE(OFFSET($BH$3,0,0,'Données projet'!$E$11+1,1))-AVERAGE(OFFSET($H$3,0,0,'Données projet'!$E$11+1,1))</f>
        <v>295.35565287134125</v>
      </c>
      <c r="BJ31" s="59">
        <f t="shared" si="38"/>
        <v>244.451492444461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5.4</v>
      </c>
      <c r="BY31" s="12">
        <f>IF('Données projet'!$A$114&gt;35,BY30+BX31-CG30,IF(A31&lt;'Données projet'!$A$114,$BV$205^A31,IF(A31='Données projet'!$A$114,'Données projet'!$B$114,BY30+BX31-CG30)))</f>
        <v>86.200000000000017</v>
      </c>
      <c r="BZ31" s="13">
        <f>BY31*VLOOKUP('Données projet'!$B$12,Paramètres!$A$1:$I$89,3,0)*VLOOKUP('Données projet'!$B$12,Paramètres!$A$1:$I$89,5,0)</f>
        <v>92.785680000000013</v>
      </c>
      <c r="CA31" s="13">
        <f t="shared" si="39"/>
        <v>25.235867391982413</v>
      </c>
      <c r="CB31" s="20">
        <f t="shared" si="10"/>
        <v>205.55419504103602</v>
      </c>
      <c r="CC31" s="59">
        <f t="shared" si="11"/>
        <v>496.44308392992491</v>
      </c>
      <c r="CD31" s="59">
        <f ca="1">AVERAGE(OFFSET($CC$3,0,0,'Données projet'!$E$12+1,1))-AVERAGE(OFFSET($H$3,0,0,'Données projet'!$E$12+1,1))</f>
        <v>324.61094137855798</v>
      </c>
      <c r="CE31" s="59">
        <f t="shared" si="40"/>
        <v>267.2998309535638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24</v>
      </c>
      <c r="CT31" s="12">
        <f>IF('Données projet'!$A$140&gt;35,CT30+CS31-DB30,IF(A31&lt;'Données projet'!$A$140,$CQ$205^A31,IF(A31='Données projet'!$A$140,'Données projet'!$B$140,CT30+CS31-DB30)))</f>
        <v>263.00000000000011</v>
      </c>
      <c r="CU31" s="17">
        <f>CT31*VLOOKUP('Données projet'!$B$13,Paramètres!$A$1:$I$89,3,0)*VLOOKUP('Données projet'!$B$13,Paramètres!$A$1:$I$89,5,0)</f>
        <v>157.27400000000009</v>
      </c>
      <c r="CV31" s="13">
        <f t="shared" si="41"/>
        <v>40.22704491543449</v>
      </c>
      <c r="CW31" s="20">
        <f t="shared" si="13"/>
        <v>343.98098656104861</v>
      </c>
      <c r="CX31" s="59">
        <f t="shared" si="14"/>
        <v>634.86987544993747</v>
      </c>
      <c r="CY31" s="59">
        <f ca="1">AVERAGE(OFFSET($CX$3,0,0,'Données projet'!$E$13+1,1))-AVERAGE(OFFSET($H$3,0,0,'Données projet'!$E$13+1,1))</f>
        <v>319.9010109022521</v>
      </c>
      <c r="CZ31" s="59">
        <f t="shared" si="42"/>
        <v>441.82647565372287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10.96926997067372</v>
      </c>
      <c r="DG31" s="21">
        <f>EXP(-LN(2)/25)*DG30+(1-EXP(-LN(2)/25))/(LN(2)/25)*Calculateur!DB31*Calculateur!DD31*VLOOKUP('Données projet'!$B$13,Paramètres!$A$1:$I$89,3,0)*0.475*44/12</f>
        <v>17.676520549191562</v>
      </c>
      <c r="DH31" s="21">
        <f>EXP(-LN(2)/2)*DH30+(1-EXP(-LN(2)/2))/(LN(2)/2)*DB31*DE31*VLOOKUP('Données projet'!$B$13,Paramètres!$A$1:$I$89,3,0)*0.475*44/12</f>
        <v>5.6448822828744758</v>
      </c>
      <c r="DI31" s="22">
        <f t="shared" si="15"/>
        <v>34.290672802739756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11</v>
      </c>
      <c r="DO31" s="12">
        <f>IF('Données projet'!$A$166&gt;35,DO30+DN31-DW30,IF(A31&lt;'Données projet'!$A$166,$DL$205^A31,IF(A31='Données projet'!$A$166,'Données projet'!$B$166,DO30+DN31-DW30)))</f>
        <v>188</v>
      </c>
      <c r="DP31" s="17">
        <f>DO31*VLOOKUP('Données projet'!$B$14,Paramètres!$A$1:$I$89,3,0)*VLOOKUP('Données projet'!$B$14,Paramètres!$A$1:$I$89,5,0)</f>
        <v>87.983999999999995</v>
      </c>
      <c r="DQ31" s="13">
        <f t="shared" si="43"/>
        <v>24.078375128721785</v>
      </c>
      <c r="DR31" s="20">
        <f t="shared" si="16"/>
        <v>195.17530334919044</v>
      </c>
      <c r="DS31" s="59">
        <f t="shared" si="17"/>
        <v>486.06419223807927</v>
      </c>
      <c r="DT31" s="59">
        <f ca="1">AVERAGE(OFFSET($DS$3,0,0,'Données projet'!$E$14+1,1))-AVERAGE(OFFSET($H$3,0,0,'Données projet'!$E$14+1,1))</f>
        <v>229.61973863654862</v>
      </c>
      <c r="DU31" s="59">
        <f t="shared" si="44"/>
        <v>254.08208375594052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6.1029801945714182</v>
      </c>
      <c r="EC31" s="21">
        <f>EXP(-LN(2)/2)*EC30+(1-EXP(-LN(2)/2))/(LN(2)/2)*DW31*DZ31*VLOOKUP('Données projet'!$B$14,Paramètres!$A$1:$I$89,3,0)*0.475*44/12</f>
        <v>0.58287318676662492</v>
      </c>
      <c r="ED31" s="22">
        <f t="shared" si="18"/>
        <v>6.6858533813380427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5.4</v>
      </c>
      <c r="N32" s="13">
        <f>IF('Données projet'!$A$36&gt;35,N31+M32-V31,IF(A32&lt;'Données projet'!$A$36,$K$205^A32,IF(A32='Données projet'!$A$36,'Données projet'!$B$36,N31+M32-V31)))</f>
        <v>91.600000000000023</v>
      </c>
      <c r="O32" s="13">
        <f>N32*VLOOKUP('Données projet'!$B$9,Paramètres!$A$1:$I$89,3,0)*VLOOKUP('Données projet'!$B$9,Paramètres!$A$1:$I$89,5,0)</f>
        <v>82.879680000000008</v>
      </c>
      <c r="P32" s="13">
        <f t="shared" si="33"/>
        <v>22.83982519050506</v>
      </c>
      <c r="Q32" s="20">
        <f t="shared" si="2"/>
        <v>184.12813820679631</v>
      </c>
      <c r="R32" s="59">
        <f t="shared" si="0"/>
        <v>476.23924931790748</v>
      </c>
      <c r="S32" s="59">
        <f ca="1">AVERAGE(OFFSET($R$3,0,0,'Données projet'!$E$9+1,1))-AVERAGE(OFFSET($H$3,0,0,'Données projet'!$E$9+1,1))</f>
        <v>373.59295497283125</v>
      </c>
      <c r="T32" s="59">
        <f t="shared" si="34"/>
        <v>231.36959598460686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5.4</v>
      </c>
      <c r="AI32" s="13">
        <f>IF('Données projet'!$A$62&gt;35,AI31+AH32-AQ31,IF(A32&lt;'Données projet'!$A$62,$AF$205^A32,IF(A32='Données projet'!$A$62,'Données projet'!$B$62,AI31+AH32-AQ31)))</f>
        <v>91.600000000000023</v>
      </c>
      <c r="AJ32" s="13">
        <f>AI32*VLOOKUP('Données projet'!$B$10,Paramètres!$A$1:$I$89,3,0)*VLOOKUP('Données projet'!$B$10,Paramètres!$A$1:$I$89,5,0)</f>
        <v>92.882400000000018</v>
      </c>
      <c r="AK32" s="13">
        <f t="shared" si="35"/>
        <v>25.259109897273174</v>
      </c>
      <c r="AL32" s="20">
        <f t="shared" si="4"/>
        <v>205.7631297377508</v>
      </c>
      <c r="AM32" s="59">
        <f t="shared" si="5"/>
        <v>497.87424084886197</v>
      </c>
      <c r="AN32" s="59">
        <f ca="1">AVERAGE(OFFSET($AM$3,0,0,'Données projet'!$E$10+1,1))-AVERAGE(OFFSET($H$3,0,0,'Données projet'!$E$10+1,1))</f>
        <v>413.81510455446738</v>
      </c>
      <c r="AO32" s="59">
        <f t="shared" si="36"/>
        <v>254.25036207346602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5.4</v>
      </c>
      <c r="BD32" s="12">
        <f>IF('Données projet'!$A$88&gt;35,BD31+BC32-BL31,IF(A32&lt;'Données projet'!$A$88,$BA$205^A32,IF(A32='Données projet'!$A$88,'Données projet'!$B$88,BD31+BC32-BL31)))</f>
        <v>91.600000000000023</v>
      </c>
      <c r="BE32" s="13">
        <f>BD32*VLOOKUP('Données projet'!$B$11,Paramètres!$A$1:$I$89,3,0)*VLOOKUP('Données projet'!$B$11,Paramètres!$A$1:$I$89,5,0)</f>
        <v>88.595520000000022</v>
      </c>
      <c r="BF32" s="13">
        <f t="shared" si="37"/>
        <v>24.226188794324088</v>
      </c>
      <c r="BG32" s="20">
        <f t="shared" si="7"/>
        <v>196.49780948344781</v>
      </c>
      <c r="BH32" s="59">
        <f t="shared" si="8"/>
        <v>488.60892059455898</v>
      </c>
      <c r="BI32" s="59">
        <f ca="1">AVERAGE(OFFSET($BH$3,0,0,'Données projet'!$E$11+1,1))-AVERAGE(OFFSET($H$3,0,0,'Données projet'!$E$11+1,1))</f>
        <v>295.35565287134125</v>
      </c>
      <c r="BJ32" s="59">
        <f t="shared" si="38"/>
        <v>244.451492444461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5.4</v>
      </c>
      <c r="BY32" s="12">
        <f>IF('Données projet'!$A$114&gt;35,BY31+BX32-CG31,IF(A32&lt;'Données projet'!$A$114,$BV$205^A32,IF(A32='Données projet'!$A$114,'Données projet'!$B$114,BY31+BX32-CG31)))</f>
        <v>91.600000000000023</v>
      </c>
      <c r="BZ32" s="13">
        <f>BY32*VLOOKUP('Données projet'!$B$12,Paramètres!$A$1:$I$89,3,0)*VLOOKUP('Données projet'!$B$12,Paramètres!$A$1:$I$89,5,0)</f>
        <v>98.598240000000018</v>
      </c>
      <c r="CA32" s="13">
        <f t="shared" si="39"/>
        <v>26.627773681807483</v>
      </c>
      <c r="CB32" s="20">
        <f t="shared" si="10"/>
        <v>218.10197382914805</v>
      </c>
      <c r="CC32" s="59">
        <f t="shared" si="11"/>
        <v>510.21308494025919</v>
      </c>
      <c r="CD32" s="59">
        <f ca="1">AVERAGE(OFFSET($CC$3,0,0,'Données projet'!$E$12+1,1))-AVERAGE(OFFSET($H$3,0,0,'Données projet'!$E$12+1,1))</f>
        <v>324.61094137855798</v>
      </c>
      <c r="CE32" s="59">
        <f t="shared" si="40"/>
        <v>267.2998309535638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24</v>
      </c>
      <c r="CT32" s="12">
        <f>IF('Données projet'!$A$140&gt;35,CT31+CS32-DB31,IF(A32&lt;'Données projet'!$A$140,$CQ$205^A32,IF(A32='Données projet'!$A$140,'Données projet'!$B$140,CT31+CS32-DB31)))</f>
        <v>287.00000000000011</v>
      </c>
      <c r="CU32" s="17">
        <f>CT32*VLOOKUP('Données projet'!$B$13,Paramètres!$A$1:$I$89,3,0)*VLOOKUP('Données projet'!$B$13,Paramètres!$A$1:$I$89,5,0)</f>
        <v>171.62600000000009</v>
      </c>
      <c r="CV32" s="13">
        <f t="shared" si="41"/>
        <v>43.453991492329642</v>
      </c>
      <c r="CW32" s="20">
        <f t="shared" si="13"/>
        <v>374.5976518491409</v>
      </c>
      <c r="CX32" s="59">
        <f t="shared" si="14"/>
        <v>666.70876296025199</v>
      </c>
      <c r="CY32" s="59">
        <f ca="1">AVERAGE(OFFSET($CX$3,0,0,'Données projet'!$E$13+1,1))-AVERAGE(OFFSET($H$3,0,0,'Données projet'!$E$13+1,1))</f>
        <v>319.9010109022521</v>
      </c>
      <c r="CZ32" s="59">
        <f t="shared" si="42"/>
        <v>441.82647565372287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10.754169277142848</v>
      </c>
      <c r="DG32" s="21">
        <f>EXP(-LN(2)/25)*DG31+(1-EXP(-LN(2)/25))/(LN(2)/25)*Calculateur!DB32*Calculateur!DD32*VLOOKUP('Données projet'!$B$13,Paramètres!$A$1:$I$89,3,0)*0.475*44/12</f>
        <v>17.193155165206104</v>
      </c>
      <c r="DH32" s="21">
        <f>EXP(-LN(2)/2)*DH31+(1-EXP(-LN(2)/2))/(LN(2)/2)*DB32*DE32*VLOOKUP('Données projet'!$B$13,Paramètres!$A$1:$I$89,3,0)*0.475*44/12</f>
        <v>3.9915345412203411</v>
      </c>
      <c r="DI32" s="22">
        <f t="shared" si="15"/>
        <v>31.93885898356929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11</v>
      </c>
      <c r="DO32" s="12">
        <f>IF('Données projet'!$A$166&gt;35,DO31+DN32-DW31,IF(A32&lt;'Données projet'!$A$166,$DL$205^A32,IF(A32='Données projet'!$A$166,'Données projet'!$B$166,DO31+DN32-DW31)))</f>
        <v>199</v>
      </c>
      <c r="DP32" s="17">
        <f>DO32*VLOOKUP('Données projet'!$B$14,Paramètres!$A$1:$I$89,3,0)*VLOOKUP('Données projet'!$B$14,Paramètres!$A$1:$I$89,5,0)</f>
        <v>93.132000000000005</v>
      </c>
      <c r="DQ32" s="13">
        <f t="shared" si="43"/>
        <v>25.319077548810455</v>
      </c>
      <c r="DR32" s="20">
        <f t="shared" si="16"/>
        <v>206.30229339751153</v>
      </c>
      <c r="DS32" s="59">
        <f t="shared" si="17"/>
        <v>498.41340450862265</v>
      </c>
      <c r="DT32" s="59">
        <f ca="1">AVERAGE(OFFSET($DS$3,0,0,'Données projet'!$E$14+1,1))-AVERAGE(OFFSET($H$3,0,0,'Données projet'!$E$14+1,1))</f>
        <v>229.61973863654862</v>
      </c>
      <c r="DU32" s="59">
        <f t="shared" si="44"/>
        <v>254.08208375594052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5.936093880209083</v>
      </c>
      <c r="EC32" s="21">
        <f>EXP(-LN(2)/2)*EC31+(1-EXP(-LN(2)/2))/(LN(2)/2)*DW32*DZ32*VLOOKUP('Données projet'!$B$14,Paramètres!$A$1:$I$89,3,0)*0.475*44/12</f>
        <v>0.4121535829344935</v>
      </c>
      <c r="ED32" s="22">
        <f t="shared" si="18"/>
        <v>6.3482474631435766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97</v>
      </c>
      <c r="L33" s="12">
        <f>VLOOKUP(A33,'Données projet'!$A$35:$I$55,9,0)</f>
        <v>5.4</v>
      </c>
      <c r="M33" s="12">
        <f t="array" ref="M33">INDEX(L:L,MIN(IF(ISNUMBER(L33:L229),ROW(L33:L229),"")))</f>
        <v>5.4</v>
      </c>
      <c r="N33" s="13">
        <f>IF('Données projet'!$A$36&gt;35,N32+M33-V32,IF(A33&lt;'Données projet'!$A$36,$K$205^A33,IF(A33='Données projet'!$A$36,'Données projet'!$B$36,N32+M33-V32)))</f>
        <v>97.000000000000028</v>
      </c>
      <c r="O33" s="13">
        <f>N33*VLOOKUP('Données projet'!$B$9,Paramètres!$A$1:$I$89,3,0)*VLOOKUP('Données projet'!$B$9,Paramètres!$A$1:$I$89,5,0)</f>
        <v>87.76560000000002</v>
      </c>
      <c r="P33" s="13">
        <f t="shared" si="33"/>
        <v>24.025555589247954</v>
      </c>
      <c r="Q33" s="20">
        <f t="shared" si="2"/>
        <v>194.7029293179402</v>
      </c>
      <c r="R33" s="59">
        <f t="shared" si="0"/>
        <v>488.03626265127355</v>
      </c>
      <c r="S33" s="59">
        <f ca="1">AVERAGE(OFFSET($R$3,0,0,'Données projet'!$E$9+1,1))-AVERAGE(OFFSET($H$3,0,0,'Données projet'!$E$9+1,1))</f>
        <v>373.59295497283125</v>
      </c>
      <c r="T33" s="59">
        <f t="shared" si="34"/>
        <v>231.36959598460686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97</v>
      </c>
      <c r="AG33" s="12">
        <f>VLOOKUP(A33,'Données projet'!$A$61:$I$81,9,0)</f>
        <v>5.4</v>
      </c>
      <c r="AH33" s="12">
        <f t="array" ref="AH33">INDEX(AG:AG,MIN(IF(ISNUMBER(AG33:AG229),ROW(AG33:AG229),"")))</f>
        <v>5.4</v>
      </c>
      <c r="AI33" s="13">
        <f>IF('Données projet'!$A$62&gt;35,AI32+AH33-AQ32,IF(A33&lt;'Données projet'!$A$62,$AF$205^A33,IF(A33='Données projet'!$A$62,'Données projet'!$B$62,AI32+AH33-AQ32)))</f>
        <v>97.000000000000028</v>
      </c>
      <c r="AJ33" s="13">
        <f>AI33*VLOOKUP('Données projet'!$B$10,Paramètres!$A$1:$I$89,3,0)*VLOOKUP('Données projet'!$B$10,Paramètres!$A$1:$I$89,5,0)</f>
        <v>98.358000000000033</v>
      </c>
      <c r="AK33" s="13">
        <f t="shared" si="35"/>
        <v>26.570437554143147</v>
      </c>
      <c r="AL33" s="20">
        <f t="shared" si="4"/>
        <v>217.58369540679939</v>
      </c>
      <c r="AM33" s="59">
        <f t="shared" si="5"/>
        <v>510.91702874013271</v>
      </c>
      <c r="AN33" s="59">
        <f ca="1">AVERAGE(OFFSET($AM$3,0,0,'Données projet'!$E$10+1,1))-AVERAGE(OFFSET($H$3,0,0,'Données projet'!$E$10+1,1))</f>
        <v>413.81510455446738</v>
      </c>
      <c r="AO33" s="59">
        <f t="shared" si="36"/>
        <v>254.25036207346602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97</v>
      </c>
      <c r="BB33" s="12">
        <f>VLOOKUP(A33,'Données projet'!$A$87:$I$107,9,0)</f>
        <v>5.4</v>
      </c>
      <c r="BC33" s="12">
        <f t="array" ref="BC33">INDEX(BB:BB,MIN(IF(ISNUMBER(BB33:BB229),ROW(BB33:BB229),"")))</f>
        <v>5.4</v>
      </c>
      <c r="BD33" s="12">
        <f>IF('Données projet'!$A$88&gt;35,BD32+BC33-BL32,IF(A33&lt;'Données projet'!$A$88,$BA$205^A33,IF(A33='Données projet'!$A$88,'Données projet'!$B$88,BD32+BC33-BL32)))</f>
        <v>97.000000000000028</v>
      </c>
      <c r="BE33" s="13">
        <f>BD33*VLOOKUP('Données projet'!$B$11,Paramètres!$A$1:$I$89,3,0)*VLOOKUP('Données projet'!$B$11,Paramètres!$A$1:$I$89,5,0)</f>
        <v>93.818400000000025</v>
      </c>
      <c r="BF33" s="13">
        <f t="shared" si="37"/>
        <v>25.483892312609182</v>
      </c>
      <c r="BG33" s="20">
        <f t="shared" si="7"/>
        <v>207.78482577779437</v>
      </c>
      <c r="BH33" s="59">
        <f t="shared" si="8"/>
        <v>501.11815911112768</v>
      </c>
      <c r="BI33" s="59">
        <f ca="1">AVERAGE(OFFSET($BH$3,0,0,'Données projet'!$E$11+1,1))-AVERAGE(OFFSET($H$3,0,0,'Données projet'!$E$11+1,1))</f>
        <v>295.35565287134125</v>
      </c>
      <c r="BJ33" s="59">
        <f t="shared" si="38"/>
        <v>244.451492444461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97</v>
      </c>
      <c r="BW33" s="12">
        <f>VLOOKUP(A33,'Données projet'!$A$113:$I$133,9,0)</f>
        <v>5.4</v>
      </c>
      <c r="BX33" s="12">
        <f t="array" ref="BX33">INDEX(BW:BW,MIN(IF(ISNUMBER(BW33:BW229),ROW(BW33:BW229),"")))</f>
        <v>5.4</v>
      </c>
      <c r="BY33" s="12">
        <f>IF('Données projet'!$A$114&gt;35,BY32+BX33-CG32,IF(A33&lt;'Données projet'!$A$114,$BV$205^A33,IF(A33='Données projet'!$A$114,'Données projet'!$B$114,BY32+BX33-CG32)))</f>
        <v>97.000000000000028</v>
      </c>
      <c r="BZ33" s="13">
        <f>BY33*VLOOKUP('Données projet'!$B$12,Paramètres!$A$1:$I$89,3,0)*VLOOKUP('Données projet'!$B$12,Paramètres!$A$1:$I$89,5,0)</f>
        <v>104.41080000000004</v>
      </c>
      <c r="CA33" s="13">
        <f t="shared" si="39"/>
        <v>28.010155571424168</v>
      </c>
      <c r="CB33" s="20">
        <f t="shared" si="10"/>
        <v>230.63316428689714</v>
      </c>
      <c r="CC33" s="59">
        <f t="shared" si="11"/>
        <v>523.96649762023048</v>
      </c>
      <c r="CD33" s="59">
        <f ca="1">AVERAGE(OFFSET($CC$3,0,0,'Données projet'!$E$12+1,1))-AVERAGE(OFFSET($H$3,0,0,'Données projet'!$E$12+1,1))</f>
        <v>324.61094137855798</v>
      </c>
      <c r="CE33" s="59">
        <f t="shared" si="40"/>
        <v>267.2998309535638</v>
      </c>
      <c r="CF33" s="15">
        <f>IF(ISNA(VLOOKUP(A33,'Données projet'!$A$113:$I$133,3,0)),0,VLOOKUP(A33,'Données projet'!$A$113:$I$133,3,0))</f>
        <v>3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311</v>
      </c>
      <c r="CR33" s="12">
        <f>VLOOKUP(A33,'Données projet'!$A$139:$I$159,9,0)</f>
        <v>24</v>
      </c>
      <c r="CS33" s="12">
        <f t="array" ref="CS33">INDEX(CR:CR,MIN(IF(ISNUMBER(CR33:CR229),ROW(CR33:CR229),"")))</f>
        <v>24</v>
      </c>
      <c r="CT33" s="12">
        <f>IF('Données projet'!$A$140&gt;35,CT32+CS33-DB32,IF(A33&lt;'Données projet'!$A$140,$CQ$205^A33,IF(A33='Données projet'!$A$140,'Données projet'!$B$140,CT32+CS33-DB32)))</f>
        <v>311.00000000000011</v>
      </c>
      <c r="CU33" s="17">
        <f>CT33*VLOOKUP('Données projet'!$B$13,Paramètres!$A$1:$I$89,3,0)*VLOOKUP('Données projet'!$B$13,Paramètres!$A$1:$I$89,5,0)</f>
        <v>185.97800000000009</v>
      </c>
      <c r="CV33" s="13">
        <f t="shared" si="41"/>
        <v>46.649641523668613</v>
      </c>
      <c r="CW33" s="20">
        <f t="shared" si="13"/>
        <v>405.15980898705629</v>
      </c>
      <c r="CX33" s="59">
        <f t="shared" si="14"/>
        <v>698.49314232038955</v>
      </c>
      <c r="CY33" s="59">
        <f ca="1">AVERAGE(OFFSET($CX$3,0,0,'Données projet'!$E$13+1,1))-AVERAGE(OFFSET($H$3,0,0,'Données projet'!$E$13+1,1))</f>
        <v>319.9010109022521</v>
      </c>
      <c r="CZ33" s="59">
        <f t="shared" si="42"/>
        <v>441.82647565372287</v>
      </c>
      <c r="DA33" s="15">
        <f>IF(ISNA(VLOOKUP(A33,'Données projet'!$A$139:$I$159,3,0)),0,VLOOKUP(A33,'Données projet'!$A$139:$I$159,3,0))</f>
        <v>4</v>
      </c>
      <c r="DB33" s="15">
        <f>IF(ISNA(VLOOKUP(A33,'Données projet'!$A$139:$I$159,4,0)),0,VLOOKUP(A33,'Données projet'!$A$139:$I$159,4,0))</f>
        <v>63</v>
      </c>
      <c r="DC33" s="16">
        <f>IF(ISNA(VLOOKUP(A33,'Données projet'!$A$139:$I$159,5,0)),0%,VLOOKUP(A33,'Données projet'!$A$139:$I$159,5,0)*VLOOKUP('Données projet'!$B$13,Paramètres!$A$1:$I$89,7,0))</f>
        <v>0.18000000000000002</v>
      </c>
      <c r="DD33" s="16">
        <f>IF(ISNA(VLOOKUP(A33,'Données projet'!$A$139:$I$159,6,0)),0%,VLOOKUP(A33,'Données projet'!$A$139:$I$159,6,0)*VLOOKUP('Données projet'!$B$13,Paramètres!$A$1:$I$89,7,0))</f>
        <v>0.15300000000000002</v>
      </c>
      <c r="DE33" s="16">
        <f>IF(ISNA(VLOOKUP(A33,'Données projet'!$A$139:$I$159,7,0)),0%,VLOOKUP(A33,'Données projet'!$A$139:$I$159,7,0))</f>
        <v>0.26</v>
      </c>
      <c r="DF33" s="21">
        <f>EXP(-LN(2)/35)*DF32+(1-EXP(-LN(2)/35))/(LN(2)/35)*DB33*DC33*VLOOKUP('Données projet'!$B$13,Paramètres!$A$1:$I$89,3,0)*0.475*44/12</f>
        <v>19.539144649974915</v>
      </c>
      <c r="DG33" s="21">
        <f>EXP(-LN(2)/25)*DG32+(1-EXP(-LN(2)/25))/(LN(2)/25)*Calculateur!DB33*Calculateur!DD33*VLOOKUP('Données projet'!$B$13,Paramètres!$A$1:$I$89,3,0)*0.475*44/12</f>
        <v>24.339379692296568</v>
      </c>
      <c r="DH33" s="21">
        <f>EXP(-LN(2)/2)*DH32+(1-EXP(-LN(2)/2))/(LN(2)/2)*DB33*DE33*VLOOKUP('Données projet'!$B$13,Paramètres!$A$1:$I$89,3,0)*0.475*44/12</f>
        <v>13.912928231460379</v>
      </c>
      <c r="DI33" s="22">
        <f t="shared" si="15"/>
        <v>57.79145257373186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210</v>
      </c>
      <c r="DM33" s="12">
        <f>VLOOKUP(A33,'Données projet'!$A$165:$I$185,9,0)</f>
        <v>11</v>
      </c>
      <c r="DN33" s="12">
        <f t="array" ref="DN33">INDEX(DM:DM,MIN(IF(ISNUMBER(DM33:DM229),ROW(DM33:DM229),"")))</f>
        <v>11</v>
      </c>
      <c r="DO33" s="12">
        <f>IF('Données projet'!$A$166&gt;35,DO32+DN33-DW32,IF(A33&lt;'Données projet'!$A$166,$DL$205^A33,IF(A33='Données projet'!$A$166,'Données projet'!$B$166,DO32+DN33-DW32)))</f>
        <v>210</v>
      </c>
      <c r="DP33" s="17">
        <f>DO33*VLOOKUP('Données projet'!$B$14,Paramètres!$A$1:$I$89,3,0)*VLOOKUP('Données projet'!$B$14,Paramètres!$A$1:$I$89,5,0)</f>
        <v>98.28</v>
      </c>
      <c r="DQ33" s="13">
        <f t="shared" si="43"/>
        <v>26.551818424463473</v>
      </c>
      <c r="DR33" s="20">
        <f t="shared" si="16"/>
        <v>217.41541708927389</v>
      </c>
      <c r="DS33" s="59">
        <f t="shared" si="17"/>
        <v>510.7487504226072</v>
      </c>
      <c r="DT33" s="59">
        <f ca="1">AVERAGE(OFFSET($DS$3,0,0,'Données projet'!$E$14+1,1))-AVERAGE(OFFSET($H$3,0,0,'Données projet'!$E$14+1,1))</f>
        <v>229.61973863654862</v>
      </c>
      <c r="DU33" s="59">
        <f t="shared" si="44"/>
        <v>254.08208375594052</v>
      </c>
      <c r="DV33" s="15">
        <f>IF(ISNA(VLOOKUP(A33,'Données projet'!$A$165:$I$185,3,0)),0,VLOOKUP(A33,'Données projet'!$A$165:$I$185,3,0))</f>
        <v>2</v>
      </c>
      <c r="DW33" s="15">
        <f>IF(ISNA(VLOOKUP(A33,'Données projet'!$A$165:$I$185,4,0)),0,VLOOKUP(A33,'Données projet'!$A$165:$I$185,4,0))</f>
        <v>50</v>
      </c>
      <c r="DX33" s="16">
        <f>IF(ISNA(VLOOKUP(A33,'Données projet'!$A$165:$I$185,5,0)),0%,VLOOKUP(A33,'Données projet'!$A$165:$I$185,5,0)*VLOOKUP('Données projet'!$B$14,Paramètres!$A$1:$I$89,7,0))</f>
        <v>0.11000000000000001</v>
      </c>
      <c r="DY33" s="16">
        <f>IF(ISNA(VLOOKUP(A33,'Données projet'!$A$165:$I$185,6,0)),0%,VLOOKUP(A33,'Données projet'!$A$165:$I$185,6,0)*VLOOKUP('Données projet'!$B$14,Paramètres!$A$1:$I$89,7,0))</f>
        <v>0.30800000000000005</v>
      </c>
      <c r="DZ33" s="16">
        <f>IF(ISNA(VLOOKUP(A33,'Données projet'!$A$165:$I$185,7,0)),0%,VLOOKUP(A33,'Données projet'!$A$165:$I$185,7,0))</f>
        <v>0.35</v>
      </c>
      <c r="EA33" s="21">
        <f>EXP(-LN(2)/35)*EA32+(1-EXP(-LN(2)/35))/(LN(2)/35)*DW33*DX33*VLOOKUP('Données projet'!$B$14,Paramètres!$A$1:$I$89,3,0)*0.475*44/12</f>
        <v>3.4145769083013771</v>
      </c>
      <c r="EB33" s="21">
        <f>EXP(-LN(2)/25)*EB32+(1-EXP(-LN(2)/25))/(LN(2)/25)*Calculateur!DW33*Calculateur!DY33*VLOOKUP('Données projet'!$B$14,Paramètres!$A$1:$I$89,3,0)*0.475*44/12</f>
        <v>15.296941851170409</v>
      </c>
      <c r="EC33" s="21">
        <f>EXP(-LN(2)/2)*EC32+(1-EXP(-LN(2)/2))/(LN(2)/2)*DW33*DZ33*VLOOKUP('Données projet'!$B$14,Paramètres!$A$1:$I$89,3,0)*0.475*44/12</f>
        <v>9.5644191101250673</v>
      </c>
      <c r="ED33" s="22">
        <f t="shared" si="18"/>
        <v>28.275937869596852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3.8</v>
      </c>
      <c r="N34" s="13">
        <f>IF('Données projet'!$A$36&gt;35,N33+M34-V33,IF(A34&lt;'Données projet'!$A$36,$K$205^A34,IF(A34='Données projet'!$A$36,'Données projet'!$B$36,N33+M34-V33)))</f>
        <v>100.80000000000003</v>
      </c>
      <c r="O34" s="13">
        <f>N34*VLOOKUP('Données projet'!$B$9,Paramètres!$A$1:$I$89,3,0)*VLOOKUP('Données projet'!$B$9,Paramètres!$A$1:$I$89,5,0)</f>
        <v>91.203840000000028</v>
      </c>
      <c r="P34" s="13">
        <f t="shared" si="33"/>
        <v>24.855337308022545</v>
      </c>
      <c r="Q34" s="20">
        <f t="shared" si="2"/>
        <v>202.13640047813931</v>
      </c>
      <c r="R34" s="59">
        <f t="shared" si="0"/>
        <v>495.46973381147262</v>
      </c>
      <c r="S34" s="59">
        <f ca="1">AVERAGE(OFFSET($R$3,0,0,'Données projet'!$E$9+1,1))-AVERAGE(OFFSET($H$3,0,0,'Données projet'!$E$9+1,1))</f>
        <v>373.59295497283125</v>
      </c>
      <c r="T34" s="59">
        <f t="shared" si="34"/>
        <v>231.36959598460686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3.8</v>
      </c>
      <c r="AI34" s="13">
        <f>IF('Données projet'!$A$62&gt;35,AI33+AH34-AQ33,IF(A34&lt;'Données projet'!$A$62,$AF$205^A34,IF(A34='Données projet'!$A$62,'Données projet'!$B$62,AI33+AH34-AQ33)))</f>
        <v>100.80000000000003</v>
      </c>
      <c r="AJ34" s="13">
        <f>AI34*VLOOKUP('Données projet'!$B$10,Paramètres!$A$1:$I$89,3,0)*VLOOKUP('Données projet'!$B$10,Paramètres!$A$1:$I$89,5,0)</f>
        <v>102.21120000000005</v>
      </c>
      <c r="AK34" s="13">
        <f t="shared" si="35"/>
        <v>27.488113037666043</v>
      </c>
      <c r="AL34" s="20">
        <f t="shared" si="4"/>
        <v>225.89297020726841</v>
      </c>
      <c r="AM34" s="59">
        <f t="shared" si="5"/>
        <v>519.22630354060175</v>
      </c>
      <c r="AN34" s="59">
        <f ca="1">AVERAGE(OFFSET($AM$3,0,0,'Données projet'!$E$10+1,1))-AVERAGE(OFFSET($H$3,0,0,'Données projet'!$E$10+1,1))</f>
        <v>413.81510455446738</v>
      </c>
      <c r="AO34" s="59">
        <f t="shared" si="36"/>
        <v>254.25036207346602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3.8</v>
      </c>
      <c r="BD34" s="12">
        <f>IF('Données projet'!$A$88&gt;35,BD33+BC34-BL33,IF(A34&lt;'Données projet'!$A$88,$BA$205^A34,IF(A34='Données projet'!$A$88,'Données projet'!$B$88,BD33+BC34-BL33)))</f>
        <v>100.80000000000003</v>
      </c>
      <c r="BE34" s="13">
        <f>BD34*VLOOKUP('Données projet'!$B$11,Paramètres!$A$1:$I$89,3,0)*VLOOKUP('Données projet'!$B$11,Paramètres!$A$1:$I$89,5,0)</f>
        <v>97.493760000000023</v>
      </c>
      <c r="BF34" s="13">
        <f t="shared" si="37"/>
        <v>26.364041280888873</v>
      </c>
      <c r="BG34" s="20">
        <f t="shared" si="7"/>
        <v>215.71900389754816</v>
      </c>
      <c r="BH34" s="59">
        <f t="shared" si="8"/>
        <v>509.05233723088145</v>
      </c>
      <c r="BI34" s="59">
        <f ca="1">AVERAGE(OFFSET($BH$3,0,0,'Données projet'!$E$11+1,1))-AVERAGE(OFFSET($H$3,0,0,'Données projet'!$E$11+1,1))</f>
        <v>295.35565287134125</v>
      </c>
      <c r="BJ34" s="59">
        <f t="shared" si="38"/>
        <v>244.451492444461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3.8</v>
      </c>
      <c r="BY34" s="12">
        <f>IF('Données projet'!$A$114&gt;35,BY33+BX34-CG33,IF(A34&lt;'Données projet'!$A$114,$BV$205^A34,IF(A34='Données projet'!$A$114,'Données projet'!$B$114,BY33+BX34-CG33)))</f>
        <v>100.80000000000003</v>
      </c>
      <c r="BZ34" s="13">
        <f>BY34*VLOOKUP('Données projet'!$B$12,Paramètres!$A$1:$I$89,3,0)*VLOOKUP('Données projet'!$B$12,Paramètres!$A$1:$I$89,5,0)</f>
        <v>108.50112000000001</v>
      </c>
      <c r="CA34" s="13">
        <f t="shared" si="39"/>
        <v>28.977555261594119</v>
      </c>
      <c r="CB34" s="20">
        <f t="shared" si="10"/>
        <v>239.44202608060974</v>
      </c>
      <c r="CC34" s="59">
        <f t="shared" si="11"/>
        <v>532.77535941394308</v>
      </c>
      <c r="CD34" s="59">
        <f ca="1">AVERAGE(OFFSET($CC$3,0,0,'Données projet'!$E$12+1,1))-AVERAGE(OFFSET($H$3,0,0,'Données projet'!$E$12+1,1))</f>
        <v>324.61094137855798</v>
      </c>
      <c r="CE34" s="59">
        <f t="shared" si="40"/>
        <v>267.2998309535638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24.2</v>
      </c>
      <c r="CT34" s="12">
        <f>IF('Données projet'!$A$140&gt;35,CT33+CS34-DB33,IF(A34&lt;'Données projet'!$A$140,$CQ$205^A34,IF(A34='Données projet'!$A$140,'Données projet'!$B$140,CT33+CS34-DB33)))</f>
        <v>272.2000000000001</v>
      </c>
      <c r="CU34" s="17">
        <f>CT34*VLOOKUP('Données projet'!$B$13,Paramètres!$A$1:$I$89,3,0)*VLOOKUP('Données projet'!$B$13,Paramètres!$A$1:$I$89,5,0)</f>
        <v>162.77560000000005</v>
      </c>
      <c r="CV34" s="13">
        <f t="shared" si="41"/>
        <v>41.467931707956311</v>
      </c>
      <c r="CW34" s="20">
        <f t="shared" si="13"/>
        <v>355.72415105802401</v>
      </c>
      <c r="CX34" s="59">
        <f t="shared" si="14"/>
        <v>649.05748439135732</v>
      </c>
      <c r="CY34" s="59">
        <f ca="1">AVERAGE(OFFSET($CX$3,0,0,'Données projet'!$E$13+1,1))-AVERAGE(OFFSET($H$3,0,0,'Données projet'!$E$13+1,1))</f>
        <v>319.9010109022521</v>
      </c>
      <c r="CZ34" s="59">
        <f t="shared" si="42"/>
        <v>441.82647565372287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19.155993941090369</v>
      </c>
      <c r="DG34" s="21">
        <f>EXP(-LN(2)/25)*DG33+(1-EXP(-LN(2)/25))/(LN(2)/25)*Calculateur!DB34*Calculateur!DD34*VLOOKUP('Données projet'!$B$13,Paramètres!$A$1:$I$89,3,0)*0.475*44/12</f>
        <v>23.673818074658367</v>
      </c>
      <c r="DH34" s="21">
        <f>EXP(-LN(2)/2)*DH33+(1-EXP(-LN(2)/2))/(LN(2)/2)*DB34*DE34*VLOOKUP('Données projet'!$B$13,Paramètres!$A$1:$I$89,3,0)*0.475*44/12</f>
        <v>9.837925898627395</v>
      </c>
      <c r="DI34" s="22">
        <f t="shared" si="15"/>
        <v>52.667737914376133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14</v>
      </c>
      <c r="DO34" s="12">
        <f>IF('Données projet'!$A$166&gt;35,DO33+DN34-DW33,IF(A34&lt;'Données projet'!$A$166,$DL$205^A34,IF(A34='Données projet'!$A$166,'Données projet'!$B$166,DO33+DN34-DW33)))</f>
        <v>174</v>
      </c>
      <c r="DP34" s="17">
        <f>DO34*VLOOKUP('Données projet'!$B$14,Paramètres!$A$1:$I$89,3,0)*VLOOKUP('Données projet'!$B$14,Paramètres!$A$1:$I$89,5,0)</f>
        <v>81.432000000000002</v>
      </c>
      <c r="DQ34" s="13">
        <f t="shared" si="43"/>
        <v>22.486953220240881</v>
      </c>
      <c r="DR34" s="20">
        <f t="shared" si="16"/>
        <v>180.99217685858619</v>
      </c>
      <c r="DS34" s="59">
        <f t="shared" si="17"/>
        <v>474.32551019191953</v>
      </c>
      <c r="DT34" s="59">
        <f ca="1">AVERAGE(OFFSET($DS$3,0,0,'Données projet'!$E$14+1,1))-AVERAGE(OFFSET($H$3,0,0,'Données projet'!$E$14+1,1))</f>
        <v>229.61973863654862</v>
      </c>
      <c r="DU34" s="59">
        <f t="shared" si="44"/>
        <v>254.08208375594052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3.3476191378158529</v>
      </c>
      <c r="EB34" s="21">
        <f>EXP(-LN(2)/25)*EB33+(1-EXP(-LN(2)/25))/(LN(2)/25)*Calculateur!DW34*Calculateur!DY34*VLOOKUP('Données projet'!$B$14,Paramètres!$A$1:$I$89,3,0)*0.475*44/12</f>
        <v>14.878646171818945</v>
      </c>
      <c r="EC34" s="21">
        <f>EXP(-LN(2)/2)*EC33+(1-EXP(-LN(2)/2))/(LN(2)/2)*DW34*DZ34*VLOOKUP('Données projet'!$B$14,Paramètres!$A$1:$I$89,3,0)*0.475*44/12</f>
        <v>6.7630656108796403</v>
      </c>
      <c r="ED34" s="22">
        <f t="shared" si="18"/>
        <v>24.989330920514437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3.8</v>
      </c>
      <c r="N35" s="13">
        <f>IF('Données projet'!$A$36&gt;35,N34+M35-V34,IF(A35&lt;'Données projet'!$A$36,$K$205^A35,IF(A35='Données projet'!$A$36,'Données projet'!$B$36,N34+M35-V34)))</f>
        <v>104.60000000000002</v>
      </c>
      <c r="O35" s="13">
        <f>N35*VLOOKUP('Données projet'!$B$9,Paramètres!$A$1:$I$89,3,0)*VLOOKUP('Données projet'!$B$9,Paramètres!$A$1:$I$89,5,0)</f>
        <v>94.642080000000007</v>
      </c>
      <c r="P35" s="13">
        <f t="shared" si="33"/>
        <v>25.68148493360578</v>
      </c>
      <c r="Q35" s="20">
        <f t="shared" ref="Q35:Q66" si="53">(O35+P35)*0.475*44/12</f>
        <v>209.5635422593634</v>
      </c>
      <c r="R35" s="59">
        <f t="shared" si="0"/>
        <v>502.89687559269669</v>
      </c>
      <c r="S35" s="59">
        <f ca="1">AVERAGE(OFFSET($R$3,0,0,'Données projet'!$E$9+1,1))-AVERAGE(OFFSET($H$3,0,0,'Données projet'!$E$9+1,1))</f>
        <v>373.59295497283125</v>
      </c>
      <c r="T35" s="59">
        <f t="shared" si="34"/>
        <v>231.36959598460686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3.8</v>
      </c>
      <c r="AI35" s="13">
        <f>IF('Données projet'!$A$62&gt;35,AI34+AH35-AQ34,IF(A35&lt;'Données projet'!$A$62,$AF$205^A35,IF(A35='Données projet'!$A$62,'Données projet'!$B$62,AI34+AH35-AQ34)))</f>
        <v>104.60000000000002</v>
      </c>
      <c r="AJ35" s="13">
        <f>AI35*VLOOKUP('Données projet'!$B$10,Paramètres!$A$1:$I$89,3,0)*VLOOKUP('Données projet'!$B$10,Paramètres!$A$1:$I$89,5,0)</f>
        <v>106.06440000000003</v>
      </c>
      <c r="AK35" s="13">
        <f t="shared" si="35"/>
        <v>28.401769490459468</v>
      </c>
      <c r="AL35" s="20">
        <f t="shared" si="4"/>
        <v>234.19524519588359</v>
      </c>
      <c r="AM35" s="59">
        <f t="shared" si="5"/>
        <v>527.52857852921693</v>
      </c>
      <c r="AN35" s="59">
        <f ca="1">AVERAGE(OFFSET($AM$3,0,0,'Données projet'!$E$10+1,1))-AVERAGE(OFFSET($H$3,0,0,'Données projet'!$E$10+1,1))</f>
        <v>413.81510455446738</v>
      </c>
      <c r="AO35" s="59">
        <f t="shared" si="36"/>
        <v>254.25036207346602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3.8</v>
      </c>
      <c r="BD35" s="12">
        <f>IF('Données projet'!$A$88&gt;35,BD34+BC35-BL34,IF(A35&lt;'Données projet'!$A$88,$BA$205^A35,IF(A35='Données projet'!$A$88,'Données projet'!$B$88,BD34+BC35-BL34)))</f>
        <v>104.60000000000002</v>
      </c>
      <c r="BE35" s="13">
        <f>BD35*VLOOKUP('Données projet'!$B$11,Paramètres!$A$1:$I$89,3,0)*VLOOKUP('Données projet'!$B$11,Paramètres!$A$1:$I$89,5,0)</f>
        <v>101.16912000000004</v>
      </c>
      <c r="BF35" s="13">
        <f t="shared" si="37"/>
        <v>27.240335568713935</v>
      </c>
      <c r="BG35" s="20">
        <f t="shared" si="7"/>
        <v>223.64646844884351</v>
      </c>
      <c r="BH35" s="59">
        <f t="shared" si="8"/>
        <v>516.97980178217676</v>
      </c>
      <c r="BI35" s="59">
        <f ca="1">AVERAGE(OFFSET($BH$3,0,0,'Données projet'!$E$11+1,1))-AVERAGE(OFFSET($H$3,0,0,'Données projet'!$E$11+1,1))</f>
        <v>295.35565287134125</v>
      </c>
      <c r="BJ35" s="59">
        <f t="shared" si="38"/>
        <v>244.451492444461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3.8</v>
      </c>
      <c r="BY35" s="12">
        <f>IF('Données projet'!$A$114&gt;35,BY34+BX35-CG34,IF(A35&lt;'Données projet'!$A$114,$BV$205^A35,IF(A35='Données projet'!$A$114,'Données projet'!$B$114,BY34+BX35-CG34)))</f>
        <v>104.60000000000002</v>
      </c>
      <c r="BZ35" s="13">
        <f>BY35*VLOOKUP('Données projet'!$B$12,Paramètres!$A$1:$I$89,3,0)*VLOOKUP('Données projet'!$B$12,Paramètres!$A$1:$I$89,5,0)</f>
        <v>112.59144000000002</v>
      </c>
      <c r="CA35" s="13">
        <f t="shared" si="39"/>
        <v>29.940718150027202</v>
      </c>
      <c r="CB35" s="20">
        <f t="shared" si="10"/>
        <v>248.24350877796402</v>
      </c>
      <c r="CC35" s="59">
        <f t="shared" si="11"/>
        <v>541.57684211129731</v>
      </c>
      <c r="CD35" s="59">
        <f ca="1">AVERAGE(OFFSET($CC$3,0,0,'Données projet'!$E$12+1,1))-AVERAGE(OFFSET($H$3,0,0,'Données projet'!$E$12+1,1))</f>
        <v>324.61094137855798</v>
      </c>
      <c r="CE35" s="59">
        <f t="shared" si="40"/>
        <v>267.2998309535638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24.2</v>
      </c>
      <c r="CT35" s="12">
        <f>IF('Données projet'!$A$140&gt;35,CT34+CS35-DB34,IF(A35&lt;'Données projet'!$A$140,$CQ$205^A35,IF(A35='Données projet'!$A$140,'Données projet'!$B$140,CT34+CS35-DB34)))</f>
        <v>296.40000000000009</v>
      </c>
      <c r="CU35" s="17">
        <f>CT35*VLOOKUP('Données projet'!$B$13,Paramètres!$A$1:$I$89,3,0)*VLOOKUP('Données projet'!$B$13,Paramètres!$A$1:$I$89,5,0)</f>
        <v>177.24720000000008</v>
      </c>
      <c r="CV35" s="13">
        <f t="shared" si="41"/>
        <v>44.709190633994517</v>
      </c>
      <c r="CW35" s="20">
        <f t="shared" si="13"/>
        <v>386.57404702087388</v>
      </c>
      <c r="CX35" s="59">
        <f t="shared" si="14"/>
        <v>679.90738035420713</v>
      </c>
      <c r="CY35" s="59">
        <f ca="1">AVERAGE(OFFSET($CX$3,0,0,'Données projet'!$E$13+1,1))-AVERAGE(OFFSET($H$3,0,0,'Données projet'!$E$13+1,1))</f>
        <v>319.9010109022521</v>
      </c>
      <c r="CZ35" s="59">
        <f t="shared" si="42"/>
        <v>441.82647565372287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18.780356583908191</v>
      </c>
      <c r="DG35" s="21">
        <f>EXP(-LN(2)/25)*DG34+(1-EXP(-LN(2)/25))/(LN(2)/25)*Calculateur!DB35*Calculateur!DD35*VLOOKUP('Données projet'!$B$13,Paramètres!$A$1:$I$89,3,0)*0.475*44/12</f>
        <v>23.026456274454848</v>
      </c>
      <c r="DH35" s="21">
        <f>EXP(-LN(2)/2)*DH34+(1-EXP(-LN(2)/2))/(LN(2)/2)*DB35*DE35*VLOOKUP('Données projet'!$B$13,Paramètres!$A$1:$I$89,3,0)*0.475*44/12</f>
        <v>6.9564641157301912</v>
      </c>
      <c r="DI35" s="22">
        <f t="shared" si="15"/>
        <v>48.76327697409323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14</v>
      </c>
      <c r="DO35" s="12">
        <f>IF('Données projet'!$A$166&gt;35,DO34+DN35-DW34,IF(A35&lt;'Données projet'!$A$166,$DL$205^A35,IF(A35='Données projet'!$A$166,'Données projet'!$B$166,DO34+DN35-DW34)))</f>
        <v>188</v>
      </c>
      <c r="DP35" s="17">
        <f>DO35*VLOOKUP('Données projet'!$B$14,Paramètres!$A$1:$I$89,3,0)*VLOOKUP('Données projet'!$B$14,Paramètres!$A$1:$I$89,5,0)</f>
        <v>87.983999999999995</v>
      </c>
      <c r="DQ35" s="13">
        <f t="shared" si="43"/>
        <v>24.078375128721785</v>
      </c>
      <c r="DR35" s="20">
        <f t="shared" si="16"/>
        <v>195.17530334919044</v>
      </c>
      <c r="DS35" s="59">
        <f t="shared" si="17"/>
        <v>488.50863668252373</v>
      </c>
      <c r="DT35" s="59">
        <f ca="1">AVERAGE(OFFSET($DS$3,0,0,'Données projet'!$E$14+1,1))-AVERAGE(OFFSET($H$3,0,0,'Données projet'!$E$14+1,1))</f>
        <v>229.61973863654862</v>
      </c>
      <c r="DU35" s="59">
        <f t="shared" si="44"/>
        <v>254.08208375594052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3.2819743683693425</v>
      </c>
      <c r="EB35" s="21">
        <f>EXP(-LN(2)/25)*EB34+(1-EXP(-LN(2)/25))/(LN(2)/25)*Calculateur!DW35*Calculateur!DY35*VLOOKUP('Données projet'!$B$14,Paramètres!$A$1:$I$89,3,0)*0.475*44/12</f>
        <v>14.471788809816559</v>
      </c>
      <c r="EC35" s="21">
        <f>EXP(-LN(2)/2)*EC34+(1-EXP(-LN(2)/2))/(LN(2)/2)*DW35*DZ35*VLOOKUP('Données projet'!$B$14,Paramètres!$A$1:$I$89,3,0)*0.475*44/12</f>
        <v>4.7822095550625345</v>
      </c>
      <c r="ED35" s="22">
        <f t="shared" si="18"/>
        <v>22.535972733248435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3.8</v>
      </c>
      <c r="N36" s="13">
        <f>IF('Données projet'!$A$36&gt;35,N35+M36-V35,IF(A36&lt;'Données projet'!$A$36,$K$205^A36,IF(A36='Données projet'!$A$36,'Données projet'!$B$36,N35+M36-V35)))</f>
        <v>108.40000000000002</v>
      </c>
      <c r="O36" s="13">
        <f>N36*VLOOKUP('Données projet'!$B$9,Paramètres!$A$1:$I$89,3,0)*VLOOKUP('Données projet'!$B$9,Paramètres!$A$1:$I$89,5,0)</f>
        <v>98.080320000000015</v>
      </c>
      <c r="P36" s="13">
        <f t="shared" si="33"/>
        <v>26.504145610568084</v>
      </c>
      <c r="Q36" s="20">
        <f t="shared" si="53"/>
        <v>216.98461093840606</v>
      </c>
      <c r="R36" s="59">
        <f t="shared" si="0"/>
        <v>510.31794427173941</v>
      </c>
      <c r="S36" s="59">
        <f ca="1">AVERAGE(OFFSET($R$3,0,0,'Données projet'!$E$9+1,1))-AVERAGE(OFFSET($H$3,0,0,'Données projet'!$E$9+1,1))</f>
        <v>373.59295497283125</v>
      </c>
      <c r="T36" s="59">
        <f t="shared" si="34"/>
        <v>231.36959598460686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3.8</v>
      </c>
      <c r="AI36" s="13">
        <f>IF('Données projet'!$A$62&gt;35,AI35+AH36-AQ35,IF(A36&lt;'Données projet'!$A$62,$AF$205^A36,IF(A36='Données projet'!$A$62,'Données projet'!$B$62,AI35+AH36-AQ35)))</f>
        <v>108.40000000000002</v>
      </c>
      <c r="AJ36" s="13">
        <f>AI36*VLOOKUP('Données projet'!$B$10,Paramètres!$A$1:$I$89,3,0)*VLOOKUP('Données projet'!$B$10,Paramètres!$A$1:$I$89,5,0)</f>
        <v>109.91760000000004</v>
      </c>
      <c r="AK36" s="13">
        <f t="shared" si="35"/>
        <v>29.311569643229223</v>
      </c>
      <c r="AL36" s="20">
        <f t="shared" si="4"/>
        <v>242.49080379529093</v>
      </c>
      <c r="AM36" s="59">
        <f t="shared" si="5"/>
        <v>535.82413712862422</v>
      </c>
      <c r="AN36" s="59">
        <f ca="1">AVERAGE(OFFSET($AM$3,0,0,'Données projet'!$E$10+1,1))-AVERAGE(OFFSET($H$3,0,0,'Données projet'!$E$10+1,1))</f>
        <v>413.81510455446738</v>
      </c>
      <c r="AO36" s="59">
        <f t="shared" si="36"/>
        <v>254.25036207346602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3.8</v>
      </c>
      <c r="BD36" s="12">
        <f>IF('Données projet'!$A$88&gt;35,BD35+BC36-BL35,IF(A36&lt;'Données projet'!$A$88,$BA$205^A36,IF(A36='Données projet'!$A$88,'Données projet'!$B$88,BD35+BC36-BL35)))</f>
        <v>108.40000000000002</v>
      </c>
      <c r="BE36" s="13">
        <f>BD36*VLOOKUP('Données projet'!$B$11,Paramètres!$A$1:$I$89,3,0)*VLOOKUP('Données projet'!$B$11,Paramètres!$A$1:$I$89,5,0)</f>
        <v>104.84448000000002</v>
      </c>
      <c r="BF36" s="13">
        <f t="shared" si="37"/>
        <v>28.112931252241342</v>
      </c>
      <c r="BG36" s="20">
        <f t="shared" si="7"/>
        <v>231.56749126432041</v>
      </c>
      <c r="BH36" s="59">
        <f t="shared" si="8"/>
        <v>524.9008245976537</v>
      </c>
      <c r="BI36" s="59">
        <f ca="1">AVERAGE(OFFSET($BH$3,0,0,'Données projet'!$E$11+1,1))-AVERAGE(OFFSET($H$3,0,0,'Données projet'!$E$11+1,1))</f>
        <v>295.35565287134125</v>
      </c>
      <c r="BJ36" s="59">
        <f t="shared" si="38"/>
        <v>244.451492444461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3.8</v>
      </c>
      <c r="BY36" s="12">
        <f>IF('Données projet'!$A$114&gt;35,BY35+BX36-CG35,IF(A36&lt;'Données projet'!$A$114,$BV$205^A36,IF(A36='Données projet'!$A$114,'Données projet'!$B$114,BY35+BX36-CG35)))</f>
        <v>108.40000000000002</v>
      </c>
      <c r="BZ36" s="13">
        <f>BY36*VLOOKUP('Données projet'!$B$12,Paramètres!$A$1:$I$89,3,0)*VLOOKUP('Données projet'!$B$12,Paramètres!$A$1:$I$89,5,0)</f>
        <v>116.68176000000001</v>
      </c>
      <c r="CA36" s="13">
        <f t="shared" si="39"/>
        <v>30.89981578498552</v>
      </c>
      <c r="CB36" s="20">
        <f t="shared" si="10"/>
        <v>257.03791115884979</v>
      </c>
      <c r="CC36" s="59">
        <f t="shared" si="11"/>
        <v>550.37124449218311</v>
      </c>
      <c r="CD36" s="59">
        <f ca="1">AVERAGE(OFFSET($CC$3,0,0,'Données projet'!$E$12+1,1))-AVERAGE(OFFSET($H$3,0,0,'Données projet'!$E$12+1,1))</f>
        <v>324.61094137855798</v>
      </c>
      <c r="CE36" s="59">
        <f t="shared" si="40"/>
        <v>267.2998309535638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24.2</v>
      </c>
      <c r="CT36" s="12">
        <f>IF('Données projet'!$A$140&gt;35,CT35+CS36-DB35,IF(A36&lt;'Données projet'!$A$140,$CQ$205^A36,IF(A36='Données projet'!$A$140,'Données projet'!$B$140,CT35+CS36-DB35)))</f>
        <v>320.60000000000008</v>
      </c>
      <c r="CU36" s="17">
        <f>CT36*VLOOKUP('Données projet'!$B$13,Paramètres!$A$1:$I$89,3,0)*VLOOKUP('Données projet'!$B$13,Paramètres!$A$1:$I$89,5,0)</f>
        <v>191.71880000000007</v>
      </c>
      <c r="CV36" s="13">
        <f t="shared" si="41"/>
        <v>47.919755728134994</v>
      </c>
      <c r="CW36" s="20">
        <f t="shared" si="13"/>
        <v>417.37048455983518</v>
      </c>
      <c r="CX36" s="59">
        <f t="shared" si="14"/>
        <v>710.70381789316843</v>
      </c>
      <c r="CY36" s="59">
        <f ca="1">AVERAGE(OFFSET($CX$3,0,0,'Données projet'!$E$13+1,1))-AVERAGE(OFFSET($H$3,0,0,'Données projet'!$E$13+1,1))</f>
        <v>319.9010109022521</v>
      </c>
      <c r="CZ36" s="59">
        <f t="shared" si="42"/>
        <v>441.82647565372287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18.412085246184191</v>
      </c>
      <c r="DG36" s="21">
        <f>EXP(-LN(2)/25)*DG35+(1-EXP(-LN(2)/25))/(LN(2)/25)*Calculateur!DB36*Calculateur!DD36*VLOOKUP('Données projet'!$B$13,Paramètres!$A$1:$I$89,3,0)*0.475*44/12</f>
        <v>22.396796616721172</v>
      </c>
      <c r="DH36" s="21">
        <f>EXP(-LN(2)/2)*DH35+(1-EXP(-LN(2)/2))/(LN(2)/2)*DB36*DE36*VLOOKUP('Données projet'!$B$13,Paramètres!$A$1:$I$89,3,0)*0.475*44/12</f>
        <v>4.9189629493136984</v>
      </c>
      <c r="DI36" s="22">
        <f t="shared" si="15"/>
        <v>45.727844812219061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14</v>
      </c>
      <c r="DO36" s="12">
        <f>IF('Données projet'!$A$166&gt;35,DO35+DN36-DW35,IF(A36&lt;'Données projet'!$A$166,$DL$205^A36,IF(A36='Données projet'!$A$166,'Données projet'!$B$166,DO35+DN36-DW35)))</f>
        <v>202</v>
      </c>
      <c r="DP36" s="17">
        <f>DO36*VLOOKUP('Données projet'!$B$14,Paramètres!$A$1:$I$89,3,0)*VLOOKUP('Données projet'!$B$14,Paramètres!$A$1:$I$89,5,0)</f>
        <v>94.536000000000001</v>
      </c>
      <c r="DQ36" s="13">
        <f t="shared" si="43"/>
        <v>25.656048664271697</v>
      </c>
      <c r="DR36" s="20">
        <f t="shared" si="16"/>
        <v>209.33448475693987</v>
      </c>
      <c r="DS36" s="59">
        <f t="shared" si="17"/>
        <v>502.66781809027316</v>
      </c>
      <c r="DT36" s="59">
        <f ca="1">AVERAGE(OFFSET($DS$3,0,0,'Données projet'!$E$14+1,1))-AVERAGE(OFFSET($H$3,0,0,'Données projet'!$E$14+1,1))</f>
        <v>229.61973863654862</v>
      </c>
      <c r="DU36" s="59">
        <f t="shared" si="44"/>
        <v>254.08208375594052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3.2176168528123226</v>
      </c>
      <c r="EB36" s="21">
        <f>EXP(-LN(2)/25)*EB35+(1-EXP(-LN(2)/25))/(LN(2)/25)*Calculateur!DW36*Calculateur!DY36*VLOOKUP('Données projet'!$B$14,Paramètres!$A$1:$I$89,3,0)*0.475*44/12</f>
        <v>14.076056983773828</v>
      </c>
      <c r="EC36" s="21">
        <f>EXP(-LN(2)/2)*EC35+(1-EXP(-LN(2)/2))/(LN(2)/2)*DW36*DZ36*VLOOKUP('Données projet'!$B$14,Paramètres!$A$1:$I$89,3,0)*0.475*44/12</f>
        <v>3.3815328054398206</v>
      </c>
      <c r="ED36" s="22">
        <f t="shared" si="18"/>
        <v>20.675206642025973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3.8</v>
      </c>
      <c r="N37" s="13">
        <f>IF('Données projet'!$A$36&gt;35,N36+M37-V36,IF(A37&lt;'Données projet'!$A$36,$K$205^A37,IF(A37='Données projet'!$A$36,'Données projet'!$B$36,N36+M37-V36)))</f>
        <v>112.20000000000002</v>
      </c>
      <c r="O37" s="13">
        <f>N37*VLOOKUP('Données projet'!$B$9,Paramètres!$A$1:$I$89,3,0)*VLOOKUP('Données projet'!$B$9,Paramètres!$A$1:$I$89,5,0)</f>
        <v>101.51856000000002</v>
      </c>
      <c r="P37" s="13">
        <f t="shared" si="33"/>
        <v>27.323455582096614</v>
      </c>
      <c r="Q37" s="20">
        <f t="shared" si="53"/>
        <v>224.39984380548495</v>
      </c>
      <c r="R37" s="59">
        <f t="shared" si="0"/>
        <v>517.73317713881829</v>
      </c>
      <c r="S37" s="59">
        <f ca="1">AVERAGE(OFFSET($R$3,0,0,'Données projet'!$E$9+1,1))-AVERAGE(OFFSET($H$3,0,0,'Données projet'!$E$9+1,1))</f>
        <v>373.59295497283125</v>
      </c>
      <c r="T37" s="59">
        <f t="shared" si="34"/>
        <v>231.36959598460686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3.8</v>
      </c>
      <c r="AI37" s="13">
        <f>IF('Données projet'!$A$62&gt;35,AI36+AH37-AQ36,IF(A37&lt;'Données projet'!$A$62,$AF$205^A37,IF(A37='Données projet'!$A$62,'Données projet'!$B$62,AI36+AH37-AQ36)))</f>
        <v>112.20000000000002</v>
      </c>
      <c r="AJ37" s="13">
        <f>AI37*VLOOKUP('Données projet'!$B$10,Paramètres!$A$1:$I$89,3,0)*VLOOKUP('Données projet'!$B$10,Paramètres!$A$1:$I$89,5,0)</f>
        <v>113.77080000000001</v>
      </c>
      <c r="AK37" s="13">
        <f t="shared" si="35"/>
        <v>30.217664170580228</v>
      </c>
      <c r="AL37" s="20">
        <f t="shared" si="4"/>
        <v>250.77990843042721</v>
      </c>
      <c r="AM37" s="59">
        <f t="shared" si="5"/>
        <v>544.11324176376047</v>
      </c>
      <c r="AN37" s="59">
        <f ca="1">AVERAGE(OFFSET($AM$3,0,0,'Données projet'!$E$10+1,1))-AVERAGE(OFFSET($H$3,0,0,'Données projet'!$E$10+1,1))</f>
        <v>413.81510455446738</v>
      </c>
      <c r="AO37" s="59">
        <f t="shared" si="36"/>
        <v>254.25036207346602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3.8</v>
      </c>
      <c r="BD37" s="12">
        <f>IF('Données projet'!$A$88&gt;35,BD36+BC37-BL36,IF(A37&lt;'Données projet'!$A$88,$BA$205^A37,IF(A37='Données projet'!$A$88,'Données projet'!$B$88,BD36+BC37-BL36)))</f>
        <v>112.20000000000002</v>
      </c>
      <c r="BE37" s="13">
        <f>BD37*VLOOKUP('Données projet'!$B$11,Paramètres!$A$1:$I$89,3,0)*VLOOKUP('Données projet'!$B$11,Paramètres!$A$1:$I$89,5,0)</f>
        <v>108.51984000000002</v>
      </c>
      <c r="BF37" s="13">
        <f t="shared" si="37"/>
        <v>28.981972844537498</v>
      </c>
      <c r="BG37" s="20">
        <f t="shared" si="7"/>
        <v>239.48232403756947</v>
      </c>
      <c r="BH37" s="59">
        <f t="shared" si="8"/>
        <v>532.81565737090273</v>
      </c>
      <c r="BI37" s="59">
        <f ca="1">AVERAGE(OFFSET($BH$3,0,0,'Données projet'!$E$11+1,1))-AVERAGE(OFFSET($H$3,0,0,'Données projet'!$E$11+1,1))</f>
        <v>295.35565287134125</v>
      </c>
      <c r="BJ37" s="59">
        <f t="shared" si="38"/>
        <v>244.451492444461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3.8</v>
      </c>
      <c r="BY37" s="12">
        <f>IF('Données projet'!$A$114&gt;35,BY36+BX37-CG36,IF(A37&lt;'Données projet'!$A$114,$BV$205^A37,IF(A37='Données projet'!$A$114,'Données projet'!$B$114,BY36+BX37-CG36)))</f>
        <v>112.20000000000002</v>
      </c>
      <c r="BZ37" s="13">
        <f>BY37*VLOOKUP('Données projet'!$B$12,Paramètres!$A$1:$I$89,3,0)*VLOOKUP('Données projet'!$B$12,Paramètres!$A$1:$I$89,5,0)</f>
        <v>120.77208000000002</v>
      </c>
      <c r="CA37" s="13">
        <f t="shared" si="39"/>
        <v>31.855007005370982</v>
      </c>
      <c r="CB37" s="20">
        <f t="shared" si="10"/>
        <v>265.8255098676878</v>
      </c>
      <c r="CC37" s="59">
        <f t="shared" si="11"/>
        <v>559.15884320102111</v>
      </c>
      <c r="CD37" s="59">
        <f ca="1">AVERAGE(OFFSET($CC$3,0,0,'Données projet'!$E$12+1,1))-AVERAGE(OFFSET($H$3,0,0,'Données projet'!$E$12+1,1))</f>
        <v>324.61094137855798</v>
      </c>
      <c r="CE37" s="59">
        <f t="shared" si="40"/>
        <v>267.2998309535638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24.2</v>
      </c>
      <c r="CT37" s="12">
        <f>IF('Données projet'!$A$140&gt;35,CT36+CS37-DB36,IF(A37&lt;'Données projet'!$A$140,$CQ$205^A37,IF(A37='Données projet'!$A$140,'Données projet'!$B$140,CT36+CS37-DB36)))</f>
        <v>344.80000000000007</v>
      </c>
      <c r="CU37" s="17">
        <f>CT37*VLOOKUP('Données projet'!$B$13,Paramètres!$A$1:$I$89,3,0)*VLOOKUP('Données projet'!$B$13,Paramètres!$A$1:$I$89,5,0)</f>
        <v>206.19040000000004</v>
      </c>
      <c r="CV37" s="13">
        <f t="shared" si="41"/>
        <v>51.102207309460546</v>
      </c>
      <c r="CW37" s="20">
        <f t="shared" si="13"/>
        <v>448.11795773064387</v>
      </c>
      <c r="CX37" s="59">
        <f t="shared" si="14"/>
        <v>741.45129106397712</v>
      </c>
      <c r="CY37" s="59">
        <f ca="1">AVERAGE(OFFSET($CX$3,0,0,'Données projet'!$E$13+1,1))-AVERAGE(OFFSET($H$3,0,0,'Données projet'!$E$13+1,1))</f>
        <v>319.9010109022521</v>
      </c>
      <c r="CZ37" s="59">
        <f t="shared" si="42"/>
        <v>441.82647565372287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18.051035484769624</v>
      </c>
      <c r="DG37" s="21">
        <f>EXP(-LN(2)/25)*DG36+(1-EXP(-LN(2)/25))/(LN(2)/25)*Calculateur!DB37*Calculateur!DD37*VLOOKUP('Données projet'!$B$13,Paramètres!$A$1:$I$89,3,0)*0.475*44/12</f>
        <v>21.784355035440587</v>
      </c>
      <c r="DH37" s="21">
        <f>EXP(-LN(2)/2)*DH36+(1-EXP(-LN(2)/2))/(LN(2)/2)*DB37*DE37*VLOOKUP('Données projet'!$B$13,Paramètres!$A$1:$I$89,3,0)*0.475*44/12</f>
        <v>3.478232057865096</v>
      </c>
      <c r="DI37" s="22">
        <f t="shared" si="15"/>
        <v>43.313622578075311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14</v>
      </c>
      <c r="DO37" s="12">
        <f>IF('Données projet'!$A$166&gt;35,DO36+DN37-DW36,IF(A37&lt;'Données projet'!$A$166,$DL$205^A37,IF(A37='Données projet'!$A$166,'Données projet'!$B$166,DO36+DN37-DW36)))</f>
        <v>216</v>
      </c>
      <c r="DP37" s="17">
        <f>DO37*VLOOKUP('Données projet'!$B$14,Paramètres!$A$1:$I$89,3,0)*VLOOKUP('Données projet'!$B$14,Paramètres!$A$1:$I$89,5,0)</f>
        <v>101.08799999999999</v>
      </c>
      <c r="DQ37" s="13">
        <f t="shared" si="43"/>
        <v>27.221035075711939</v>
      </c>
      <c r="DR37" s="20">
        <f t="shared" si="16"/>
        <v>223.47156942353161</v>
      </c>
      <c r="DS37" s="59">
        <f t="shared" si="17"/>
        <v>516.80490275686498</v>
      </c>
      <c r="DT37" s="59">
        <f ca="1">AVERAGE(OFFSET($DS$3,0,0,'Données projet'!$E$14+1,1))-AVERAGE(OFFSET($H$3,0,0,'Données projet'!$E$14+1,1))</f>
        <v>229.61973863654862</v>
      </c>
      <c r="DU37" s="59">
        <f t="shared" si="44"/>
        <v>254.08208375594052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3.154521348881167</v>
      </c>
      <c r="EB37" s="21">
        <f>EXP(-LN(2)/25)*EB36+(1-EXP(-LN(2)/25))/(LN(2)/25)*Calculateur!DW37*Calculateur!DY37*VLOOKUP('Données projet'!$B$14,Paramètres!$A$1:$I$89,3,0)*0.475*44/12</f>
        <v>13.691146465324866</v>
      </c>
      <c r="EC37" s="21">
        <f>EXP(-LN(2)/2)*EC36+(1-EXP(-LN(2)/2))/(LN(2)/2)*DW37*DZ37*VLOOKUP('Données projet'!$B$14,Paramètres!$A$1:$I$89,3,0)*0.475*44/12</f>
        <v>2.3911047775312677</v>
      </c>
      <c r="ED37" s="22">
        <f t="shared" si="18"/>
        <v>19.236772591737303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116</v>
      </c>
      <c r="L38" s="12">
        <f>VLOOKUP(A38,'Données projet'!$A$35:$I$55,9,0)</f>
        <v>3.8</v>
      </c>
      <c r="M38" s="12">
        <f t="array" ref="M38">INDEX(L:L,MIN(IF(ISNUMBER(L38:L234),ROW(L38:L234),"")))</f>
        <v>3.8</v>
      </c>
      <c r="N38" s="13">
        <f>IF('Données projet'!$A$36&gt;35,N37+M38-V37,IF(A38&lt;'Données projet'!$A$36,$K$205^A38,IF(A38='Données projet'!$A$36,'Données projet'!$B$36,N37+M38-V37)))</f>
        <v>116.00000000000001</v>
      </c>
      <c r="O38" s="13">
        <f>N38*VLOOKUP('Données projet'!$B$9,Paramètres!$A$1:$I$89,3,0)*VLOOKUP('Données projet'!$B$9,Paramètres!$A$1:$I$89,5,0)</f>
        <v>104.9568</v>
      </c>
      <c r="P38" s="13">
        <f t="shared" si="33"/>
        <v>28.139541339232373</v>
      </c>
      <c r="Q38" s="20">
        <f t="shared" si="53"/>
        <v>231.8094611658297</v>
      </c>
      <c r="R38" s="59">
        <f t="shared" si="0"/>
        <v>525.14279449916307</v>
      </c>
      <c r="S38" s="59">
        <f ca="1">AVERAGE(OFFSET($R$3,0,0,'Données projet'!$E$9+1,1))-AVERAGE(OFFSET($H$3,0,0,'Données projet'!$E$9+1,1))</f>
        <v>373.59295497283125</v>
      </c>
      <c r="T38" s="59">
        <f t="shared" si="34"/>
        <v>231.36959598460686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21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116</v>
      </c>
      <c r="AG38" s="12">
        <f>VLOOKUP(A38,'Données projet'!$A$61:$I$81,9,0)</f>
        <v>3.8</v>
      </c>
      <c r="AH38" s="12">
        <f t="array" ref="AH38">INDEX(AG:AG,MIN(IF(ISNUMBER(AG38:AG234),ROW(AG38:AG234),"")))</f>
        <v>3.8</v>
      </c>
      <c r="AI38" s="13">
        <f>IF('Données projet'!$A$62&gt;35,AI37+AH38-AQ37,IF(A38&lt;'Données projet'!$A$62,$AF$205^A38,IF(A38='Données projet'!$A$62,'Données projet'!$B$62,AI37+AH38-AQ37)))</f>
        <v>116.00000000000001</v>
      </c>
      <c r="AJ38" s="13">
        <f>AI38*VLOOKUP('Données projet'!$B$10,Paramètres!$A$1:$I$89,3,0)*VLOOKUP('Données projet'!$B$10,Paramètres!$A$1:$I$89,5,0)</f>
        <v>117.62400000000001</v>
      </c>
      <c r="AK38" s="13">
        <f t="shared" si="35"/>
        <v>31.120192961985413</v>
      </c>
      <c r="AL38" s="20">
        <f t="shared" si="4"/>
        <v>259.06280274212457</v>
      </c>
      <c r="AM38" s="59">
        <f t="shared" si="5"/>
        <v>552.39613607545789</v>
      </c>
      <c r="AN38" s="59">
        <f ca="1">AVERAGE(OFFSET($AM$3,0,0,'Données projet'!$E$10+1,1))-AVERAGE(OFFSET($H$3,0,0,'Données projet'!$E$10+1,1))</f>
        <v>413.81510455446738</v>
      </c>
      <c r="AO38" s="59">
        <f t="shared" si="36"/>
        <v>254.25036207346602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21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116</v>
      </c>
      <c r="BB38" s="12">
        <f>VLOOKUP(A38,'Données projet'!$A$87:$I$107,9,0)</f>
        <v>3.8</v>
      </c>
      <c r="BC38" s="12">
        <f t="array" ref="BC38">INDEX(BB:BB,MIN(IF(ISNUMBER(BB38:BB234),ROW(BB38:BB234),"")))</f>
        <v>3.8</v>
      </c>
      <c r="BD38" s="12">
        <f>IF('Données projet'!$A$88&gt;35,BD37+BC38-BL37,IF(A38&lt;'Données projet'!$A$88,$BA$205^A38,IF(A38='Données projet'!$A$88,'Données projet'!$B$88,BD37+BC38-BL37)))</f>
        <v>116.00000000000001</v>
      </c>
      <c r="BE38" s="13">
        <f>BD38*VLOOKUP('Données projet'!$B$11,Paramètres!$A$1:$I$89,3,0)*VLOOKUP('Données projet'!$B$11,Paramètres!$A$1:$I$89,5,0)</f>
        <v>112.1952</v>
      </c>
      <c r="BF38" s="13">
        <f t="shared" si="37"/>
        <v>29.847594514573263</v>
      </c>
      <c r="BG38" s="20">
        <f t="shared" si="7"/>
        <v>247.39120044621509</v>
      </c>
      <c r="BH38" s="59">
        <f t="shared" si="8"/>
        <v>540.72453377954844</v>
      </c>
      <c r="BI38" s="59">
        <f ca="1">AVERAGE(OFFSET($BH$3,0,0,'Données projet'!$E$11+1,1))-AVERAGE(OFFSET($H$3,0,0,'Données projet'!$E$11+1,1))</f>
        <v>295.35565287134125</v>
      </c>
      <c r="BJ38" s="59">
        <f t="shared" si="38"/>
        <v>244.451492444461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21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116</v>
      </c>
      <c r="BW38" s="12">
        <f>VLOOKUP(A38,'Données projet'!$A$113:$I$133,9,0)</f>
        <v>3.8</v>
      </c>
      <c r="BX38" s="12">
        <f t="array" ref="BX38">INDEX(BW:BW,MIN(IF(ISNUMBER(BW38:BW234),ROW(BW38:BW234),"")))</f>
        <v>3.8</v>
      </c>
      <c r="BY38" s="12">
        <f>IF('Données projet'!$A$114&gt;35,BY37+BX38-CG37,IF(A38&lt;'Données projet'!$A$114,$BV$205^A38,IF(A38='Données projet'!$A$114,'Données projet'!$B$114,BY37+BX38-CG37)))</f>
        <v>116.00000000000001</v>
      </c>
      <c r="BZ38" s="13">
        <f>BY38*VLOOKUP('Données projet'!$B$12,Paramètres!$A$1:$I$89,3,0)*VLOOKUP('Données projet'!$B$12,Paramètres!$A$1:$I$89,5,0)</f>
        <v>124.86240000000001</v>
      </c>
      <c r="CA38" s="13">
        <f t="shared" si="39"/>
        <v>32.806439280561598</v>
      </c>
      <c r="CB38" s="20">
        <f t="shared" si="10"/>
        <v>274.60656174697812</v>
      </c>
      <c r="CC38" s="59">
        <f t="shared" si="11"/>
        <v>567.93989508031143</v>
      </c>
      <c r="CD38" s="59">
        <f ca="1">AVERAGE(OFFSET($CC$3,0,0,'Données projet'!$E$12+1,1))-AVERAGE(OFFSET($H$3,0,0,'Données projet'!$E$12+1,1))</f>
        <v>324.61094137855798</v>
      </c>
      <c r="CE38" s="59">
        <f t="shared" si="40"/>
        <v>267.2998309535638</v>
      </c>
      <c r="CF38" s="15">
        <f>IF(ISNA(VLOOKUP(A38,'Données projet'!$A$113:$I$133,3,0)),0,VLOOKUP(A38,'Données projet'!$A$113:$I$133,3,0))</f>
        <v>4</v>
      </c>
      <c r="CG38" s="15">
        <f>IF(ISNA(VLOOKUP(A38,'Données projet'!$A$113:$I$133,4,0)),0,VLOOKUP(A38,'Données projet'!$A$113:$I$133,4,0))</f>
        <v>21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369</v>
      </c>
      <c r="CR38" s="12">
        <f>VLOOKUP(A38,'Données projet'!$A$139:$I$159,9,0)</f>
        <v>24.2</v>
      </c>
      <c r="CS38" s="12">
        <f t="array" ref="CS38">INDEX(CR:CR,MIN(IF(ISNUMBER(CR38:CR234),ROW(CR38:CR234),"")))</f>
        <v>24.2</v>
      </c>
      <c r="CT38" s="12">
        <f>IF('Données projet'!$A$140&gt;35,CT37+CS38-DB37,IF(A38&lt;'Données projet'!$A$140,$CQ$205^A38,IF(A38='Données projet'!$A$140,'Données projet'!$B$140,CT37+CS38-DB37)))</f>
        <v>369.00000000000006</v>
      </c>
      <c r="CU38" s="17">
        <f>CT38*VLOOKUP('Données projet'!$B$13,Paramètres!$A$1:$I$89,3,0)*VLOOKUP('Données projet'!$B$13,Paramètres!$A$1:$I$89,5,0)</f>
        <v>220.66200000000006</v>
      </c>
      <c r="CV38" s="13">
        <f t="shared" si="41"/>
        <v>54.258742979955002</v>
      </c>
      <c r="CW38" s="20">
        <f t="shared" si="13"/>
        <v>478.82029402342181</v>
      </c>
      <c r="CX38" s="59">
        <f t="shared" si="14"/>
        <v>772.15362735675512</v>
      </c>
      <c r="CY38" s="59">
        <f ca="1">AVERAGE(OFFSET($CX$3,0,0,'Données projet'!$E$13+1,1))-AVERAGE(OFFSET($H$3,0,0,'Données projet'!$E$13+1,1))</f>
        <v>319.9010109022521</v>
      </c>
      <c r="CZ38" s="59">
        <f t="shared" si="42"/>
        <v>441.82647565372287</v>
      </c>
      <c r="DA38" s="15">
        <f>IF(ISNA(VLOOKUP(A38,'Données projet'!$A$139:$I$159,3,0)),0,VLOOKUP(A38,'Données projet'!$A$139:$I$159,3,0))</f>
        <v>5</v>
      </c>
      <c r="DB38" s="15">
        <f>IF(ISNA(VLOOKUP(A38,'Données projet'!$A$139:$I$159,4,0)),0,VLOOKUP(A38,'Données projet'!$A$139:$I$159,4,0))</f>
        <v>63</v>
      </c>
      <c r="DC38" s="16">
        <f>IF(ISNA(VLOOKUP(A38,'Données projet'!$A$139:$I$159,5,0)),0%,VLOOKUP(A38,'Données projet'!$A$139:$I$159,5,0)*VLOOKUP('Données projet'!$B$13,Paramètres!$A$1:$I$89,7,0))</f>
        <v>0.18000000000000002</v>
      </c>
      <c r="DD38" s="16">
        <f>IF(ISNA(VLOOKUP(A38,'Données projet'!$A$139:$I$159,6,0)),0%,VLOOKUP(A38,'Données projet'!$A$139:$I$159,6,0)*VLOOKUP('Données projet'!$B$13,Paramètres!$A$1:$I$89,7,0))</f>
        <v>0.15300000000000002</v>
      </c>
      <c r="DE38" s="16">
        <f>IF(ISNA(VLOOKUP(A38,'Données projet'!$A$139:$I$159,7,0)),0%,VLOOKUP(A38,'Données projet'!$A$139:$I$159,7,0))</f>
        <v>0.26</v>
      </c>
      <c r="DF38" s="21">
        <f>EXP(-LN(2)/35)*DF37+(1-EXP(-LN(2)/35))/(LN(2)/35)*DB38*DC38*VLOOKUP('Données projet'!$B$13,Paramètres!$A$1:$I$89,3,0)*0.475*44/12</f>
        <v>26.692923761919047</v>
      </c>
      <c r="DG38" s="21">
        <f>EXP(-LN(2)/25)*DG37+(1-EXP(-LN(2)/25))/(LN(2)/25)*Calculateur!DB38*Calculateur!DD38*VLOOKUP('Données projet'!$B$13,Paramètres!$A$1:$I$89,3,0)*0.475*44/12</f>
        <v>28.80503296063878</v>
      </c>
      <c r="DH38" s="21">
        <f>EXP(-LN(2)/2)*DH37+(1-EXP(-LN(2)/2))/(LN(2)/2)*DB38*DE38*VLOOKUP('Données projet'!$B$13,Paramètres!$A$1:$I$89,3,0)*0.475*44/12</f>
        <v>13.54996856467999</v>
      </c>
      <c r="DI38" s="22">
        <f t="shared" si="15"/>
        <v>69.047925287237817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14</v>
      </c>
      <c r="DO38" s="12">
        <f>IF('Données projet'!$A$166&gt;35,DO37+DN38-DW37,IF(A38&lt;'Données projet'!$A$166,$DL$205^A38,IF(A38='Données projet'!$A$166,'Données projet'!$B$166,DO37+DN38-DW37)))</f>
        <v>230</v>
      </c>
      <c r="DP38" s="17">
        <f>DO38*VLOOKUP('Données projet'!$B$14,Paramètres!$A$1:$I$89,3,0)*VLOOKUP('Données projet'!$B$14,Paramètres!$A$1:$I$89,5,0)</f>
        <v>107.64</v>
      </c>
      <c r="DQ38" s="13">
        <f t="shared" si="43"/>
        <v>28.774250263353583</v>
      </c>
      <c r="DR38" s="20">
        <f t="shared" si="16"/>
        <v>237.58815254200749</v>
      </c>
      <c r="DS38" s="59">
        <f t="shared" si="17"/>
        <v>530.92148587534075</v>
      </c>
      <c r="DT38" s="59">
        <f ca="1">AVERAGE(OFFSET($DS$3,0,0,'Données projet'!$E$14+1,1))-AVERAGE(OFFSET($H$3,0,0,'Données projet'!$E$14+1,1))</f>
        <v>229.61973863654862</v>
      </c>
      <c r="DU38" s="59">
        <f t="shared" si="44"/>
        <v>254.08208375594052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3.0926631092976442</v>
      </c>
      <c r="EB38" s="21">
        <f>EXP(-LN(2)/25)*EB37+(1-EXP(-LN(2)/25))/(LN(2)/25)*Calculateur!DW38*Calculateur!DY38*VLOOKUP('Données projet'!$B$14,Paramètres!$A$1:$I$89,3,0)*0.475*44/12</f>
        <v>13.316761345244457</v>
      </c>
      <c r="EC38" s="21">
        <f>EXP(-LN(2)/2)*EC37+(1-EXP(-LN(2)/2))/(LN(2)/2)*DW38*DZ38*VLOOKUP('Données projet'!$B$14,Paramètres!$A$1:$I$89,3,0)*0.475*44/12</f>
        <v>1.6907664027199105</v>
      </c>
      <c r="ED38" s="22">
        <f t="shared" si="18"/>
        <v>18.10019085726201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8.4</v>
      </c>
      <c r="N39" s="13">
        <f>IF('Données projet'!$A$36&gt;35,N38+M39-V38,IF(A39&lt;'Données projet'!$A$36,$K$205^A39,IF(A39='Données projet'!$A$36,'Données projet'!$B$36,N38+M39-V38)))</f>
        <v>103.40000000000002</v>
      </c>
      <c r="O39" s="13">
        <f>N39*VLOOKUP('Données projet'!$B$9,Paramètres!$A$1:$I$89,3,0)*VLOOKUP('Données projet'!$B$9,Paramètres!$A$1:$I$89,5,0)</f>
        <v>93.556320000000014</v>
      </c>
      <c r="P39" s="13">
        <f t="shared" si="33"/>
        <v>25.420979659258094</v>
      </c>
      <c r="Q39" s="20">
        <f t="shared" si="53"/>
        <v>207.2187969065412</v>
      </c>
      <c r="R39" s="59">
        <f t="shared" si="0"/>
        <v>500.55213023987449</v>
      </c>
      <c r="S39" s="59">
        <f ca="1">AVERAGE(OFFSET($R$3,0,0,'Données projet'!$E$9+1,1))-AVERAGE(OFFSET($H$3,0,0,'Données projet'!$E$9+1,1))</f>
        <v>373.59295497283125</v>
      </c>
      <c r="T39" s="59">
        <f t="shared" si="34"/>
        <v>231.36959598460686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8.4</v>
      </c>
      <c r="AI39" s="13">
        <f>IF('Données projet'!$A$62&gt;35,AI38+AH39-AQ38,IF(A39&lt;'Données projet'!$A$62,$AF$205^A39,IF(A39='Données projet'!$A$62,'Données projet'!$B$62,AI38+AH39-AQ38)))</f>
        <v>103.40000000000002</v>
      </c>
      <c r="AJ39" s="13">
        <f>AI39*VLOOKUP('Données projet'!$B$10,Paramètres!$A$1:$I$89,3,0)*VLOOKUP('Données projet'!$B$10,Paramètres!$A$1:$I$89,5,0)</f>
        <v>104.84760000000004</v>
      </c>
      <c r="AK39" s="13">
        <f t="shared" si="35"/>
        <v>28.113670466115643</v>
      </c>
      <c r="AL39" s="20">
        <f t="shared" si="4"/>
        <v>231.57421272848478</v>
      </c>
      <c r="AM39" s="59">
        <f t="shared" si="5"/>
        <v>524.90754606181804</v>
      </c>
      <c r="AN39" s="59">
        <f ca="1">AVERAGE(OFFSET($AM$3,0,0,'Données projet'!$E$10+1,1))-AVERAGE(OFFSET($H$3,0,0,'Données projet'!$E$10+1,1))</f>
        <v>413.81510455446738</v>
      </c>
      <c r="AO39" s="59">
        <f t="shared" si="36"/>
        <v>254.25036207346602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8.4</v>
      </c>
      <c r="BD39" s="12">
        <f>IF('Données projet'!$A$88&gt;35,BD38+BC39-BL38,IF(A39&lt;'Données projet'!$A$88,$BA$205^A39,IF(A39='Données projet'!$A$88,'Données projet'!$B$88,BD38+BC39-BL38)))</f>
        <v>103.40000000000002</v>
      </c>
      <c r="BE39" s="13">
        <f>BD39*VLOOKUP('Données projet'!$B$11,Paramètres!$A$1:$I$89,3,0)*VLOOKUP('Données projet'!$B$11,Paramètres!$A$1:$I$89,5,0)</f>
        <v>100.00848000000003</v>
      </c>
      <c r="BF39" s="13">
        <f t="shared" si="37"/>
        <v>26.964017781444337</v>
      </c>
      <c r="BG39" s="20">
        <f t="shared" si="7"/>
        <v>221.14376696934895</v>
      </c>
      <c r="BH39" s="59">
        <f t="shared" si="8"/>
        <v>514.47710030268229</v>
      </c>
      <c r="BI39" s="59">
        <f ca="1">AVERAGE(OFFSET($BH$3,0,0,'Données projet'!$E$11+1,1))-AVERAGE(OFFSET($H$3,0,0,'Données projet'!$E$11+1,1))</f>
        <v>295.35565287134125</v>
      </c>
      <c r="BJ39" s="59">
        <f t="shared" si="38"/>
        <v>244.451492444461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8.4</v>
      </c>
      <c r="BY39" s="12">
        <f>IF('Données projet'!$A$114&gt;35,BY38+BX39-CG38,IF(A39&lt;'Données projet'!$A$114,$BV$205^A39,IF(A39='Données projet'!$A$114,'Données projet'!$B$114,BY38+BX39-CG38)))</f>
        <v>103.40000000000002</v>
      </c>
      <c r="BZ39" s="13">
        <f>BY39*VLOOKUP('Données projet'!$B$12,Paramètres!$A$1:$I$89,3,0)*VLOOKUP('Données projet'!$B$12,Paramètres!$A$1:$I$89,5,0)</f>
        <v>111.29976000000001</v>
      </c>
      <c r="CA39" s="13">
        <f t="shared" si="39"/>
        <v>29.637008492427388</v>
      </c>
      <c r="CB39" s="20">
        <f t="shared" si="10"/>
        <v>245.46487179097775</v>
      </c>
      <c r="CC39" s="59">
        <f t="shared" si="11"/>
        <v>538.79820512431104</v>
      </c>
      <c r="CD39" s="59">
        <f ca="1">AVERAGE(OFFSET($CC$3,0,0,'Données projet'!$E$12+1,1))-AVERAGE(OFFSET($H$3,0,0,'Données projet'!$E$12+1,1))</f>
        <v>324.61094137855798</v>
      </c>
      <c r="CE39" s="59">
        <f t="shared" si="40"/>
        <v>267.2998309535638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23.6</v>
      </c>
      <c r="CT39" s="12">
        <f>IF('Données projet'!$A$140&gt;35,CT38+CS39-DB38,IF(A39&lt;'Données projet'!$A$140,$CQ$205^A39,IF(A39='Données projet'!$A$140,'Données projet'!$B$140,CT38+CS39-DB38)))</f>
        <v>329.60000000000008</v>
      </c>
      <c r="CU39" s="17">
        <f>CT39*VLOOKUP('Données projet'!$B$13,Paramètres!$A$1:$I$89,3,0)*VLOOKUP('Données projet'!$B$13,Paramètres!$A$1:$I$89,5,0)</f>
        <v>197.10080000000005</v>
      </c>
      <c r="CV39" s="13">
        <f t="shared" si="41"/>
        <v>49.10647084525754</v>
      </c>
      <c r="CW39" s="20">
        <f t="shared" si="13"/>
        <v>428.81099672215697</v>
      </c>
      <c r="CX39" s="59">
        <f t="shared" si="14"/>
        <v>722.14433005549029</v>
      </c>
      <c r="CY39" s="59">
        <f ca="1">AVERAGE(OFFSET($CX$3,0,0,'Données projet'!$E$13+1,1))-AVERAGE(OFFSET($H$3,0,0,'Données projet'!$E$13+1,1))</f>
        <v>319.9010109022521</v>
      </c>
      <c r="CZ39" s="59">
        <f t="shared" si="42"/>
        <v>441.82647565372287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26.169491808023686</v>
      </c>
      <c r="DG39" s="21">
        <f>EXP(-LN(2)/25)*DG38+(1-EXP(-LN(2)/25))/(LN(2)/25)*Calculateur!DB39*Calculateur!DD39*VLOOKUP('Données projet'!$B$13,Paramètres!$A$1:$I$89,3,0)*0.475*44/12</f>
        <v>28.017357819539264</v>
      </c>
      <c r="DH39" s="21">
        <f>EXP(-LN(2)/2)*DH38+(1-EXP(-LN(2)/2))/(LN(2)/2)*DB39*DE39*VLOOKUP('Données projet'!$B$13,Paramètres!$A$1:$I$89,3,0)*0.475*44/12</f>
        <v>9.5812746569497715</v>
      </c>
      <c r="DI39" s="22">
        <f t="shared" si="15"/>
        <v>63.768124284512723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14</v>
      </c>
      <c r="DO39" s="12">
        <f>IF('Données projet'!$A$166&gt;35,DO38+DN39-DW38,IF(A39&lt;'Données projet'!$A$166,$DL$205^A39,IF(A39='Données projet'!$A$166,'Données projet'!$B$166,DO38+DN39-DW38)))</f>
        <v>244</v>
      </c>
      <c r="DP39" s="17">
        <f>DO39*VLOOKUP('Données projet'!$B$14,Paramètres!$A$1:$I$89,3,0)*VLOOKUP('Données projet'!$B$14,Paramètres!$A$1:$I$89,5,0)</f>
        <v>114.19200000000001</v>
      </c>
      <c r="DQ39" s="13">
        <f t="shared" si="43"/>
        <v>30.316492326242802</v>
      </c>
      <c r="DR39" s="20">
        <f t="shared" si="16"/>
        <v>251.68562413487288</v>
      </c>
      <c r="DS39" s="59">
        <f t="shared" si="17"/>
        <v>545.01895746820617</v>
      </c>
      <c r="DT39" s="59">
        <f ca="1">AVERAGE(OFFSET($DS$3,0,0,'Données projet'!$E$14+1,1))-AVERAGE(OFFSET($H$3,0,0,'Données projet'!$E$14+1,1))</f>
        <v>229.61973863654862</v>
      </c>
      <c r="DU39" s="59">
        <f t="shared" si="44"/>
        <v>254.08208375594052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3.0320178720625535</v>
      </c>
      <c r="EB39" s="21">
        <f>EXP(-LN(2)/25)*EB38+(1-EXP(-LN(2)/25))/(LN(2)/25)*Calculateur!DW39*Calculateur!DY39*VLOOKUP('Données projet'!$B$14,Paramètres!$A$1:$I$89,3,0)*0.475*44/12</f>
        <v>12.952613805960704</v>
      </c>
      <c r="EC39" s="21">
        <f>EXP(-LN(2)/2)*EC38+(1-EXP(-LN(2)/2))/(LN(2)/2)*DW39*DZ39*VLOOKUP('Données projet'!$B$14,Paramètres!$A$1:$I$89,3,0)*0.475*44/12</f>
        <v>1.1955523887656339</v>
      </c>
      <c r="ED39" s="22">
        <f t="shared" si="18"/>
        <v>17.18018406678889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8.4</v>
      </c>
      <c r="N40" s="13">
        <f>IF('Données projet'!$A$36&gt;35,N39+M40-V39,IF(A40&lt;'Données projet'!$A$36,$K$205^A40,IF(A40='Données projet'!$A$36,'Données projet'!$B$36,N39+M40-V39)))</f>
        <v>111.80000000000003</v>
      </c>
      <c r="O40" s="13">
        <f>N40*VLOOKUP('Données projet'!$B$9,Paramètres!$A$1:$I$89,3,0)*VLOOKUP('Données projet'!$B$9,Paramètres!$A$1:$I$89,5,0)</f>
        <v>101.15664000000001</v>
      </c>
      <c r="P40" s="13">
        <f t="shared" si="33"/>
        <v>27.237366379381644</v>
      </c>
      <c r="Q40" s="20">
        <f t="shared" si="53"/>
        <v>223.61956111075639</v>
      </c>
      <c r="R40" s="59">
        <f t="shared" si="0"/>
        <v>516.95289444408968</v>
      </c>
      <c r="S40" s="59">
        <f ca="1">AVERAGE(OFFSET($R$3,0,0,'Données projet'!$E$9+1,1))-AVERAGE(OFFSET($H$3,0,0,'Données projet'!$E$9+1,1))</f>
        <v>373.59295497283125</v>
      </c>
      <c r="T40" s="59">
        <f t="shared" si="34"/>
        <v>231.36959598460686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8.4</v>
      </c>
      <c r="AI40" s="13">
        <f>IF('Données projet'!$A$62&gt;35,AI39+AH40-AQ39,IF(A40&lt;'Données projet'!$A$62,$AF$205^A40,IF(A40='Données projet'!$A$62,'Données projet'!$B$62,AI39+AH40-AQ39)))</f>
        <v>111.80000000000003</v>
      </c>
      <c r="AJ40" s="13">
        <f>AI40*VLOOKUP('Données projet'!$B$10,Paramètres!$A$1:$I$89,3,0)*VLOOKUP('Données projet'!$B$10,Paramètres!$A$1:$I$89,5,0)</f>
        <v>113.36520000000003</v>
      </c>
      <c r="AK40" s="13">
        <f t="shared" si="35"/>
        <v>30.122456058687614</v>
      </c>
      <c r="AL40" s="20">
        <f t="shared" si="4"/>
        <v>249.9076676355476</v>
      </c>
      <c r="AM40" s="59">
        <f t="shared" si="5"/>
        <v>543.24100096888094</v>
      </c>
      <c r="AN40" s="59">
        <f ca="1">AVERAGE(OFFSET($AM$3,0,0,'Données projet'!$E$10+1,1))-AVERAGE(OFFSET($H$3,0,0,'Données projet'!$E$10+1,1))</f>
        <v>413.81510455446738</v>
      </c>
      <c r="AO40" s="59">
        <f t="shared" si="36"/>
        <v>254.25036207346602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8.4</v>
      </c>
      <c r="BD40" s="12">
        <f>IF('Données projet'!$A$88&gt;35,BD39+BC40-BL39,IF(A40&lt;'Données projet'!$A$88,$BA$205^A40,IF(A40='Données projet'!$A$88,'Données projet'!$B$88,BD39+BC40-BL39)))</f>
        <v>111.80000000000003</v>
      </c>
      <c r="BE40" s="13">
        <f>BD40*VLOOKUP('Données projet'!$B$11,Paramètres!$A$1:$I$89,3,0)*VLOOKUP('Données projet'!$B$11,Paramètres!$A$1:$I$89,5,0)</f>
        <v>108.13296000000003</v>
      </c>
      <c r="BF40" s="13">
        <f t="shared" si="37"/>
        <v>28.890658079177882</v>
      </c>
      <c r="BG40" s="20">
        <f t="shared" si="7"/>
        <v>238.64946815456821</v>
      </c>
      <c r="BH40" s="59">
        <f t="shared" si="8"/>
        <v>531.9828014879015</v>
      </c>
      <c r="BI40" s="59">
        <f ca="1">AVERAGE(OFFSET($BH$3,0,0,'Données projet'!$E$11+1,1))-AVERAGE(OFFSET($H$3,0,0,'Données projet'!$E$11+1,1))</f>
        <v>295.35565287134125</v>
      </c>
      <c r="BJ40" s="59">
        <f t="shared" si="38"/>
        <v>244.451492444461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8.4</v>
      </c>
      <c r="BY40" s="12">
        <f>IF('Données projet'!$A$114&gt;35,BY39+BX40-CG39,IF(A40&lt;'Données projet'!$A$114,$BV$205^A40,IF(A40='Données projet'!$A$114,'Données projet'!$B$114,BY39+BX40-CG39)))</f>
        <v>111.80000000000003</v>
      </c>
      <c r="BZ40" s="13">
        <f>BY40*VLOOKUP('Données projet'!$B$12,Paramètres!$A$1:$I$89,3,0)*VLOOKUP('Données projet'!$B$12,Paramètres!$A$1:$I$89,5,0)</f>
        <v>120.34152000000002</v>
      </c>
      <c r="CA40" s="13">
        <f t="shared" si="39"/>
        <v>31.754640046026051</v>
      </c>
      <c r="CB40" s="20">
        <f t="shared" si="10"/>
        <v>264.90081208016204</v>
      </c>
      <c r="CC40" s="59">
        <f t="shared" si="11"/>
        <v>558.2341454134953</v>
      </c>
      <c r="CD40" s="59">
        <f ca="1">AVERAGE(OFFSET($CC$3,0,0,'Données projet'!$E$12+1,1))-AVERAGE(OFFSET($H$3,0,0,'Données projet'!$E$12+1,1))</f>
        <v>324.61094137855798</v>
      </c>
      <c r="CE40" s="59">
        <f t="shared" si="40"/>
        <v>267.2998309535638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23.6</v>
      </c>
      <c r="CT40" s="12">
        <f>IF('Données projet'!$A$140&gt;35,CT39+CS40-DB39,IF(A40&lt;'Données projet'!$A$140,$CQ$205^A40,IF(A40='Données projet'!$A$140,'Données projet'!$B$140,CT39+CS40-DB39)))</f>
        <v>353.2000000000001</v>
      </c>
      <c r="CU40" s="17">
        <f>CT40*VLOOKUP('Données projet'!$B$13,Paramètres!$A$1:$I$89,3,0)*VLOOKUP('Données projet'!$B$13,Paramètres!$A$1:$I$89,5,0)</f>
        <v>211.2136000000001</v>
      </c>
      <c r="CV40" s="13">
        <f t="shared" si="41"/>
        <v>52.20069882503806</v>
      </c>
      <c r="CW40" s="20">
        <f t="shared" si="13"/>
        <v>458.77990378694136</v>
      </c>
      <c r="CX40" s="59">
        <f t="shared" si="14"/>
        <v>752.11323712027468</v>
      </c>
      <c r="CY40" s="59">
        <f ca="1">AVERAGE(OFFSET($CX$3,0,0,'Données projet'!$E$13+1,1))-AVERAGE(OFFSET($H$3,0,0,'Données projet'!$E$13+1,1))</f>
        <v>319.9010109022521</v>
      </c>
      <c r="CZ40" s="59">
        <f t="shared" si="42"/>
        <v>441.82647565372287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25.656324035482246</v>
      </c>
      <c r="DG40" s="21">
        <f>EXP(-LN(2)/25)*DG39+(1-EXP(-LN(2)/25))/(LN(2)/25)*Calculateur!DB40*Calculateur!DD40*VLOOKUP('Données projet'!$B$13,Paramètres!$A$1:$I$89,3,0)*0.475*44/12</f>
        <v>27.251221696595149</v>
      </c>
      <c r="DH40" s="21">
        <f>EXP(-LN(2)/2)*DH39+(1-EXP(-LN(2)/2))/(LN(2)/2)*DB40*DE40*VLOOKUP('Données projet'!$B$13,Paramètres!$A$1:$I$89,3,0)*0.475*44/12</f>
        <v>6.7749842823399957</v>
      </c>
      <c r="DI40" s="22">
        <f t="shared" si="15"/>
        <v>59.682530014417388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14</v>
      </c>
      <c r="DO40" s="12">
        <f>IF('Données projet'!$A$166&gt;35,DO39+DN40-DW39,IF(A40&lt;'Données projet'!$A$166,$DL$205^A40,IF(A40='Données projet'!$A$166,'Données projet'!$B$166,DO39+DN40-DW39)))</f>
        <v>258</v>
      </c>
      <c r="DP40" s="17">
        <f>DO40*VLOOKUP('Données projet'!$B$14,Paramètres!$A$1:$I$89,3,0)*VLOOKUP('Données projet'!$B$14,Paramètres!$A$1:$I$89,5,0)</f>
        <v>120.744</v>
      </c>
      <c r="DQ40" s="13">
        <f t="shared" si="43"/>
        <v>31.848462605207807</v>
      </c>
      <c r="DR40" s="20">
        <f t="shared" si="16"/>
        <v>265.76520570407024</v>
      </c>
      <c r="DS40" s="59">
        <f t="shared" si="17"/>
        <v>559.0985390374035</v>
      </c>
      <c r="DT40" s="59">
        <f ca="1">AVERAGE(OFFSET($DS$3,0,0,'Données projet'!$E$14+1,1))-AVERAGE(OFFSET($H$3,0,0,'Données projet'!$E$14+1,1))</f>
        <v>229.61973863654862</v>
      </c>
      <c r="DU40" s="59">
        <f t="shared" si="44"/>
        <v>254.08208375594052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2.9725618509397007</v>
      </c>
      <c r="EB40" s="21">
        <f>EXP(-LN(2)/25)*EB39+(1-EXP(-LN(2)/25))/(LN(2)/25)*Calculateur!DW40*Calculateur!DY40*VLOOKUP('Données projet'!$B$14,Paramètres!$A$1:$I$89,3,0)*0.475*44/12</f>
        <v>12.598423900288353</v>
      </c>
      <c r="EC40" s="21">
        <f>EXP(-LN(2)/2)*EC39+(1-EXP(-LN(2)/2))/(LN(2)/2)*DW40*DZ40*VLOOKUP('Données projet'!$B$14,Paramètres!$A$1:$I$89,3,0)*0.475*44/12</f>
        <v>0.84538320135995526</v>
      </c>
      <c r="ED40" s="22">
        <f t="shared" si="18"/>
        <v>16.416368952588009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8.4</v>
      </c>
      <c r="N41" s="13">
        <f>IF('Données projet'!$A$36&gt;35,N40+M41-V40,IF(A41&lt;'Données projet'!$A$36,$K$205^A41,IF(A41='Données projet'!$A$36,'Données projet'!$B$36,N40+M41-V40)))</f>
        <v>120.20000000000003</v>
      </c>
      <c r="O41" s="13">
        <f>N41*VLOOKUP('Données projet'!$B$9,Paramètres!$A$1:$I$89,3,0)*VLOOKUP('Données projet'!$B$9,Paramètres!$A$1:$I$89,5,0)</f>
        <v>108.75696000000002</v>
      </c>
      <c r="P41" s="13">
        <f t="shared" si="33"/>
        <v>29.037921223305609</v>
      </c>
      <c r="Q41" s="20">
        <f t="shared" si="53"/>
        <v>239.99275146392395</v>
      </c>
      <c r="R41" s="59">
        <f t="shared" si="0"/>
        <v>533.32608479725729</v>
      </c>
      <c r="S41" s="59">
        <f ca="1">AVERAGE(OFFSET($R$3,0,0,'Données projet'!$E$9+1,1))-AVERAGE(OFFSET($H$3,0,0,'Données projet'!$E$9+1,1))</f>
        <v>373.59295497283125</v>
      </c>
      <c r="T41" s="59">
        <f t="shared" si="34"/>
        <v>231.36959598460686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8.4</v>
      </c>
      <c r="AI41" s="13">
        <f>IF('Données projet'!$A$62&gt;35,AI40+AH41-AQ40,IF(A41&lt;'Données projet'!$A$62,$AF$205^A41,IF(A41='Données projet'!$A$62,'Données projet'!$B$62,AI40+AH41-AQ40)))</f>
        <v>120.20000000000003</v>
      </c>
      <c r="AJ41" s="13">
        <f>AI41*VLOOKUP('Données projet'!$B$10,Paramètres!$A$1:$I$89,3,0)*VLOOKUP('Données projet'!$B$10,Paramètres!$A$1:$I$89,5,0)</f>
        <v>121.88280000000005</v>
      </c>
      <c r="AK41" s="13">
        <f t="shared" si="35"/>
        <v>32.113732800054677</v>
      </c>
      <c r="AL41" s="20">
        <f t="shared" si="4"/>
        <v>268.21062796009528</v>
      </c>
      <c r="AM41" s="59">
        <f t="shared" si="5"/>
        <v>561.54396129342854</v>
      </c>
      <c r="AN41" s="59">
        <f ca="1">AVERAGE(OFFSET($AM$3,0,0,'Données projet'!$E$10+1,1))-AVERAGE(OFFSET($H$3,0,0,'Données projet'!$E$10+1,1))</f>
        <v>413.81510455446738</v>
      </c>
      <c r="AO41" s="59">
        <f t="shared" si="36"/>
        <v>254.25036207346602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8.4</v>
      </c>
      <c r="BD41" s="12">
        <f>IF('Données projet'!$A$88&gt;35,BD40+BC41-BL40,IF(A41&lt;'Données projet'!$A$88,$BA$205^A41,IF(A41='Données projet'!$A$88,'Données projet'!$B$88,BD40+BC41-BL40)))</f>
        <v>120.20000000000003</v>
      </c>
      <c r="BE41" s="13">
        <f>BD41*VLOOKUP('Données projet'!$B$11,Paramètres!$A$1:$I$89,3,0)*VLOOKUP('Données projet'!$B$11,Paramètres!$A$1:$I$89,5,0)</f>
        <v>116.25744000000003</v>
      </c>
      <c r="BF41" s="13">
        <f t="shared" si="37"/>
        <v>30.800505515381992</v>
      </c>
      <c r="BG41" s="20">
        <f t="shared" si="7"/>
        <v>256.12592177262371</v>
      </c>
      <c r="BH41" s="59">
        <f t="shared" si="8"/>
        <v>549.45925510595703</v>
      </c>
      <c r="BI41" s="59">
        <f ca="1">AVERAGE(OFFSET($BH$3,0,0,'Données projet'!$E$11+1,1))-AVERAGE(OFFSET($H$3,0,0,'Données projet'!$E$11+1,1))</f>
        <v>295.35565287134125</v>
      </c>
      <c r="BJ41" s="59">
        <f t="shared" si="38"/>
        <v>244.451492444461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8.4</v>
      </c>
      <c r="BY41" s="12">
        <f>IF('Données projet'!$A$114&gt;35,BY40+BX41-CG40,IF(A41&lt;'Données projet'!$A$114,$BV$205^A41,IF(A41='Données projet'!$A$114,'Données projet'!$B$114,BY40+BX41-CG40)))</f>
        <v>120.20000000000003</v>
      </c>
      <c r="BZ41" s="13">
        <f>BY41*VLOOKUP('Données projet'!$B$12,Paramètres!$A$1:$I$89,3,0)*VLOOKUP('Données projet'!$B$12,Paramètres!$A$1:$I$89,5,0)</f>
        <v>129.38328000000004</v>
      </c>
      <c r="CA41" s="13">
        <f t="shared" si="39"/>
        <v>33.853814032069536</v>
      </c>
      <c r="CB41" s="20">
        <f t="shared" si="10"/>
        <v>284.30460543918787</v>
      </c>
      <c r="CC41" s="59">
        <f t="shared" si="11"/>
        <v>577.63793877252124</v>
      </c>
      <c r="CD41" s="59">
        <f ca="1">AVERAGE(OFFSET($CC$3,0,0,'Données projet'!$E$12+1,1))-AVERAGE(OFFSET($H$3,0,0,'Données projet'!$E$12+1,1))</f>
        <v>324.61094137855798</v>
      </c>
      <c r="CE41" s="59">
        <f t="shared" si="40"/>
        <v>267.2998309535638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23.6</v>
      </c>
      <c r="CT41" s="12">
        <f>IF('Données projet'!$A$140&gt;35,CT40+CS41-DB40,IF(A41&lt;'Données projet'!$A$140,$CQ$205^A41,IF(A41='Données projet'!$A$140,'Données projet'!$B$140,CT40+CS41-DB40)))</f>
        <v>376.80000000000013</v>
      </c>
      <c r="CU41" s="17">
        <f>CT41*VLOOKUP('Données projet'!$B$13,Paramètres!$A$1:$I$89,3,0)*VLOOKUP('Données projet'!$B$13,Paramètres!$A$1:$I$89,5,0)</f>
        <v>225.32640000000009</v>
      </c>
      <c r="CV41" s="13">
        <f t="shared" si="41"/>
        <v>55.270935716234675</v>
      </c>
      <c r="CW41" s="20">
        <f t="shared" si="13"/>
        <v>488.70702637244216</v>
      </c>
      <c r="CX41" s="59">
        <f t="shared" si="14"/>
        <v>782.04035970577547</v>
      </c>
      <c r="CY41" s="59">
        <f ca="1">AVERAGE(OFFSET($CX$3,0,0,'Données projet'!$E$13+1,1))-AVERAGE(OFFSET($H$3,0,0,'Données projet'!$E$13+1,1))</f>
        <v>319.9010109022521</v>
      </c>
      <c r="CZ41" s="59">
        <f t="shared" si="42"/>
        <v>441.82647565372287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25.153219169958909</v>
      </c>
      <c r="DG41" s="21">
        <f>EXP(-LN(2)/25)*DG40+(1-EXP(-LN(2)/25))/(LN(2)/25)*Calculateur!DB41*Calculateur!DD41*VLOOKUP('Données projet'!$B$13,Paramètres!$A$1:$I$89,3,0)*0.475*44/12</f>
        <v>26.506035606222287</v>
      </c>
      <c r="DH41" s="21">
        <f>EXP(-LN(2)/2)*DH40+(1-EXP(-LN(2)/2))/(LN(2)/2)*DB41*DE41*VLOOKUP('Données projet'!$B$13,Paramètres!$A$1:$I$89,3,0)*0.475*44/12</f>
        <v>4.7906373284748867</v>
      </c>
      <c r="DI41" s="22">
        <f t="shared" si="15"/>
        <v>56.449892104656087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14</v>
      </c>
      <c r="DO41" s="12">
        <f>IF('Données projet'!$A$166&gt;35,DO40+DN41-DW40,IF(A41&lt;'Données projet'!$A$166,$DL$205^A41,IF(A41='Données projet'!$A$166,'Données projet'!$B$166,DO40+DN41-DW40)))</f>
        <v>272</v>
      </c>
      <c r="DP41" s="17">
        <f>DO41*VLOOKUP('Données projet'!$B$14,Paramètres!$A$1:$I$89,3,0)*VLOOKUP('Données projet'!$B$14,Paramètres!$A$1:$I$89,5,0)</f>
        <v>127.29600000000001</v>
      </c>
      <c r="DQ41" s="13">
        <f t="shared" si="43"/>
        <v>33.370782027774453</v>
      </c>
      <c r="DR41" s="20">
        <f t="shared" si="16"/>
        <v>279.82797869837384</v>
      </c>
      <c r="DS41" s="59">
        <f t="shared" si="17"/>
        <v>573.16131203170721</v>
      </c>
      <c r="DT41" s="59">
        <f ca="1">AVERAGE(OFFSET($DS$3,0,0,'Données projet'!$E$14+1,1))-AVERAGE(OFFSET($H$3,0,0,'Données projet'!$E$14+1,1))</f>
        <v>229.61973863654862</v>
      </c>
      <c r="DU41" s="59">
        <f t="shared" si="44"/>
        <v>254.08208375594052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2.9142717261264752</v>
      </c>
      <c r="EB41" s="21">
        <f>EXP(-LN(2)/25)*EB40+(1-EXP(-LN(2)/25))/(LN(2)/25)*Calculateur!DW41*Calculateur!DY41*VLOOKUP('Données projet'!$B$14,Paramètres!$A$1:$I$89,3,0)*0.475*44/12</f>
        <v>12.253919336212649</v>
      </c>
      <c r="EC41" s="21">
        <f>EXP(-LN(2)/2)*EC40+(1-EXP(-LN(2)/2))/(LN(2)/2)*DW41*DZ41*VLOOKUP('Données projet'!$B$14,Paramètres!$A$1:$I$89,3,0)*0.475*44/12</f>
        <v>0.59777619438281693</v>
      </c>
      <c r="ED41" s="22">
        <f t="shared" si="18"/>
        <v>15.765967256721941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8.4</v>
      </c>
      <c r="N42" s="13">
        <f>IF('Données projet'!$A$36&gt;35,N41+M42-V41,IF(A42&lt;'Données projet'!$A$36,$K$205^A42,IF(A42='Données projet'!$A$36,'Données projet'!$B$36,N41+M42-V41)))</f>
        <v>128.60000000000002</v>
      </c>
      <c r="O42" s="13">
        <f>N42*VLOOKUP('Données projet'!$B$9,Paramètres!$A$1:$I$89,3,0)*VLOOKUP('Données projet'!$B$9,Paramètres!$A$1:$I$89,5,0)</f>
        <v>116.35728000000002</v>
      </c>
      <c r="P42" s="13">
        <f t="shared" si="33"/>
        <v>30.823876427820704</v>
      </c>
      <c r="Q42" s="20">
        <f t="shared" si="53"/>
        <v>256.34051411178774</v>
      </c>
      <c r="R42" s="59">
        <f t="shared" si="0"/>
        <v>549.67384744512105</v>
      </c>
      <c r="S42" s="59">
        <f ca="1">AVERAGE(OFFSET($R$3,0,0,'Données projet'!$E$9+1,1))-AVERAGE(OFFSET($H$3,0,0,'Données projet'!$E$9+1,1))</f>
        <v>373.59295497283125</v>
      </c>
      <c r="T42" s="59">
        <f t="shared" si="34"/>
        <v>231.36959598460686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8.4</v>
      </c>
      <c r="AI42" s="13">
        <f>IF('Données projet'!$A$62&gt;35,AI41+AH42-AQ41,IF(A42&lt;'Données projet'!$A$62,$AF$205^A42,IF(A42='Données projet'!$A$62,'Données projet'!$B$62,AI41+AH42-AQ41)))</f>
        <v>128.60000000000002</v>
      </c>
      <c r="AJ42" s="13">
        <f>AI42*VLOOKUP('Données projet'!$B$10,Paramètres!$A$1:$I$89,3,0)*VLOOKUP('Données projet'!$B$10,Paramètres!$A$1:$I$89,5,0)</f>
        <v>130.40040000000002</v>
      </c>
      <c r="AK42" s="13">
        <f t="shared" si="35"/>
        <v>34.088863450406919</v>
      </c>
      <c r="AL42" s="20">
        <f t="shared" si="4"/>
        <v>286.48546717612544</v>
      </c>
      <c r="AM42" s="59">
        <f t="shared" si="5"/>
        <v>579.8188005094587</v>
      </c>
      <c r="AN42" s="59">
        <f ca="1">AVERAGE(OFFSET($AM$3,0,0,'Données projet'!$E$10+1,1))-AVERAGE(OFFSET($H$3,0,0,'Données projet'!$E$10+1,1))</f>
        <v>413.81510455446738</v>
      </c>
      <c r="AO42" s="59">
        <f t="shared" si="36"/>
        <v>254.25036207346602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8.4</v>
      </c>
      <c r="BD42" s="12">
        <f>IF('Données projet'!$A$88&gt;35,BD41+BC42-BL41,IF(A42&lt;'Données projet'!$A$88,$BA$205^A42,IF(A42='Données projet'!$A$88,'Données projet'!$B$88,BD41+BC42-BL41)))</f>
        <v>128.60000000000002</v>
      </c>
      <c r="BE42" s="13">
        <f>BD42*VLOOKUP('Données projet'!$B$11,Paramètres!$A$1:$I$89,3,0)*VLOOKUP('Données projet'!$B$11,Paramètres!$A$1:$I$89,5,0)</f>
        <v>124.38192000000002</v>
      </c>
      <c r="BF42" s="13">
        <f t="shared" si="37"/>
        <v>32.694867122876893</v>
      </c>
      <c r="BG42" s="20">
        <f t="shared" si="7"/>
        <v>273.5754042390106</v>
      </c>
      <c r="BH42" s="59">
        <f t="shared" si="8"/>
        <v>566.90873757234385</v>
      </c>
      <c r="BI42" s="59">
        <f ca="1">AVERAGE(OFFSET($BH$3,0,0,'Données projet'!$E$11+1,1))-AVERAGE(OFFSET($H$3,0,0,'Données projet'!$E$11+1,1))</f>
        <v>295.35565287134125</v>
      </c>
      <c r="BJ42" s="59">
        <f t="shared" si="38"/>
        <v>244.451492444461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8.4</v>
      </c>
      <c r="BY42" s="12">
        <f>IF('Données projet'!$A$114&gt;35,BY41+BX42-CG41,IF(A42&lt;'Données projet'!$A$114,$BV$205^A42,IF(A42='Données projet'!$A$114,'Données projet'!$B$114,BY41+BX42-CG41)))</f>
        <v>128.60000000000002</v>
      </c>
      <c r="BZ42" s="13">
        <f>BY42*VLOOKUP('Données projet'!$B$12,Paramètres!$A$1:$I$89,3,0)*VLOOKUP('Données projet'!$B$12,Paramètres!$A$1:$I$89,5,0)</f>
        <v>138.42504000000002</v>
      </c>
      <c r="CA42" s="13">
        <f t="shared" si="39"/>
        <v>35.935967051850263</v>
      </c>
      <c r="CB42" s="20">
        <f t="shared" si="10"/>
        <v>303.67875394863927</v>
      </c>
      <c r="CC42" s="59">
        <f t="shared" si="11"/>
        <v>597.01208728197253</v>
      </c>
      <c r="CD42" s="59">
        <f ca="1">AVERAGE(OFFSET($CC$3,0,0,'Données projet'!$E$12+1,1))-AVERAGE(OFFSET($H$3,0,0,'Données projet'!$E$12+1,1))</f>
        <v>324.61094137855798</v>
      </c>
      <c r="CE42" s="59">
        <f t="shared" si="40"/>
        <v>267.2998309535638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23.6</v>
      </c>
      <c r="CT42" s="12">
        <f>IF('Données projet'!$A$140&gt;35,CT41+CS42-DB41,IF(A42&lt;'Données projet'!$A$140,$CQ$205^A42,IF(A42='Données projet'!$A$140,'Données projet'!$B$140,CT41+CS42-DB41)))</f>
        <v>400.40000000000015</v>
      </c>
      <c r="CU42" s="17">
        <f>CT42*VLOOKUP('Données projet'!$B$13,Paramètres!$A$1:$I$89,3,0)*VLOOKUP('Données projet'!$B$13,Paramètres!$A$1:$I$89,5,0)</f>
        <v>239.43920000000011</v>
      </c>
      <c r="CV42" s="13">
        <f t="shared" si="41"/>
        <v>58.318855207171957</v>
      </c>
      <c r="CW42" s="20">
        <f t="shared" si="13"/>
        <v>518.59527948582468</v>
      </c>
      <c r="CX42" s="59">
        <f t="shared" si="14"/>
        <v>811.92861281915793</v>
      </c>
      <c r="CY42" s="59">
        <f ca="1">AVERAGE(OFFSET($CX$3,0,0,'Données projet'!$E$13+1,1))-AVERAGE(OFFSET($H$3,0,0,'Données projet'!$E$13+1,1))</f>
        <v>319.9010109022521</v>
      </c>
      <c r="CZ42" s="59">
        <f t="shared" si="42"/>
        <v>441.82647565372287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24.659979883984818</v>
      </c>
      <c r="DG42" s="21">
        <f>EXP(-LN(2)/25)*DG41+(1-EXP(-LN(2)/25))/(LN(2)/25)*Calculateur!DB42*Calculateur!DD42*VLOOKUP('Données projet'!$B$13,Paramètres!$A$1:$I$89,3,0)*0.475*44/12</f>
        <v>25.781226668678308</v>
      </c>
      <c r="DH42" s="21">
        <f>EXP(-LN(2)/2)*DH41+(1-EXP(-LN(2)/2))/(LN(2)/2)*DB42*DE42*VLOOKUP('Données projet'!$B$13,Paramètres!$A$1:$I$89,3,0)*0.475*44/12</f>
        <v>3.3874921411699983</v>
      </c>
      <c r="DI42" s="22">
        <f t="shared" si="15"/>
        <v>53.828698693833125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14</v>
      </c>
      <c r="DO42" s="12">
        <f>IF('Données projet'!$A$166&gt;35,DO41+DN42-DW41,IF(A42&lt;'Données projet'!$A$166,$DL$205^A42,IF(A42='Données projet'!$A$166,'Données projet'!$B$166,DO41+DN42-DW41)))</f>
        <v>286</v>
      </c>
      <c r="DP42" s="17">
        <f>DO42*VLOOKUP('Données projet'!$B$14,Paramètres!$A$1:$I$89,3,0)*VLOOKUP('Données projet'!$B$14,Paramètres!$A$1:$I$89,5,0)</f>
        <v>133.84799999999998</v>
      </c>
      <c r="DQ42" s="13">
        <f t="shared" si="43"/>
        <v>34.884003992121656</v>
      </c>
      <c r="DR42" s="20">
        <f t="shared" si="16"/>
        <v>293.8749069529452</v>
      </c>
      <c r="DS42" s="59">
        <f t="shared" si="17"/>
        <v>587.20824028627851</v>
      </c>
      <c r="DT42" s="59">
        <f ca="1">AVERAGE(OFFSET($DS$3,0,0,'Données projet'!$E$14+1,1))-AVERAGE(OFFSET($H$3,0,0,'Données projet'!$E$14+1,1))</f>
        <v>229.61973863654862</v>
      </c>
      <c r="DU42" s="59">
        <f t="shared" si="44"/>
        <v>254.08208375594052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2.8571246351073714</v>
      </c>
      <c r="EB42" s="21">
        <f>EXP(-LN(2)/25)*EB41+(1-EXP(-LN(2)/25))/(LN(2)/25)*Calculateur!DW42*Calculateur!DY42*VLOOKUP('Données projet'!$B$14,Paramètres!$A$1:$I$89,3,0)*0.475*44/12</f>
        <v>11.918835267558302</v>
      </c>
      <c r="EC42" s="21">
        <f>EXP(-LN(2)/2)*EC41+(1-EXP(-LN(2)/2))/(LN(2)/2)*DW42*DZ42*VLOOKUP('Données projet'!$B$14,Paramètres!$A$1:$I$89,3,0)*0.475*44/12</f>
        <v>0.42269160067997763</v>
      </c>
      <c r="ED42" s="22">
        <f t="shared" si="18"/>
        <v>15.198651503345651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137</v>
      </c>
      <c r="L43" s="12">
        <f>VLOOKUP(A43,'Données projet'!$A$35:$I$55,9,0)</f>
        <v>8.4</v>
      </c>
      <c r="M43" s="12">
        <f t="array" ref="M43">INDEX(L:L,MIN(IF(ISNUMBER(L43:L239),ROW(L43:L239),"")))</f>
        <v>8.4</v>
      </c>
      <c r="N43" s="13">
        <f>IF('Données projet'!$A$36&gt;35,N42+M43-V42,IF(A43&lt;'Données projet'!$A$36,$K$205^A43,IF(A43='Données projet'!$A$36,'Données projet'!$B$36,N42+M43-V42)))</f>
        <v>137.00000000000003</v>
      </c>
      <c r="O43" s="13">
        <f>N43*VLOOKUP('Données projet'!$B$9,Paramètres!$A$1:$I$89,3,0)*VLOOKUP('Données projet'!$B$9,Paramètres!$A$1:$I$89,5,0)</f>
        <v>123.95760000000001</v>
      </c>
      <c r="P43" s="13">
        <f t="shared" si="33"/>
        <v>32.59629414926458</v>
      </c>
      <c r="Q43" s="20">
        <f t="shared" si="53"/>
        <v>272.6646989766358</v>
      </c>
      <c r="R43" s="59">
        <f t="shared" si="0"/>
        <v>565.99803230996918</v>
      </c>
      <c r="S43" s="59">
        <f ca="1">AVERAGE(OFFSET($R$3,0,0,'Données projet'!$E$9+1,1))-AVERAGE(OFFSET($H$3,0,0,'Données projet'!$E$9+1,1))</f>
        <v>373.59295497283125</v>
      </c>
      <c r="T43" s="59">
        <f t="shared" si="34"/>
        <v>231.36959598460686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21</v>
      </c>
      <c r="W43" s="16">
        <f>IF(ISNA(VLOOKUP(A43,'Données projet'!$A$35:$I$55,5,0)),0%,VLOOKUP(A43,'Données projet'!$A$35:$I$55,5,0)*VLOOKUP('Données projet'!$B$9,Paramètres!$A$1:$I$89,7,0))</f>
        <v>8.6000000000000007E-2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1.8064146565189523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1.8064146565189523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137</v>
      </c>
      <c r="AG43" s="12">
        <f>VLOOKUP(A43,'Données projet'!$A$61:$I$81,9,0)</f>
        <v>8.4</v>
      </c>
      <c r="AH43" s="12">
        <f t="array" ref="AH43">INDEX(AG:AG,MIN(IF(ISNUMBER(AG43:AG239),ROW(AG43:AG239),"")))</f>
        <v>8.4</v>
      </c>
      <c r="AI43" s="13">
        <f>IF('Données projet'!$A$62&gt;35,AI42+AH43-AQ42,IF(A43&lt;'Données projet'!$A$62,$AF$205^A43,IF(A43='Données projet'!$A$62,'Données projet'!$B$62,AI42+AH43-AQ42)))</f>
        <v>137.00000000000003</v>
      </c>
      <c r="AJ43" s="13">
        <f>AI43*VLOOKUP('Données projet'!$B$10,Paramètres!$A$1:$I$89,3,0)*VLOOKUP('Données projet'!$B$10,Paramètres!$A$1:$I$89,5,0)</f>
        <v>138.91800000000003</v>
      </c>
      <c r="AK43" s="13">
        <f t="shared" si="35"/>
        <v>36.049022673886341</v>
      </c>
      <c r="AL43" s="20">
        <f t="shared" si="4"/>
        <v>304.73423115701877</v>
      </c>
      <c r="AM43" s="59">
        <f t="shared" si="5"/>
        <v>598.06756449035208</v>
      </c>
      <c r="AN43" s="59">
        <f ca="1">AVERAGE(OFFSET($AM$3,0,0,'Données projet'!$E$10+1,1))-AVERAGE(OFFSET($H$3,0,0,'Données projet'!$E$10+1,1))</f>
        <v>413.81510455446738</v>
      </c>
      <c r="AO43" s="59">
        <f t="shared" si="36"/>
        <v>254.25036207346602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21</v>
      </c>
      <c r="AR43" s="16">
        <f>IF(ISNA(VLOOKUP(A43,'Données projet'!$A$61:$I$81,5,0)),0%,VLOOKUP(A43,'Données projet'!$A$61:$I$81,5,0)*VLOOKUP('Données projet'!$B$10,Paramètres!$A$1:$I$89,7,0))</f>
        <v>8.6000000000000007E-2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2.0244302185126197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2.0244302185126197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137</v>
      </c>
      <c r="BB43" s="12">
        <f>VLOOKUP(A43,'Données projet'!$A$87:$I$107,9,0)</f>
        <v>8.4</v>
      </c>
      <c r="BC43" s="12">
        <f t="array" ref="BC43">INDEX(BB:BB,MIN(IF(ISNUMBER(BB43:BB239),ROW(BB43:BB239),"")))</f>
        <v>8.4</v>
      </c>
      <c r="BD43" s="12">
        <f>IF('Données projet'!$A$88&gt;35,BD42+BC43-BL42,IF(A43&lt;'Données projet'!$A$88,$BA$205^A43,IF(A43='Données projet'!$A$88,'Données projet'!$B$88,BD42+BC43-BL42)))</f>
        <v>137.00000000000003</v>
      </c>
      <c r="BE43" s="13">
        <f>BD43*VLOOKUP('Données projet'!$B$11,Paramètres!$A$1:$I$89,3,0)*VLOOKUP('Données projet'!$B$11,Paramètres!$A$1:$I$89,5,0)</f>
        <v>132.50640000000001</v>
      </c>
      <c r="BF43" s="13">
        <f t="shared" si="37"/>
        <v>34.574869530248939</v>
      </c>
      <c r="BG43" s="20">
        <f t="shared" si="7"/>
        <v>290.99987776518356</v>
      </c>
      <c r="BH43" s="59">
        <f t="shared" si="8"/>
        <v>584.33321109851681</v>
      </c>
      <c r="BI43" s="59">
        <f ca="1">AVERAGE(OFFSET($BH$3,0,0,'Données projet'!$E$11+1,1))-AVERAGE(OFFSET($H$3,0,0,'Données projet'!$E$11+1,1))</f>
        <v>295.35565287134125</v>
      </c>
      <c r="BJ43" s="59">
        <f t="shared" si="38"/>
        <v>244.451492444461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21</v>
      </c>
      <c r="BM43" s="16">
        <f>IF(ISNA(VLOOKUP(A43,'Données projet'!$A$87:$I$107,5,0)),0%,VLOOKUP(A43,'Données projet'!$A$87:$I$107,5,0)*VLOOKUP('Données projet'!$B$11,Paramètres!$A$1:$I$89,7,0))</f>
        <v>8.6000000000000007E-2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1.9309949776581907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1.9309949776581907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137</v>
      </c>
      <c r="BW43" s="12">
        <f>VLOOKUP(A43,'Données projet'!$A$113:$I$133,9,0)</f>
        <v>8.4</v>
      </c>
      <c r="BX43" s="12">
        <f t="array" ref="BX43">INDEX(BW:BW,MIN(IF(ISNUMBER(BW43:BW239),ROW(BW43:BW239),"")))</f>
        <v>8.4</v>
      </c>
      <c r="BY43" s="12">
        <f>IF('Données projet'!$A$114&gt;35,BY42+BX43-CG42,IF(A43&lt;'Données projet'!$A$114,$BV$205^A43,IF(A43='Données projet'!$A$114,'Données projet'!$B$114,BY42+BX43-CG42)))</f>
        <v>137.00000000000003</v>
      </c>
      <c r="BZ43" s="13">
        <f>BY43*VLOOKUP('Données projet'!$B$12,Paramètres!$A$1:$I$89,3,0)*VLOOKUP('Données projet'!$B$12,Paramètres!$A$1:$I$89,5,0)</f>
        <v>147.46680000000003</v>
      </c>
      <c r="CA43" s="13">
        <f t="shared" si="39"/>
        <v>38.002337418636309</v>
      </c>
      <c r="CB43" s="20">
        <f t="shared" si="10"/>
        <v>323.02541433745824</v>
      </c>
      <c r="CC43" s="59">
        <f t="shared" si="11"/>
        <v>616.35874767079156</v>
      </c>
      <c r="CD43" s="59">
        <f ca="1">AVERAGE(OFFSET($CC$3,0,0,'Données projet'!$E$12+1,1))-AVERAGE(OFFSET($H$3,0,0,'Données projet'!$E$12+1,1))</f>
        <v>324.61094137855798</v>
      </c>
      <c r="CE43" s="59">
        <f t="shared" si="40"/>
        <v>267.2998309535638</v>
      </c>
      <c r="CF43" s="15">
        <f>IF(ISNA(VLOOKUP(A43,'Données projet'!$A$113:$I$133,3,0)),0,VLOOKUP(A43,'Données projet'!$A$113:$I$133,3,0))</f>
        <v>5</v>
      </c>
      <c r="CG43" s="15">
        <f>IF(ISNA(VLOOKUP(A43,'Données projet'!$A$113:$I$133,4,0)),0,VLOOKUP(A43,'Données projet'!$A$113:$I$133,4,0))</f>
        <v>21</v>
      </c>
      <c r="CH43" s="16">
        <f>IF(ISNA(VLOOKUP(A43,'Données projet'!$A$113:$I$133,5,0)),0%,VLOOKUP(A43,'Données projet'!$A$113:$I$133,5,0)*VLOOKUP('Données projet'!$B$12,Paramètres!$A$1:$I$89,7,0))</f>
        <v>8.6000000000000007E-2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2.1490105396518566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2.1490105396518566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424</v>
      </c>
      <c r="CR43" s="12">
        <f>VLOOKUP(A43,'Données projet'!$A$139:$I$159,9,0)</f>
        <v>23.6</v>
      </c>
      <c r="CS43" s="12">
        <f t="array" ref="CS43">INDEX(CR:CR,MIN(IF(ISNUMBER(CR43:CR239),ROW(CR43:CR239),"")))</f>
        <v>23.6</v>
      </c>
      <c r="CT43" s="12">
        <f>IF('Données projet'!$A$140&gt;35,CT42+CS43-DB42,IF(A43&lt;'Données projet'!$A$140,$CQ$205^A43,IF(A43='Données projet'!$A$140,'Données projet'!$B$140,CT42+CS43-DB42)))</f>
        <v>424.00000000000017</v>
      </c>
      <c r="CU43" s="17">
        <f>CT43*VLOOKUP('Données projet'!$B$13,Paramètres!$A$1:$I$89,3,0)*VLOOKUP('Données projet'!$B$13,Paramètres!$A$1:$I$89,5,0)</f>
        <v>253.55200000000011</v>
      </c>
      <c r="CV43" s="13">
        <f t="shared" si="41"/>
        <v>61.345922542613536</v>
      </c>
      <c r="CW43" s="20">
        <f t="shared" si="13"/>
        <v>548.447215095052</v>
      </c>
      <c r="CX43" s="59">
        <f t="shared" si="14"/>
        <v>841.78054842838537</v>
      </c>
      <c r="CY43" s="59">
        <f ca="1">AVERAGE(OFFSET($CX$3,0,0,'Données projet'!$E$13+1,1))-AVERAGE(OFFSET($H$3,0,0,'Données projet'!$E$13+1,1))</f>
        <v>319.9010109022521</v>
      </c>
      <c r="CZ43" s="59">
        <f t="shared" si="42"/>
        <v>441.82647565372287</v>
      </c>
      <c r="DA43" s="15">
        <f>IF(ISNA(VLOOKUP(A43,'Données projet'!$A$139:$I$159,3,0)),0,VLOOKUP(A43,'Données projet'!$A$139:$I$159,3,0))</f>
        <v>6</v>
      </c>
      <c r="DB43" s="15">
        <f>IF(ISNA(VLOOKUP(A43,'Données projet'!$A$139:$I$159,4,0)),0,VLOOKUP(A43,'Données projet'!$A$139:$I$159,4,0))</f>
        <v>63</v>
      </c>
      <c r="DC43" s="16">
        <f>IF(ISNA(VLOOKUP(A43,'Données projet'!$A$139:$I$159,5,0)),0%,VLOOKUP(A43,'Données projet'!$A$139:$I$159,5,0)*VLOOKUP('Données projet'!$B$13,Paramètres!$A$1:$I$89,7,0))</f>
        <v>0.22500000000000001</v>
      </c>
      <c r="DD43" s="16">
        <f>IF(ISNA(VLOOKUP(A43,'Données projet'!$A$139:$I$159,6,0)),0%,VLOOKUP(A43,'Données projet'!$A$139:$I$159,6,0)*VLOOKUP('Données projet'!$B$13,Paramètres!$A$1:$I$89,7,0))</f>
        <v>0.12600000000000003</v>
      </c>
      <c r="DE43" s="16">
        <f>IF(ISNA(VLOOKUP(A43,'Données projet'!$A$139:$I$159,7,0)),0%,VLOOKUP(A43,'Données projet'!$A$139:$I$159,7,0))</f>
        <v>0.22</v>
      </c>
      <c r="DF43" s="21">
        <f>EXP(-LN(2)/35)*DF42+(1-EXP(-LN(2)/35))/(LN(2)/35)*DB43*DC43*VLOOKUP('Données projet'!$B$13,Paramètres!$A$1:$I$89,3,0)*0.475*44/12</f>
        <v>35.421235310763997</v>
      </c>
      <c r="DG43" s="21">
        <f>EXP(-LN(2)/25)*DG42+(1-EXP(-LN(2)/25))/(LN(2)/25)*Calculateur!DB43*Calculateur!DD43*VLOOKUP('Données projet'!$B$13,Paramètres!$A$1:$I$89,3,0)*0.475*44/12</f>
        <v>31.348544236073668</v>
      </c>
      <c r="DH43" s="21">
        <f>EXP(-LN(2)/2)*DH42+(1-EXP(-LN(2)/2))/(LN(2)/2)*DB43*DE43*VLOOKUP('Données projet'!$B$13,Paramètres!$A$1:$I$89,3,0)*0.475*44/12</f>
        <v>11.7795769711801</v>
      </c>
      <c r="DI43" s="22">
        <f t="shared" si="15"/>
        <v>78.549356518017774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300</v>
      </c>
      <c r="DM43" s="12">
        <f>VLOOKUP(A43,'Données projet'!$A$165:$I$185,9,0)</f>
        <v>14</v>
      </c>
      <c r="DN43" s="12">
        <f t="array" ref="DN43">INDEX(DM:DM,MIN(IF(ISNUMBER(DM43:DM239),ROW(DM43:DM239),"")))</f>
        <v>14</v>
      </c>
      <c r="DO43" s="12">
        <f>IF('Données projet'!$A$166&gt;35,DO42+DN43-DW42,IF(A43&lt;'Données projet'!$A$166,$DL$205^A43,IF(A43='Données projet'!$A$166,'Données projet'!$B$166,DO42+DN43-DW42)))</f>
        <v>300</v>
      </c>
      <c r="DP43" s="17">
        <f>DO43*VLOOKUP('Données projet'!$B$14,Paramètres!$A$1:$I$89,3,0)*VLOOKUP('Données projet'!$B$14,Paramètres!$A$1:$I$89,5,0)</f>
        <v>140.4</v>
      </c>
      <c r="DQ43" s="13">
        <f t="shared" si="43"/>
        <v>36.388624656711201</v>
      </c>
      <c r="DR43" s="20">
        <f t="shared" si="16"/>
        <v>307.90685461043864</v>
      </c>
      <c r="DS43" s="59">
        <f t="shared" si="17"/>
        <v>601.24018794377196</v>
      </c>
      <c r="DT43" s="59">
        <f ca="1">AVERAGE(OFFSET($DS$3,0,0,'Données projet'!$E$14+1,1))-AVERAGE(OFFSET($H$3,0,0,'Données projet'!$E$14+1,1))</f>
        <v>229.61973863654862</v>
      </c>
      <c r="DU43" s="59">
        <f t="shared" si="44"/>
        <v>254.08208375594052</v>
      </c>
      <c r="DV43" s="15">
        <f>IF(ISNA(VLOOKUP(A43,'Données projet'!$A$165:$I$185,3,0)),0,VLOOKUP(A43,'Données projet'!$A$165:$I$185,3,0))</f>
        <v>3</v>
      </c>
      <c r="DW43" s="15">
        <f>IF(ISNA(VLOOKUP(A43,'Données projet'!$A$165:$I$185,4,0)),0,VLOOKUP(A43,'Données projet'!$A$165:$I$185,4,0))</f>
        <v>50</v>
      </c>
      <c r="DX43" s="16">
        <f>IF(ISNA(VLOOKUP(A43,'Données projet'!$A$165:$I$185,5,0)),0%,VLOOKUP(A43,'Données projet'!$A$165:$I$185,5,0)*VLOOKUP('Données projet'!$B$14,Paramètres!$A$1:$I$89,7,0))</f>
        <v>0.16500000000000001</v>
      </c>
      <c r="DY43" s="16">
        <f>IF(ISNA(VLOOKUP(A43,'Données projet'!$A$165:$I$185,6,0)),0%,VLOOKUP(A43,'Données projet'!$A$165:$I$185,6,0)*VLOOKUP('Données projet'!$B$14,Paramètres!$A$1:$I$89,7,0))</f>
        <v>0.21450000000000002</v>
      </c>
      <c r="DZ43" s="16">
        <f>IF(ISNA(VLOOKUP(A43,'Données projet'!$A$165:$I$185,7,0)),0%,VLOOKUP(A43,'Données projet'!$A$165:$I$185,7,0))</f>
        <v>0.31</v>
      </c>
      <c r="EA43" s="21">
        <f>EXP(-LN(2)/35)*EA42+(1-EXP(-LN(2)/35))/(LN(2)/35)*DW43*DX43*VLOOKUP('Données projet'!$B$14,Paramètres!$A$1:$I$89,3,0)*0.475*44/12</f>
        <v>7.9229635261389344</v>
      </c>
      <c r="EB43" s="21">
        <f>EXP(-LN(2)/25)*EB42+(1-EXP(-LN(2)/25))/(LN(2)/25)*Calculateur!DW43*Calculateur!DY43*VLOOKUP('Données projet'!$B$14,Paramètres!$A$1:$I$89,3,0)*0.475*44/12</f>
        <v>18.225122305399918</v>
      </c>
      <c r="EC43" s="21">
        <f>EXP(-LN(2)/2)*EC42+(1-EXP(-LN(2)/2))/(LN(2)/2)*DW43*DZ43*VLOOKUP('Données projet'!$B$14,Paramètres!$A$1:$I$89,3,0)*0.475*44/12</f>
        <v>8.5121011834483884</v>
      </c>
      <c r="ED43" s="22">
        <f t="shared" si="18"/>
        <v>34.660187014987237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8.4</v>
      </c>
      <c r="N44" s="13">
        <f>IF('Données projet'!$A$36&gt;35,N43+M44-V43,IF(A44&lt;'Données projet'!$A$36,$K$205^A44,IF(A44='Données projet'!$A$36,'Données projet'!$B$36,N43+M44-V43)))</f>
        <v>124.40000000000003</v>
      </c>
      <c r="O44" s="13">
        <f>N44*VLOOKUP('Données projet'!$B$9,Paramètres!$A$1:$I$89,3,0)*VLOOKUP('Données projet'!$B$9,Paramètres!$A$1:$I$89,5,0)</f>
        <v>112.55712000000003</v>
      </c>
      <c r="P44" s="13">
        <f t="shared" si="33"/>
        <v>29.932653834140599</v>
      </c>
      <c r="Q44" s="20">
        <f t="shared" si="53"/>
        <v>248.16968942779496</v>
      </c>
      <c r="R44" s="59">
        <f t="shared" si="0"/>
        <v>541.50302276112825</v>
      </c>
      <c r="S44" s="59">
        <f ca="1">AVERAGE(OFFSET($R$3,0,0,'Données projet'!$E$9+1,1))-AVERAGE(OFFSET($H$3,0,0,'Données projet'!$E$9+1,1))</f>
        <v>373.59295497283125</v>
      </c>
      <c r="T44" s="59">
        <f t="shared" si="34"/>
        <v>231.36959598460686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1.7709919669087619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1.7709919669087619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8.4</v>
      </c>
      <c r="AI44" s="13">
        <f>IF('Données projet'!$A$62&gt;35,AI43+AH44-AQ43,IF(A44&lt;'Données projet'!$A$62,$AF$205^A44,IF(A44='Données projet'!$A$62,'Données projet'!$B$62,AI43+AH44-AQ43)))</f>
        <v>124.40000000000003</v>
      </c>
      <c r="AJ44" s="13">
        <f>AI44*VLOOKUP('Données projet'!$B$10,Paramètres!$A$1:$I$89,3,0)*VLOOKUP('Données projet'!$B$10,Paramètres!$A$1:$I$89,5,0)</f>
        <v>126.14160000000005</v>
      </c>
      <c r="AK44" s="13">
        <f t="shared" si="35"/>
        <v>33.10323903126482</v>
      </c>
      <c r="AL44" s="20">
        <f t="shared" si="4"/>
        <v>277.35142797945298</v>
      </c>
      <c r="AM44" s="59">
        <f t="shared" si="5"/>
        <v>570.68476131278635</v>
      </c>
      <c r="AN44" s="59">
        <f ca="1">AVERAGE(OFFSET($AM$3,0,0,'Données projet'!$E$10+1,1))-AVERAGE(OFFSET($H$3,0,0,'Données projet'!$E$10+1,1))</f>
        <v>413.81510455446738</v>
      </c>
      <c r="AO44" s="59">
        <f t="shared" si="36"/>
        <v>254.25036207346602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1.984732376708096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1.984732376708096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8.4</v>
      </c>
      <c r="BD44" s="12">
        <f>IF('Données projet'!$A$88&gt;35,BD43+BC44-BL43,IF(A44&lt;'Données projet'!$A$88,$BA$205^A44,IF(A44='Données projet'!$A$88,'Données projet'!$B$88,BD43+BC44-BL43)))</f>
        <v>124.40000000000003</v>
      </c>
      <c r="BE44" s="13">
        <f>BD44*VLOOKUP('Données projet'!$B$11,Paramètres!$A$1:$I$89,3,0)*VLOOKUP('Données projet'!$B$11,Paramètres!$A$1:$I$89,5,0)</f>
        <v>120.31968000000002</v>
      </c>
      <c r="BF44" s="13">
        <f t="shared" si="37"/>
        <v>31.74954785566829</v>
      </c>
      <c r="BG44" s="20">
        <f t="shared" si="7"/>
        <v>264.85390518195561</v>
      </c>
      <c r="BH44" s="59">
        <f t="shared" si="8"/>
        <v>558.18723851528898</v>
      </c>
      <c r="BI44" s="59">
        <f ca="1">AVERAGE(OFFSET($BH$3,0,0,'Données projet'!$E$11+1,1))-AVERAGE(OFFSET($H$3,0,0,'Données projet'!$E$11+1,1))</f>
        <v>295.35565287134125</v>
      </c>
      <c r="BJ44" s="59">
        <f t="shared" si="38"/>
        <v>244.451492444461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1.8931293439369528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1.8931293439369528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8.4</v>
      </c>
      <c r="BY44" s="12">
        <f>IF('Données projet'!$A$114&gt;35,BY43+BX44-CG43,IF(A44&lt;'Données projet'!$A$114,$BV$205^A44,IF(A44='Données projet'!$A$114,'Données projet'!$B$114,BY43+BX44-CG43)))</f>
        <v>124.40000000000003</v>
      </c>
      <c r="BZ44" s="13">
        <f>BY44*VLOOKUP('Données projet'!$B$12,Paramètres!$A$1:$I$89,3,0)*VLOOKUP('Données projet'!$B$12,Paramètres!$A$1:$I$89,5,0)</f>
        <v>133.90416000000002</v>
      </c>
      <c r="CA44" s="13">
        <f t="shared" si="39"/>
        <v>34.896936615903982</v>
      </c>
      <c r="CB44" s="20">
        <f t="shared" si="10"/>
        <v>293.99524327269938</v>
      </c>
      <c r="CC44" s="59">
        <f t="shared" si="11"/>
        <v>587.3285766060327</v>
      </c>
      <c r="CD44" s="59">
        <f ca="1">AVERAGE(OFFSET($CC$3,0,0,'Données projet'!$E$12+1,1))-AVERAGE(OFFSET($H$3,0,0,'Données projet'!$E$12+1,1))</f>
        <v>324.61094137855798</v>
      </c>
      <c r="CE44" s="59">
        <f t="shared" si="40"/>
        <v>267.2998309535638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2.1068697537362855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2.1068697537362855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21.6</v>
      </c>
      <c r="CT44" s="12">
        <f>IF('Données projet'!$A$140&gt;35,CT43+CS44-DB43,IF(A44&lt;'Données projet'!$A$140,$CQ$205^A44,IF(A44='Données projet'!$A$140,'Données projet'!$B$140,CT43+CS44-DB43)))</f>
        <v>382.60000000000019</v>
      </c>
      <c r="CU44" s="17">
        <f>CT44*VLOOKUP('Données projet'!$B$13,Paramètres!$A$1:$I$89,3,0)*VLOOKUP('Données projet'!$B$13,Paramètres!$A$1:$I$89,5,0)</f>
        <v>228.79480000000012</v>
      </c>
      <c r="CV44" s="13">
        <f t="shared" si="41"/>
        <v>56.022009485811381</v>
      </c>
      <c r="CW44" s="20">
        <f t="shared" si="13"/>
        <v>496.05594318778844</v>
      </c>
      <c r="CX44" s="59">
        <f t="shared" si="14"/>
        <v>789.3892765211217</v>
      </c>
      <c r="CY44" s="59">
        <f ca="1">AVERAGE(OFFSET($CX$3,0,0,'Données projet'!$E$13+1,1))-AVERAGE(OFFSET($H$3,0,0,'Données projet'!$E$13+1,1))</f>
        <v>319.9010109022521</v>
      </c>
      <c r="CZ44" s="59">
        <f t="shared" si="42"/>
        <v>441.82647565372287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34.726646491140158</v>
      </c>
      <c r="DG44" s="21">
        <f>EXP(-LN(2)/25)*DG43+(1-EXP(-LN(2)/25))/(LN(2)/25)*Calculateur!DB44*Calculateur!DD44*VLOOKUP('Données projet'!$B$13,Paramètres!$A$1:$I$89,3,0)*0.475*44/12</f>
        <v>30.49131664538994</v>
      </c>
      <c r="DH44" s="21">
        <f>EXP(-LN(2)/2)*DH43+(1-EXP(-LN(2)/2))/(LN(2)/2)*DB44*DE44*VLOOKUP('Données projet'!$B$13,Paramètres!$A$1:$I$89,3,0)*0.475*44/12</f>
        <v>8.3294187558303427</v>
      </c>
      <c r="DI44" s="22">
        <f t="shared" si="15"/>
        <v>73.547381892360448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14</v>
      </c>
      <c r="DO44" s="12">
        <f>IF('Données projet'!$A$166&gt;35,DO43+DN44-DW43,IF(A44&lt;'Données projet'!$A$166,$DL$205^A44,IF(A44='Données projet'!$A$166,'Données projet'!$B$166,DO43+DN44-DW43)))</f>
        <v>264</v>
      </c>
      <c r="DP44" s="17">
        <f>DO44*VLOOKUP('Données projet'!$B$14,Paramètres!$A$1:$I$89,3,0)*VLOOKUP('Données projet'!$B$14,Paramètres!$A$1:$I$89,5,0)</f>
        <v>123.55199999999999</v>
      </c>
      <c r="DQ44" s="13">
        <f t="shared" si="43"/>
        <v>32.502033262579566</v>
      </c>
      <c r="DR44" s="20">
        <f t="shared" si="16"/>
        <v>271.79410793232609</v>
      </c>
      <c r="DS44" s="59">
        <f t="shared" si="17"/>
        <v>565.1274412656594</v>
      </c>
      <c r="DT44" s="59">
        <f ca="1">AVERAGE(OFFSET($DS$3,0,0,'Données projet'!$E$14+1,1))-AVERAGE(OFFSET($H$3,0,0,'Données projet'!$E$14+1,1))</f>
        <v>229.61973863654862</v>
      </c>
      <c r="DU44" s="59">
        <f t="shared" si="44"/>
        <v>254.08208375594052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7.767599043921928</v>
      </c>
      <c r="EB44" s="21">
        <f>EXP(-LN(2)/25)*EB43+(1-EXP(-LN(2)/25))/(LN(2)/25)*Calculateur!DW44*Calculateur!DY44*VLOOKUP('Données projet'!$B$14,Paramètres!$A$1:$I$89,3,0)*0.475*44/12</f>
        <v>17.726755377541227</v>
      </c>
      <c r="EC44" s="21">
        <f>EXP(-LN(2)/2)*EC43+(1-EXP(-LN(2)/2))/(LN(2)/2)*DW44*DZ44*VLOOKUP('Données projet'!$B$14,Paramètres!$A$1:$I$89,3,0)*0.475*44/12</f>
        <v>6.018964468962392</v>
      </c>
      <c r="ED44" s="22">
        <f t="shared" si="18"/>
        <v>31.513318890425548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8.4</v>
      </c>
      <c r="N45" s="13">
        <f>IF('Données projet'!$A$36&gt;35,N44+M45-V44,IF(A45&lt;'Données projet'!$A$36,$K$205^A45,IF(A45='Données projet'!$A$36,'Données projet'!$B$36,N44+M45-V44)))</f>
        <v>132.80000000000004</v>
      </c>
      <c r="O45" s="13">
        <f>N45*VLOOKUP('Données projet'!$B$9,Paramètres!$A$1:$I$89,3,0)*VLOOKUP('Données projet'!$B$9,Paramètres!$A$1:$I$89,5,0)</f>
        <v>120.15744000000002</v>
      </c>
      <c r="P45" s="13">
        <f t="shared" si="33"/>
        <v>31.711716786129845</v>
      </c>
      <c r="Q45" s="20">
        <f t="shared" si="53"/>
        <v>264.50544806917623</v>
      </c>
      <c r="R45" s="59">
        <f t="shared" si="0"/>
        <v>557.83878140250954</v>
      </c>
      <c r="S45" s="59">
        <f ca="1">AVERAGE(OFFSET($R$3,0,0,'Données projet'!$E$9+1,1))-AVERAGE(OFFSET($H$3,0,0,'Données projet'!$E$9+1,1))</f>
        <v>373.59295497283125</v>
      </c>
      <c r="T45" s="59">
        <f t="shared" si="34"/>
        <v>231.36959598460686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1.7362638946361202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1.7362638946361202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8.4</v>
      </c>
      <c r="AI45" s="13">
        <f>IF('Données projet'!$A$62&gt;35,AI44+AH45-AQ44,IF(A45&lt;'Données projet'!$A$62,$AF$205^A45,IF(A45='Données projet'!$A$62,'Données projet'!$B$62,AI44+AH45-AQ44)))</f>
        <v>132.80000000000004</v>
      </c>
      <c r="AJ45" s="13">
        <f>AI45*VLOOKUP('Données projet'!$B$10,Paramètres!$A$1:$I$89,3,0)*VLOOKUP('Données projet'!$B$10,Paramètres!$A$1:$I$89,5,0)</f>
        <v>134.65920000000006</v>
      </c>
      <c r="AK45" s="13">
        <f t="shared" si="35"/>
        <v>35.07074737441733</v>
      </c>
      <c r="AL45" s="20">
        <f t="shared" si="4"/>
        <v>295.61299167711024</v>
      </c>
      <c r="AM45" s="59">
        <f t="shared" si="5"/>
        <v>588.94632501044362</v>
      </c>
      <c r="AN45" s="59">
        <f ca="1">AVERAGE(OFFSET($AM$3,0,0,'Données projet'!$E$10+1,1))-AVERAGE(OFFSET($H$3,0,0,'Données projet'!$E$10+1,1))</f>
        <v>413.81510455446738</v>
      </c>
      <c r="AO45" s="59">
        <f t="shared" si="36"/>
        <v>254.25036207346602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1.9458129853680664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1.9458129853680664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8.4</v>
      </c>
      <c r="BD45" s="12">
        <f>IF('Données projet'!$A$88&gt;35,BD44+BC45-BL44,IF(A45&lt;'Données projet'!$A$88,$BA$205^A45,IF(A45='Données projet'!$A$88,'Données projet'!$B$88,BD44+BC45-BL44)))</f>
        <v>132.80000000000004</v>
      </c>
      <c r="BE45" s="13">
        <f>BD45*VLOOKUP('Données projet'!$B$11,Paramètres!$A$1:$I$89,3,0)*VLOOKUP('Données projet'!$B$11,Paramètres!$A$1:$I$89,5,0)</f>
        <v>128.44416000000004</v>
      </c>
      <c r="BF45" s="13">
        <f t="shared" si="37"/>
        <v>33.636598855068954</v>
      </c>
      <c r="BG45" s="20">
        <f t="shared" si="7"/>
        <v>282.29065500591184</v>
      </c>
      <c r="BH45" s="59">
        <f t="shared" si="8"/>
        <v>575.62398833924522</v>
      </c>
      <c r="BI45" s="59">
        <f ca="1">AVERAGE(OFFSET($BH$3,0,0,'Données projet'!$E$11+1,1))-AVERAGE(OFFSET($H$3,0,0,'Données projet'!$E$11+1,1))</f>
        <v>295.35565287134125</v>
      </c>
      <c r="BJ45" s="59">
        <f t="shared" si="38"/>
        <v>244.451492444461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1.8560062321972324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1.8560062321972324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8.4</v>
      </c>
      <c r="BY45" s="12">
        <f>IF('Données projet'!$A$114&gt;35,BY44+BX45-CG44,IF(A45&lt;'Données projet'!$A$114,$BV$205^A45,IF(A45='Données projet'!$A$114,'Données projet'!$B$114,BY44+BX45-CG44)))</f>
        <v>132.80000000000004</v>
      </c>
      <c r="BZ45" s="13">
        <f>BY45*VLOOKUP('Données projet'!$B$12,Paramètres!$A$1:$I$89,3,0)*VLOOKUP('Données projet'!$B$12,Paramètres!$A$1:$I$89,5,0)</f>
        <v>142.94592000000003</v>
      </c>
      <c r="CA45" s="13">
        <f t="shared" si="39"/>
        <v>36.971054314096854</v>
      </c>
      <c r="CB45" s="20">
        <f t="shared" si="10"/>
        <v>313.35539693038538</v>
      </c>
      <c r="CC45" s="59">
        <f t="shared" si="11"/>
        <v>606.68873026371875</v>
      </c>
      <c r="CD45" s="59">
        <f ca="1">AVERAGE(OFFSET($CC$3,0,0,'Données projet'!$E$12+1,1))-AVERAGE(OFFSET($H$3,0,0,'Données projet'!$E$12+1,1))</f>
        <v>324.61094137855798</v>
      </c>
      <c r="CE45" s="59">
        <f t="shared" si="40"/>
        <v>267.2998309535638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2.0655553229291774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2.0655553229291774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21.6</v>
      </c>
      <c r="CT45" s="12">
        <f>IF('Données projet'!$A$140&gt;35,CT44+CS45-DB44,IF(A45&lt;'Données projet'!$A$140,$CQ$205^A45,IF(A45='Données projet'!$A$140,'Données projet'!$B$140,CT44+CS45-DB44)))</f>
        <v>404.20000000000022</v>
      </c>
      <c r="CU45" s="17">
        <f>CT45*VLOOKUP('Données projet'!$B$13,Paramètres!$A$1:$I$89,3,0)*VLOOKUP('Données projet'!$B$13,Paramètres!$A$1:$I$89,5,0)</f>
        <v>241.71160000000015</v>
      </c>
      <c r="CV45" s="13">
        <f t="shared" si="41"/>
        <v>58.807637113502857</v>
      </c>
      <c r="CW45" s="20">
        <f t="shared" si="13"/>
        <v>523.40433797268429</v>
      </c>
      <c r="CX45" s="59">
        <f t="shared" si="14"/>
        <v>816.73767130601755</v>
      </c>
      <c r="CY45" s="59">
        <f ca="1">AVERAGE(OFFSET($CX$3,0,0,'Données projet'!$E$13+1,1))-AVERAGE(OFFSET($H$3,0,0,'Données projet'!$E$13+1,1))</f>
        <v>319.9010109022521</v>
      </c>
      <c r="CZ45" s="59">
        <f t="shared" si="42"/>
        <v>441.82647565372287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34.045678134611791</v>
      </c>
      <c r="DG45" s="21">
        <f>EXP(-LN(2)/25)*DG44+(1-EXP(-LN(2)/25))/(LN(2)/25)*Calculateur!DB45*Calculateur!DD45*VLOOKUP('Données projet'!$B$13,Paramètres!$A$1:$I$89,3,0)*0.475*44/12</f>
        <v>29.657529988253099</v>
      </c>
      <c r="DH45" s="21">
        <f>EXP(-LN(2)/2)*DH44+(1-EXP(-LN(2)/2))/(LN(2)/2)*DB45*DE45*VLOOKUP('Données projet'!$B$13,Paramètres!$A$1:$I$89,3,0)*0.475*44/12</f>
        <v>5.8897884855900511</v>
      </c>
      <c r="DI45" s="22">
        <f t="shared" si="15"/>
        <v>69.592996608454939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14</v>
      </c>
      <c r="DO45" s="12">
        <f>IF('Données projet'!$A$166&gt;35,DO44+DN45-DW44,IF(A45&lt;'Données projet'!$A$166,$DL$205^A45,IF(A45='Données projet'!$A$166,'Données projet'!$B$166,DO44+DN45-DW44)))</f>
        <v>278</v>
      </c>
      <c r="DP45" s="17">
        <f>DO45*VLOOKUP('Données projet'!$B$14,Paramètres!$A$1:$I$89,3,0)*VLOOKUP('Données projet'!$B$14,Paramètres!$A$1:$I$89,5,0)</f>
        <v>130.10400000000001</v>
      </c>
      <c r="DQ45" s="13">
        <f t="shared" si="43"/>
        <v>34.020389560268086</v>
      </c>
      <c r="DR45" s="20">
        <f t="shared" si="16"/>
        <v>285.8499784841336</v>
      </c>
      <c r="DS45" s="59">
        <f t="shared" si="17"/>
        <v>579.18331181746692</v>
      </c>
      <c r="DT45" s="59">
        <f ca="1">AVERAGE(OFFSET($DS$3,0,0,'Données projet'!$E$14+1,1))-AVERAGE(OFFSET($H$3,0,0,'Données projet'!$E$14+1,1))</f>
        <v>229.61973863654862</v>
      </c>
      <c r="DU45" s="59">
        <f t="shared" si="44"/>
        <v>254.08208375594052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7.6152811644382199</v>
      </c>
      <c r="EB45" s="21">
        <f>EXP(-LN(2)/25)*EB44+(1-EXP(-LN(2)/25))/(LN(2)/25)*Calculateur!DW45*Calculateur!DY45*VLOOKUP('Données projet'!$B$14,Paramètres!$A$1:$I$89,3,0)*0.475*44/12</f>
        <v>17.242016319532812</v>
      </c>
      <c r="EC45" s="21">
        <f>EXP(-LN(2)/2)*EC44+(1-EXP(-LN(2)/2))/(LN(2)/2)*DW45*DZ45*VLOOKUP('Données projet'!$B$14,Paramètres!$A$1:$I$89,3,0)*0.475*44/12</f>
        <v>4.2560505917241942</v>
      </c>
      <c r="ED45" s="22">
        <f t="shared" si="18"/>
        <v>29.113348075695225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8.4</v>
      </c>
      <c r="N46" s="13">
        <f>IF('Données projet'!$A$36&gt;35,N45+M46-V45,IF(A46&lt;'Données projet'!$A$36,$K$205^A46,IF(A46='Données projet'!$A$36,'Données projet'!$B$36,N45+M46-V45)))</f>
        <v>141.20000000000005</v>
      </c>
      <c r="O46" s="13">
        <f>N46*VLOOKUP('Données projet'!$B$9,Paramètres!$A$1:$I$89,3,0)*VLOOKUP('Données projet'!$B$9,Paramètres!$A$1:$I$89,5,0)</f>
        <v>127.75776000000003</v>
      </c>
      <c r="P46" s="13">
        <f t="shared" si="33"/>
        <v>33.477720030956604</v>
      </c>
      <c r="Q46" s="20">
        <f t="shared" si="53"/>
        <v>280.81846105391611</v>
      </c>
      <c r="R46" s="59">
        <f t="shared" si="0"/>
        <v>574.15179438724942</v>
      </c>
      <c r="S46" s="59">
        <f ca="1">AVERAGE(OFFSET($R$3,0,0,'Données projet'!$E$9+1,1))-AVERAGE(OFFSET($H$3,0,0,'Données projet'!$E$9+1,1))</f>
        <v>373.59295497283125</v>
      </c>
      <c r="T46" s="59">
        <f t="shared" si="34"/>
        <v>231.36959598460686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1.7022168186787123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1.7022168186787123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8.4</v>
      </c>
      <c r="AI46" s="13">
        <f>IF('Données projet'!$A$62&gt;35,AI45+AH46-AQ45,IF(A46&lt;'Données projet'!$A$62,$AF$205^A46,IF(A46='Données projet'!$A$62,'Données projet'!$B$62,AI45+AH46-AQ45)))</f>
        <v>141.20000000000005</v>
      </c>
      <c r="AJ46" s="13">
        <f>AI46*VLOOKUP('Données projet'!$B$10,Paramètres!$A$1:$I$89,3,0)*VLOOKUP('Données projet'!$B$10,Paramètres!$A$1:$I$89,5,0)</f>
        <v>143.17680000000004</v>
      </c>
      <c r="AK46" s="13">
        <f t="shared" si="35"/>
        <v>37.023812674521515</v>
      </c>
      <c r="AL46" s="20">
        <f t="shared" si="4"/>
        <v>313.84940040812506</v>
      </c>
      <c r="AM46" s="59">
        <f t="shared" si="5"/>
        <v>607.18273374145838</v>
      </c>
      <c r="AN46" s="59">
        <f ca="1">AVERAGE(OFFSET($AM$3,0,0,'Données projet'!$E$10+1,1))-AVERAGE(OFFSET($H$3,0,0,'Données projet'!$E$10+1,1))</f>
        <v>413.81510455446738</v>
      </c>
      <c r="AO46" s="59">
        <f t="shared" si="36"/>
        <v>254.25036207346602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1.90765677955373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1.90765677955373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8.4</v>
      </c>
      <c r="BD46" s="12">
        <f>IF('Données projet'!$A$88&gt;35,BD45+BC46-BL45,IF(A46&lt;'Données projet'!$A$88,$BA$205^A46,IF(A46='Données projet'!$A$88,'Données projet'!$B$88,BD45+BC46-BL45)))</f>
        <v>141.20000000000005</v>
      </c>
      <c r="BE46" s="13">
        <f>BD46*VLOOKUP('Données projet'!$B$11,Paramètres!$A$1:$I$89,3,0)*VLOOKUP('Données projet'!$B$11,Paramètres!$A$1:$I$89,5,0)</f>
        <v>136.56864000000004</v>
      </c>
      <c r="BF46" s="13">
        <f t="shared" si="37"/>
        <v>35.509797430964703</v>
      </c>
      <c r="BG46" s="20">
        <f t="shared" si="7"/>
        <v>299.70327852559694</v>
      </c>
      <c r="BH46" s="59">
        <f t="shared" si="8"/>
        <v>593.0366118589302</v>
      </c>
      <c r="BI46" s="59">
        <f ca="1">AVERAGE(OFFSET($BH$3,0,0,'Données projet'!$E$11+1,1))-AVERAGE(OFFSET($H$3,0,0,'Données projet'!$E$11+1,1))</f>
        <v>295.35565287134125</v>
      </c>
      <c r="BJ46" s="59">
        <f t="shared" si="38"/>
        <v>244.451492444461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1.8196110820358655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1.8196110820358655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8.4</v>
      </c>
      <c r="BY46" s="12">
        <f>IF('Données projet'!$A$114&gt;35,BY45+BX46-CG45,IF(A46&lt;'Données projet'!$A$114,$BV$205^A46,IF(A46='Données projet'!$A$114,'Données projet'!$B$114,BY45+BX46-CG45)))</f>
        <v>141.20000000000005</v>
      </c>
      <c r="BZ46" s="13">
        <f>BY46*VLOOKUP('Données projet'!$B$12,Paramètres!$A$1:$I$89,3,0)*VLOOKUP('Données projet'!$B$12,Paramètres!$A$1:$I$89,5,0)</f>
        <v>151.98768000000004</v>
      </c>
      <c r="CA46" s="13">
        <f t="shared" si="39"/>
        <v>39.029946373574369</v>
      </c>
      <c r="CB46" s="20">
        <f t="shared" si="10"/>
        <v>332.68903260064207</v>
      </c>
      <c r="CC46" s="59">
        <f t="shared" si="11"/>
        <v>626.02236593397538</v>
      </c>
      <c r="CD46" s="59">
        <f ca="1">AVERAGE(OFFSET($CC$3,0,0,'Données projet'!$E$12+1,1))-AVERAGE(OFFSET($H$3,0,0,'Données projet'!$E$12+1,1))</f>
        <v>324.61094137855798</v>
      </c>
      <c r="CE46" s="59">
        <f t="shared" si="40"/>
        <v>267.2998309535638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2.0250510429108819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2.0250510429108819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21.6</v>
      </c>
      <c r="CT46" s="12">
        <f>IF('Données projet'!$A$140&gt;35,CT45+CS46-DB45,IF(A46&lt;'Données projet'!$A$140,$CQ$205^A46,IF(A46='Données projet'!$A$140,'Données projet'!$B$140,CT45+CS46-DB45)))</f>
        <v>425.80000000000024</v>
      </c>
      <c r="CU46" s="17">
        <f>CT46*VLOOKUP('Données projet'!$B$13,Paramètres!$A$1:$I$89,3,0)*VLOOKUP('Données projet'!$B$13,Paramètres!$A$1:$I$89,5,0)</f>
        <v>254.62840000000014</v>
      </c>
      <c r="CV46" s="13">
        <f t="shared" si="41"/>
        <v>61.575982433801578</v>
      </c>
      <c r="CW46" s="20">
        <f t="shared" si="13"/>
        <v>550.7226327388712</v>
      </c>
      <c r="CX46" s="59">
        <f t="shared" si="14"/>
        <v>844.05596607220446</v>
      </c>
      <c r="CY46" s="59">
        <f ca="1">AVERAGE(OFFSET($CX$3,0,0,'Données projet'!$E$13+1,1))-AVERAGE(OFFSET($H$3,0,0,'Données projet'!$E$13+1,1))</f>
        <v>319.9010109022521</v>
      </c>
      <c r="CZ46" s="59">
        <f t="shared" si="42"/>
        <v>441.82647565372287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33.378063152205264</v>
      </c>
      <c r="DG46" s="21">
        <f>EXP(-LN(2)/25)*DG45+(1-EXP(-LN(2)/25))/(LN(2)/25)*Calculateur!DB46*Calculateur!DD46*VLOOKUP('Données projet'!$B$13,Paramètres!$A$1:$I$89,3,0)*0.475*44/12</f>
        <v>28.8465432711026</v>
      </c>
      <c r="DH46" s="21">
        <f>EXP(-LN(2)/2)*DH45+(1-EXP(-LN(2)/2))/(LN(2)/2)*DB46*DE46*VLOOKUP('Données projet'!$B$13,Paramètres!$A$1:$I$89,3,0)*0.475*44/12</f>
        <v>4.1647093779151714</v>
      </c>
      <c r="DI46" s="22">
        <f t="shared" si="15"/>
        <v>66.389315801223034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14</v>
      </c>
      <c r="DO46" s="12">
        <f>IF('Données projet'!$A$166&gt;35,DO45+DN46-DW45,IF(A46&lt;'Données projet'!$A$166,$DL$205^A46,IF(A46='Données projet'!$A$166,'Données projet'!$B$166,DO45+DN46-DW45)))</f>
        <v>292</v>
      </c>
      <c r="DP46" s="17">
        <f>DO46*VLOOKUP('Données projet'!$B$14,Paramètres!$A$1:$I$89,3,0)*VLOOKUP('Données projet'!$B$14,Paramètres!$A$1:$I$89,5,0)</f>
        <v>136.65600000000001</v>
      </c>
      <c r="DQ46" s="13">
        <f t="shared" si="43"/>
        <v>35.52986752364091</v>
      </c>
      <c r="DR46" s="20">
        <f t="shared" si="16"/>
        <v>299.89038593700792</v>
      </c>
      <c r="DS46" s="59">
        <f t="shared" si="17"/>
        <v>593.22371927034123</v>
      </c>
      <c r="DT46" s="59">
        <f ca="1">AVERAGE(OFFSET($DS$3,0,0,'Données projet'!$E$14+1,1))-AVERAGE(OFFSET($H$3,0,0,'Données projet'!$E$14+1,1))</f>
        <v>229.61973863654862</v>
      </c>
      <c r="DU46" s="59">
        <f t="shared" si="44"/>
        <v>254.08208375594052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7.4659501456664543</v>
      </c>
      <c r="EB46" s="21">
        <f>EXP(-LN(2)/25)*EB45+(1-EXP(-LN(2)/25))/(LN(2)/25)*Calculateur!DW46*Calculateur!DY46*VLOOKUP('Données projet'!$B$14,Paramètres!$A$1:$I$89,3,0)*0.475*44/12</f>
        <v>16.770532476556955</v>
      </c>
      <c r="EC46" s="21">
        <f>EXP(-LN(2)/2)*EC45+(1-EXP(-LN(2)/2))/(LN(2)/2)*DW46*DZ46*VLOOKUP('Données projet'!$B$14,Paramètres!$A$1:$I$89,3,0)*0.475*44/12</f>
        <v>3.009482234481196</v>
      </c>
      <c r="ED46" s="22">
        <f t="shared" si="18"/>
        <v>27.245964856704607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8.4</v>
      </c>
      <c r="N47" s="13">
        <f>IF('Données projet'!$A$36&gt;35,N46+M47-V46,IF(A47&lt;'Données projet'!$A$36,$K$205^A47,IF(A47='Données projet'!$A$36,'Données projet'!$B$36,N46+M47-V46)))</f>
        <v>149.60000000000005</v>
      </c>
      <c r="O47" s="13">
        <f>N47*VLOOKUP('Données projet'!$B$9,Paramètres!$A$1:$I$89,3,0)*VLOOKUP('Données projet'!$B$9,Paramètres!$A$1:$I$89,5,0)</f>
        <v>135.35808000000006</v>
      </c>
      <c r="P47" s="13">
        <f t="shared" si="33"/>
        <v>35.231528980112834</v>
      </c>
      <c r="Q47" s="20">
        <f t="shared" si="53"/>
        <v>297.11023564036327</v>
      </c>
      <c r="R47" s="59">
        <f t="shared" si="0"/>
        <v>590.44356897369653</v>
      </c>
      <c r="S47" s="59">
        <f ca="1">AVERAGE(OFFSET($R$3,0,0,'Données projet'!$E$9+1,1))-AVERAGE(OFFSET($H$3,0,0,'Données projet'!$E$9+1,1))</f>
        <v>373.59295497283125</v>
      </c>
      <c r="T47" s="59">
        <f t="shared" si="34"/>
        <v>231.36959598460686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1.6688373851141636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1.6688373851141636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8.4</v>
      </c>
      <c r="AI47" s="13">
        <f>IF('Données projet'!$A$62&gt;35,AI46+AH47-AQ46,IF(A47&lt;'Données projet'!$A$62,$AF$205^A47,IF(A47='Données projet'!$A$62,'Données projet'!$B$62,AI46+AH47-AQ46)))</f>
        <v>149.60000000000005</v>
      </c>
      <c r="AJ47" s="13">
        <f>AI47*VLOOKUP('Données projet'!$B$10,Paramètres!$A$1:$I$89,3,0)*VLOOKUP('Données projet'!$B$10,Paramètres!$A$1:$I$89,5,0)</f>
        <v>151.69440000000006</v>
      </c>
      <c r="AK47" s="13">
        <f t="shared" si="35"/>
        <v>38.963392010880654</v>
      </c>
      <c r="AL47" s="20">
        <f t="shared" si="4"/>
        <v>332.06232108561721</v>
      </c>
      <c r="AM47" s="59">
        <f t="shared" si="5"/>
        <v>625.39565441895047</v>
      </c>
      <c r="AN47" s="59">
        <f ca="1">AVERAGE(OFFSET($AM$3,0,0,'Données projet'!$E$10+1,1))-AVERAGE(OFFSET($H$3,0,0,'Données projet'!$E$10+1,1))</f>
        <v>413.81510455446738</v>
      </c>
      <c r="AO47" s="59">
        <f t="shared" si="36"/>
        <v>254.25036207346602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1.8702487936624252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1.8702487936624252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8.4</v>
      </c>
      <c r="BD47" s="12">
        <f>IF('Données projet'!$A$88&gt;35,BD46+BC47-BL46,IF(A47&lt;'Données projet'!$A$88,$BA$205^A47,IF(A47='Données projet'!$A$88,'Données projet'!$B$88,BD46+BC47-BL46)))</f>
        <v>149.60000000000005</v>
      </c>
      <c r="BE47" s="13">
        <f>BD47*VLOOKUP('Données projet'!$B$11,Paramètres!$A$1:$I$89,3,0)*VLOOKUP('Données projet'!$B$11,Paramètres!$A$1:$I$89,5,0)</f>
        <v>144.69312000000005</v>
      </c>
      <c r="BF47" s="13">
        <f t="shared" si="37"/>
        <v>37.370061524802772</v>
      </c>
      <c r="BG47" s="20">
        <f t="shared" si="7"/>
        <v>317.09337448903153</v>
      </c>
      <c r="BH47" s="59">
        <f t="shared" si="8"/>
        <v>610.42670782236485</v>
      </c>
      <c r="BI47" s="59">
        <f ca="1">AVERAGE(OFFSET($BH$3,0,0,'Données projet'!$E$11+1,1))-AVERAGE(OFFSET($H$3,0,0,'Données projet'!$E$11+1,1))</f>
        <v>295.35565287134125</v>
      </c>
      <c r="BJ47" s="59">
        <f t="shared" si="38"/>
        <v>244.451492444461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1.7839296185703133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1.7839296185703133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8.4</v>
      </c>
      <c r="BY47" s="12">
        <f>IF('Données projet'!$A$114&gt;35,BY46+BX47-CG46,IF(A47&lt;'Données projet'!$A$114,$BV$205^A47,IF(A47='Données projet'!$A$114,'Données projet'!$B$114,BY46+BX47-CG46)))</f>
        <v>149.60000000000005</v>
      </c>
      <c r="BZ47" s="13">
        <f>BY47*VLOOKUP('Données projet'!$B$12,Paramètres!$A$1:$I$89,3,0)*VLOOKUP('Données projet'!$B$12,Paramètres!$A$1:$I$89,5,0)</f>
        <v>161.02944000000005</v>
      </c>
      <c r="CA47" s="13">
        <f t="shared" si="39"/>
        <v>41.074621732940727</v>
      </c>
      <c r="CB47" s="20">
        <f t="shared" si="10"/>
        <v>351.99790751820518</v>
      </c>
      <c r="CC47" s="59">
        <f t="shared" si="11"/>
        <v>645.3312408515385</v>
      </c>
      <c r="CD47" s="59">
        <f ca="1">AVERAGE(OFFSET($CC$3,0,0,'Données projet'!$E$12+1,1))-AVERAGE(OFFSET($H$3,0,0,'Données projet'!$E$12+1,1))</f>
        <v>324.61094137855798</v>
      </c>
      <c r="CE47" s="59">
        <f t="shared" si="40"/>
        <v>267.2998309535638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1.9853410271185739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1.9853410271185739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21.6</v>
      </c>
      <c r="CT47" s="12">
        <f>IF('Données projet'!$A$140&gt;35,CT46+CS47-DB46,IF(A47&lt;'Données projet'!$A$140,$CQ$205^A47,IF(A47='Données projet'!$A$140,'Données projet'!$B$140,CT46+CS47-DB46)))</f>
        <v>447.40000000000026</v>
      </c>
      <c r="CU47" s="17">
        <f>CT47*VLOOKUP('Données projet'!$B$13,Paramètres!$A$1:$I$89,3,0)*VLOOKUP('Données projet'!$B$13,Paramètres!$A$1:$I$89,5,0)</f>
        <v>267.54520000000014</v>
      </c>
      <c r="CV47" s="13">
        <f t="shared" si="41"/>
        <v>64.328022166288974</v>
      </c>
      <c r="CW47" s="20">
        <f t="shared" si="13"/>
        <v>578.01252860628688</v>
      </c>
      <c r="CX47" s="59">
        <f t="shared" si="14"/>
        <v>871.34586193962014</v>
      </c>
      <c r="CY47" s="59">
        <f ca="1">AVERAGE(OFFSET($CX$3,0,0,'Données projet'!$E$13+1,1))-AVERAGE(OFFSET($H$3,0,0,'Données projet'!$E$13+1,1))</f>
        <v>319.9010109022521</v>
      </c>
      <c r="CZ47" s="59">
        <f t="shared" si="42"/>
        <v>441.82647565372287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32.723539692398795</v>
      </c>
      <c r="DG47" s="21">
        <f>EXP(-LN(2)/25)*DG46+(1-EXP(-LN(2)/25))/(LN(2)/25)*Calculateur!DB47*Calculateur!DD47*VLOOKUP('Données projet'!$B$13,Paramètres!$A$1:$I$89,3,0)*0.475*44/12</f>
        <v>28.057733028380518</v>
      </c>
      <c r="DH47" s="21">
        <f>EXP(-LN(2)/2)*DH46+(1-EXP(-LN(2)/2))/(LN(2)/2)*DB47*DE47*VLOOKUP('Données projet'!$B$13,Paramètres!$A$1:$I$89,3,0)*0.475*44/12</f>
        <v>2.9448942427950255</v>
      </c>
      <c r="DI47" s="22">
        <f t="shared" si="15"/>
        <v>63.726166963574336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14</v>
      </c>
      <c r="DO47" s="12">
        <f>IF('Données projet'!$A$166&gt;35,DO46+DN47-DW46,IF(A47&lt;'Données projet'!$A$166,$DL$205^A47,IF(A47='Données projet'!$A$166,'Données projet'!$B$166,DO46+DN47-DW46)))</f>
        <v>306</v>
      </c>
      <c r="DP47" s="17">
        <f>DO47*VLOOKUP('Données projet'!$B$14,Paramètres!$A$1:$I$89,3,0)*VLOOKUP('Données projet'!$B$14,Paramètres!$A$1:$I$89,5,0)</f>
        <v>143.208</v>
      </c>
      <c r="DQ47" s="13">
        <f t="shared" si="43"/>
        <v>37.030941422835802</v>
      </c>
      <c r="DR47" s="20">
        <f t="shared" si="16"/>
        <v>313.91615631143901</v>
      </c>
      <c r="DS47" s="59">
        <f t="shared" si="17"/>
        <v>607.24948964477232</v>
      </c>
      <c r="DT47" s="59">
        <f ca="1">AVERAGE(OFFSET($DS$3,0,0,'Données projet'!$E$14+1,1))-AVERAGE(OFFSET($H$3,0,0,'Données projet'!$E$14+1,1))</f>
        <v>229.61973863654862</v>
      </c>
      <c r="DU47" s="59">
        <f t="shared" si="44"/>
        <v>254.08208375594052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7.3195474170898756</v>
      </c>
      <c r="EB47" s="21">
        <f>EXP(-LN(2)/25)*EB46+(1-EXP(-LN(2)/25))/(LN(2)/25)*Calculateur!DW47*Calculateur!DY47*VLOOKUP('Données projet'!$B$14,Paramètres!$A$1:$I$89,3,0)*0.475*44/12</f>
        <v>16.31194138406153</v>
      </c>
      <c r="EC47" s="21">
        <f>EXP(-LN(2)/2)*EC46+(1-EXP(-LN(2)/2))/(LN(2)/2)*DW47*DZ47*VLOOKUP('Données projet'!$B$14,Paramètres!$A$1:$I$89,3,0)*0.475*44/12</f>
        <v>2.1280252958620971</v>
      </c>
      <c r="ED47" s="22">
        <f t="shared" si="18"/>
        <v>25.759514097013504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158</v>
      </c>
      <c r="L48" s="12">
        <f>VLOOKUP(A48,'Données projet'!$A$35:$I$55,9,0)</f>
        <v>8.4</v>
      </c>
      <c r="M48" s="12">
        <f t="array" ref="M48">INDEX(L:L,MIN(IF(ISNUMBER(L48:L244),ROW(L48:L244),"")))</f>
        <v>8.4</v>
      </c>
      <c r="N48" s="13">
        <f>IF('Données projet'!$A$36&gt;35,N47+M48-V47,IF(A48&lt;'Données projet'!$A$36,$K$205^A48,IF(A48='Données projet'!$A$36,'Données projet'!$B$36,N47+M48-V47)))</f>
        <v>158.00000000000006</v>
      </c>
      <c r="O48" s="13">
        <f>N48*VLOOKUP('Données projet'!$B$9,Paramètres!$A$1:$I$89,3,0)*VLOOKUP('Données projet'!$B$9,Paramètres!$A$1:$I$89,5,0)</f>
        <v>142.95840000000004</v>
      </c>
      <c r="P48" s="13">
        <f t="shared" si="33"/>
        <v>36.973906370811264</v>
      </c>
      <c r="Q48" s="20">
        <f t="shared" si="53"/>
        <v>313.38210026249641</v>
      </c>
      <c r="R48" s="59">
        <f t="shared" si="0"/>
        <v>606.71543359582972</v>
      </c>
      <c r="S48" s="59">
        <f ca="1">AVERAGE(OFFSET($R$3,0,0,'Données projet'!$E$9+1,1))-AVERAGE(OFFSET($H$3,0,0,'Données projet'!$E$9+1,1))</f>
        <v>373.59295497283125</v>
      </c>
      <c r="T48" s="59">
        <f t="shared" si="34"/>
        <v>231.36959598460686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21</v>
      </c>
      <c r="W48" s="16">
        <f>IF(ISNA(VLOOKUP(A48,'Données projet'!$A$35:$I$55,5,0)),0%,VLOOKUP(A48,'Données projet'!$A$35:$I$55,5,0)*VLOOKUP('Données projet'!$B$9,Paramètres!$A$1:$I$89,7,0))</f>
        <v>8.6000000000000007E-2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3.4425271584013237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3.4425271584013237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158</v>
      </c>
      <c r="AG48" s="12">
        <f>VLOOKUP(A48,'Données projet'!$A$61:$I$81,9,0)</f>
        <v>8.4</v>
      </c>
      <c r="AH48" s="12">
        <f t="array" ref="AH48">INDEX(AG:AG,MIN(IF(ISNUMBER(AG48:AG244),ROW(AG48:AG244),"")))</f>
        <v>8.4</v>
      </c>
      <c r="AI48" s="13">
        <f>IF('Données projet'!$A$62&gt;35,AI47+AH48-AQ47,IF(A48&lt;'Données projet'!$A$62,$AF$205^A48,IF(A48='Données projet'!$A$62,'Données projet'!$B$62,AI47+AH48-AQ47)))</f>
        <v>158.00000000000006</v>
      </c>
      <c r="AJ48" s="13">
        <f>AI48*VLOOKUP('Données projet'!$B$10,Paramètres!$A$1:$I$89,3,0)*VLOOKUP('Données projet'!$B$10,Paramètres!$A$1:$I$89,5,0)</f>
        <v>160.21200000000007</v>
      </c>
      <c r="AK48" s="13">
        <f t="shared" si="35"/>
        <v>40.890328912852731</v>
      </c>
      <c r="AL48" s="20">
        <f t="shared" si="4"/>
        <v>350.25322285655193</v>
      </c>
      <c r="AM48" s="59">
        <f t="shared" si="5"/>
        <v>643.58655618988519</v>
      </c>
      <c r="AN48" s="59">
        <f ca="1">AVERAGE(OFFSET($AM$3,0,0,'Données projet'!$E$10+1,1))-AVERAGE(OFFSET($H$3,0,0,'Données projet'!$E$10+1,1))</f>
        <v>413.81510455446738</v>
      </c>
      <c r="AO48" s="59">
        <f t="shared" si="36"/>
        <v>254.25036207346602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21</v>
      </c>
      <c r="AR48" s="16">
        <f>IF(ISNA(VLOOKUP(A48,'Données projet'!$A$61:$I$81,5,0)),0%,VLOOKUP(A48,'Données projet'!$A$61:$I$81,5,0)*VLOOKUP('Données projet'!$B$10,Paramètres!$A$1:$I$89,7,0))</f>
        <v>8.6000000000000007E-2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3.8580045740704501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3.8580045740704501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158</v>
      </c>
      <c r="BB48" s="12">
        <f>VLOOKUP(A48,'Données projet'!$A$87:$I$107,9,0)</f>
        <v>8.4</v>
      </c>
      <c r="BC48" s="12">
        <f t="array" ref="BC48">INDEX(BB:BB,MIN(IF(ISNUMBER(BB48:BB244),ROW(BB48:BB244),"")))</f>
        <v>8.4</v>
      </c>
      <c r="BD48" s="12">
        <f>IF('Données projet'!$A$88&gt;35,BD47+BC48-BL47,IF(A48&lt;'Données projet'!$A$88,$BA$205^A48,IF(A48='Données projet'!$A$88,'Données projet'!$B$88,BD47+BC48-BL47)))</f>
        <v>158.00000000000006</v>
      </c>
      <c r="BE48" s="13">
        <f>BD48*VLOOKUP('Données projet'!$B$11,Paramètres!$A$1:$I$89,3,0)*VLOOKUP('Données projet'!$B$11,Paramètres!$A$1:$I$89,5,0)</f>
        <v>152.81760000000006</v>
      </c>
      <c r="BF48" s="13">
        <f t="shared" si="37"/>
        <v>39.218200171484227</v>
      </c>
      <c r="BG48" s="20">
        <f t="shared" si="7"/>
        <v>334.46235196533513</v>
      </c>
      <c r="BH48" s="59">
        <f t="shared" si="8"/>
        <v>627.79568529866845</v>
      </c>
      <c r="BI48" s="59">
        <f ca="1">AVERAGE(OFFSET($BH$3,0,0,'Données projet'!$E$11+1,1))-AVERAGE(OFFSET($H$3,0,0,'Données projet'!$E$11+1,1))</f>
        <v>295.35565287134125</v>
      </c>
      <c r="BJ48" s="59">
        <f t="shared" si="38"/>
        <v>244.451492444461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21</v>
      </c>
      <c r="BM48" s="16">
        <f>IF(ISNA(VLOOKUP(A48,'Données projet'!$A$87:$I$107,5,0)),0%,VLOOKUP(A48,'Données projet'!$A$87:$I$107,5,0)*VLOOKUP('Données projet'!$B$11,Paramètres!$A$1:$I$89,7,0))</f>
        <v>8.6000000000000007E-2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3.6799428244979673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3.6799428244979673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158</v>
      </c>
      <c r="BW48" s="12">
        <f>VLOOKUP(A48,'Données projet'!$A$113:$I$133,9,0)</f>
        <v>8.4</v>
      </c>
      <c r="BX48" s="12">
        <f t="array" ref="BX48">INDEX(BW:BW,MIN(IF(ISNUMBER(BW48:BW244),ROW(BW48:BW244),"")))</f>
        <v>8.4</v>
      </c>
      <c r="BY48" s="12">
        <f>IF('Données projet'!$A$114&gt;35,BY47+BX48-CG47,IF(A48&lt;'Données projet'!$A$114,$BV$205^A48,IF(A48='Données projet'!$A$114,'Données projet'!$B$114,BY47+BX48-CG47)))</f>
        <v>158.00000000000006</v>
      </c>
      <c r="BZ48" s="13">
        <f>BY48*VLOOKUP('Données projet'!$B$12,Paramètres!$A$1:$I$89,3,0)*VLOOKUP('Données projet'!$B$12,Paramètres!$A$1:$I$89,5,0)</f>
        <v>170.07120000000003</v>
      </c>
      <c r="CA48" s="13">
        <f t="shared" si="39"/>
        <v>43.10596962815594</v>
      </c>
      <c r="CB48" s="20">
        <f t="shared" si="10"/>
        <v>371.28357043570503</v>
      </c>
      <c r="CC48" s="59">
        <f t="shared" si="11"/>
        <v>664.61690376903834</v>
      </c>
      <c r="CD48" s="59">
        <f ca="1">AVERAGE(OFFSET($CC$3,0,0,'Données projet'!$E$12+1,1))-AVERAGE(OFFSET($H$3,0,0,'Données projet'!$E$12+1,1))</f>
        <v>324.61094137855798</v>
      </c>
      <c r="CE48" s="59">
        <f t="shared" si="40"/>
        <v>267.2998309535638</v>
      </c>
      <c r="CF48" s="15">
        <f>IF(ISNA(VLOOKUP(A48,'Données projet'!$A$113:$I$133,3,0)),0,VLOOKUP(A48,'Données projet'!$A$113:$I$133,3,0))</f>
        <v>6</v>
      </c>
      <c r="CG48" s="15">
        <f>IF(ISNA(VLOOKUP(A48,'Données projet'!$A$113:$I$133,4,0)),0,VLOOKUP(A48,'Données projet'!$A$113:$I$133,4,0))</f>
        <v>21</v>
      </c>
      <c r="CH48" s="16">
        <f>IF(ISNA(VLOOKUP(A48,'Données projet'!$A$113:$I$133,5,0)),0%,VLOOKUP(A48,'Données projet'!$A$113:$I$133,5,0)*VLOOKUP('Données projet'!$B$12,Paramètres!$A$1:$I$89,7,0))</f>
        <v>8.6000000000000007E-2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4.0954202401670914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4.0954202401670914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469</v>
      </c>
      <c r="CR48" s="12">
        <f>VLOOKUP(A48,'Données projet'!$A$139:$I$159,9,0)</f>
        <v>21.6</v>
      </c>
      <c r="CS48" s="12">
        <f t="array" ref="CS48">INDEX(CR:CR,MIN(IF(ISNUMBER(CR48:CR244),ROW(CR48:CR244),"")))</f>
        <v>21.6</v>
      </c>
      <c r="CT48" s="12">
        <f>IF('Données projet'!$A$140&gt;35,CT47+CS48-DB47,IF(A48&lt;'Données projet'!$A$140,$CQ$205^A48,IF(A48='Données projet'!$A$140,'Données projet'!$B$140,CT47+CS48-DB47)))</f>
        <v>469.00000000000028</v>
      </c>
      <c r="CU48" s="17">
        <f>CT48*VLOOKUP('Données projet'!$B$13,Paramètres!$A$1:$I$89,3,0)*VLOOKUP('Données projet'!$B$13,Paramètres!$A$1:$I$89,5,0)</f>
        <v>280.46200000000022</v>
      </c>
      <c r="CV48" s="13">
        <f t="shared" si="41"/>
        <v>67.064633392006456</v>
      </c>
      <c r="CW48" s="20">
        <f t="shared" si="13"/>
        <v>605.27555315774487</v>
      </c>
      <c r="CX48" s="59">
        <f t="shared" si="14"/>
        <v>898.60888649107824</v>
      </c>
      <c r="CY48" s="59">
        <f ca="1">AVERAGE(OFFSET($CX$3,0,0,'Données projet'!$E$13+1,1))-AVERAGE(OFFSET($H$3,0,0,'Données projet'!$E$13+1,1))</f>
        <v>319.9010109022521</v>
      </c>
      <c r="CZ48" s="59">
        <f t="shared" si="42"/>
        <v>441.82647565372287</v>
      </c>
      <c r="DA48" s="15">
        <f>IF(ISNA(VLOOKUP(A48,'Données projet'!$A$139:$I$159,3,0)),0,VLOOKUP(A48,'Données projet'!$A$139:$I$159,3,0))</f>
        <v>7</v>
      </c>
      <c r="DB48" s="15">
        <f>IF(ISNA(VLOOKUP(A48,'Données projet'!$A$139:$I$159,4,0)),0,VLOOKUP(A48,'Données projet'!$A$139:$I$159,4,0))</f>
        <v>60</v>
      </c>
      <c r="DC48" s="16">
        <f>IF(ISNA(VLOOKUP(A48,'Données projet'!$A$139:$I$159,5,0)),0%,VLOOKUP(A48,'Données projet'!$A$139:$I$159,5,0)*VLOOKUP('Données projet'!$B$13,Paramètres!$A$1:$I$89,7,0))</f>
        <v>0.22500000000000001</v>
      </c>
      <c r="DD48" s="16">
        <f>IF(ISNA(VLOOKUP(A48,'Données projet'!$A$139:$I$159,6,0)),0%,VLOOKUP(A48,'Données projet'!$A$139:$I$159,6,0)*VLOOKUP('Données projet'!$B$13,Paramètres!$A$1:$I$89,7,0))</f>
        <v>0.12600000000000003</v>
      </c>
      <c r="DE48" s="16">
        <f>IF(ISNA(VLOOKUP(A48,'Données projet'!$A$139:$I$159,7,0)),0%,VLOOKUP(A48,'Données projet'!$A$139:$I$159,7,0))</f>
        <v>0.22</v>
      </c>
      <c r="DF48" s="21">
        <f>EXP(-LN(2)/35)*DF47+(1-EXP(-LN(2)/35))/(LN(2)/35)*DB48*DC48*VLOOKUP('Données projet'!$B$13,Paramètres!$A$1:$I$89,3,0)*0.475*44/12</f>
        <v>42.791205887182649</v>
      </c>
      <c r="DG48" s="21">
        <f>EXP(-LN(2)/25)*DG47+(1-EXP(-LN(2)/25))/(LN(2)/25)*Calculateur!DB48*Calculateur!DD48*VLOOKUP('Données projet'!$B$13,Paramètres!$A$1:$I$89,3,0)*0.475*44/12</f>
        <v>33.264118144585645</v>
      </c>
      <c r="DH48" s="21">
        <f>EXP(-LN(2)/2)*DH47+(1-EXP(-LN(2)/2))/(LN(2)/2)*DB48*DE48*VLOOKUP('Données projet'!$B$13,Paramètres!$A$1:$I$89,3,0)*0.475*44/12</f>
        <v>11.019743552712495</v>
      </c>
      <c r="DI48" s="22">
        <f t="shared" si="15"/>
        <v>87.075067584480792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14</v>
      </c>
      <c r="DO48" s="12">
        <f>IF('Données projet'!$A$166&gt;35,DO47+DN48-DW47,IF(A48&lt;'Données projet'!$A$166,$DL$205^A48,IF(A48='Données projet'!$A$166,'Données projet'!$B$166,DO47+DN48-DW47)))</f>
        <v>320</v>
      </c>
      <c r="DP48" s="17">
        <f>DO48*VLOOKUP('Données projet'!$B$14,Paramètres!$A$1:$I$89,3,0)*VLOOKUP('Données projet'!$B$14,Paramètres!$A$1:$I$89,5,0)</f>
        <v>149.76</v>
      </c>
      <c r="DQ48" s="13">
        <f t="shared" si="43"/>
        <v>38.524039677774802</v>
      </c>
      <c r="DR48" s="20">
        <f t="shared" si="16"/>
        <v>327.92803577212442</v>
      </c>
      <c r="DS48" s="59">
        <f t="shared" si="17"/>
        <v>621.26136910545779</v>
      </c>
      <c r="DT48" s="59">
        <f ca="1">AVERAGE(OFFSET($DS$3,0,0,'Données projet'!$E$14+1,1))-AVERAGE(OFFSET($H$3,0,0,'Données projet'!$E$14+1,1))</f>
        <v>229.61973863654862</v>
      </c>
      <c r="DU48" s="59">
        <f t="shared" si="44"/>
        <v>254.08208375594052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7.1760155567238364</v>
      </c>
      <c r="EB48" s="21">
        <f>EXP(-LN(2)/25)*EB47+(1-EXP(-LN(2)/25))/(LN(2)/25)*Calculateur!DW48*Calculateur!DY48*VLOOKUP('Données projet'!$B$14,Paramètres!$A$1:$I$89,3,0)*0.475*44/12</f>
        <v>15.865890489106652</v>
      </c>
      <c r="EC48" s="21">
        <f>EXP(-LN(2)/2)*EC47+(1-EXP(-LN(2)/2))/(LN(2)/2)*DW48*DZ48*VLOOKUP('Données projet'!$B$14,Paramètres!$A$1:$I$89,3,0)*0.475*44/12</f>
        <v>1.504741117240598</v>
      </c>
      <c r="ED48" s="22">
        <f t="shared" si="18"/>
        <v>24.546647163071086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8.1999999999999993</v>
      </c>
      <c r="N49" s="13">
        <f>IF('Données projet'!$A$36&gt;35,N48+M49-V48,IF(A49&lt;'Données projet'!$A$36,$K$205^A49,IF(A49='Données projet'!$A$36,'Données projet'!$B$36,N48+M49-V48)))</f>
        <v>145.20000000000005</v>
      </c>
      <c r="O49" s="13">
        <f>N49*VLOOKUP('Données projet'!$B$9,Paramètres!$A$1:$I$89,3,0)*VLOOKUP('Données projet'!$B$9,Paramètres!$A$1:$I$89,5,0)</f>
        <v>131.37696000000003</v>
      </c>
      <c r="P49" s="13">
        <f t="shared" si="33"/>
        <v>34.314338988223334</v>
      </c>
      <c r="Q49" s="20">
        <f t="shared" si="53"/>
        <v>288.57901240448905</v>
      </c>
      <c r="R49" s="59">
        <f t="shared" si="0"/>
        <v>581.91234573782231</v>
      </c>
      <c r="S49" s="59">
        <f ca="1">AVERAGE(OFFSET($R$3,0,0,'Données projet'!$E$9+1,1))-AVERAGE(OFFSET($H$3,0,0,'Données projet'!$E$9+1,1))</f>
        <v>373.59295497283125</v>
      </c>
      <c r="T49" s="59">
        <f t="shared" si="34"/>
        <v>231.36959598460686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3.3750213005593088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3.3750213005593088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8.1999999999999993</v>
      </c>
      <c r="AI49" s="13">
        <f>IF('Données projet'!$A$62&gt;35,AI48+AH49-AQ48,IF(A49&lt;'Données projet'!$A$62,$AF$205^A49,IF(A49='Données projet'!$A$62,'Données projet'!$B$62,AI48+AH49-AQ48)))</f>
        <v>145.20000000000005</v>
      </c>
      <c r="AJ49" s="13">
        <f>AI49*VLOOKUP('Données projet'!$B$10,Paramètres!$A$1:$I$89,3,0)*VLOOKUP('Données projet'!$B$10,Paramètres!$A$1:$I$89,5,0)</f>
        <v>147.23280000000005</v>
      </c>
      <c r="AK49" s="13">
        <f t="shared" si="35"/>
        <v>37.949049623906205</v>
      </c>
      <c r="AL49" s="20">
        <f t="shared" si="4"/>
        <v>322.52505476163668</v>
      </c>
      <c r="AM49" s="59">
        <f t="shared" si="5"/>
        <v>615.85838809497</v>
      </c>
      <c r="AN49" s="59">
        <f ca="1">AVERAGE(OFFSET($AM$3,0,0,'Données projet'!$E$10+1,1))-AVERAGE(OFFSET($H$3,0,0,'Données projet'!$E$10+1,1))</f>
        <v>413.81510455446738</v>
      </c>
      <c r="AO49" s="59">
        <f t="shared" si="36"/>
        <v>254.25036207346602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3.7823514575233643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3.7823514575233643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8.1999999999999993</v>
      </c>
      <c r="BD49" s="12">
        <f>IF('Données projet'!$A$88&gt;35,BD48+BC49-BL48,IF(A49&lt;'Données projet'!$A$88,$BA$205^A49,IF(A49='Données projet'!$A$88,'Données projet'!$B$88,BD48+BC49-BL48)))</f>
        <v>145.20000000000005</v>
      </c>
      <c r="BE49" s="13">
        <f>BD49*VLOOKUP('Données projet'!$B$11,Paramètres!$A$1:$I$89,3,0)*VLOOKUP('Données projet'!$B$11,Paramètres!$A$1:$I$89,5,0)</f>
        <v>140.43744000000004</v>
      </c>
      <c r="BF49" s="13">
        <f t="shared" si="37"/>
        <v>36.397198653986358</v>
      </c>
      <c r="BG49" s="20">
        <f t="shared" si="7"/>
        <v>307.98699565569297</v>
      </c>
      <c r="BH49" s="59">
        <f t="shared" si="8"/>
        <v>601.32032898902628</v>
      </c>
      <c r="BI49" s="59">
        <f ca="1">AVERAGE(OFFSET($BH$3,0,0,'Données projet'!$E$11+1,1))-AVERAGE(OFFSET($H$3,0,0,'Données projet'!$E$11+1,1))</f>
        <v>295.35565287134125</v>
      </c>
      <c r="BJ49" s="59">
        <f t="shared" si="38"/>
        <v>244.451492444461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3.6077813902530549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3.6077813902530549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8.1999999999999993</v>
      </c>
      <c r="BY49" s="12">
        <f>IF('Données projet'!$A$114&gt;35,BY48+BX49-CG48,IF(A49&lt;'Données projet'!$A$114,$BV$205^A49,IF(A49='Données projet'!$A$114,'Données projet'!$B$114,BY48+BX49-CG48)))</f>
        <v>145.20000000000005</v>
      </c>
      <c r="BZ49" s="13">
        <f>BY49*VLOOKUP('Données projet'!$B$12,Paramètres!$A$1:$I$89,3,0)*VLOOKUP('Données projet'!$B$12,Paramètres!$A$1:$I$89,5,0)</f>
        <v>156.29328000000004</v>
      </c>
      <c r="CA49" s="13">
        <f t="shared" si="39"/>
        <v>40.005317247308959</v>
      </c>
      <c r="CB49" s="20">
        <f t="shared" si="10"/>
        <v>341.88672353906321</v>
      </c>
      <c r="CC49" s="59">
        <f t="shared" si="11"/>
        <v>635.22005687239653</v>
      </c>
      <c r="CD49" s="59">
        <f ca="1">AVERAGE(OFFSET($CC$3,0,0,'Données projet'!$E$12+1,1))-AVERAGE(OFFSET($H$3,0,0,'Données projet'!$E$12+1,1))</f>
        <v>324.61094137855798</v>
      </c>
      <c r="CE49" s="59">
        <f t="shared" si="40"/>
        <v>267.2998309535638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4.0151115472171082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4.0151115472171082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20</v>
      </c>
      <c r="CT49" s="12">
        <f>IF('Données projet'!$A$140&gt;35,CT48+CS49-DB48,IF(A49&lt;'Données projet'!$A$140,$CQ$205^A49,IF(A49='Données projet'!$A$140,'Données projet'!$B$140,CT48+CS49-DB48)))</f>
        <v>429.00000000000028</v>
      </c>
      <c r="CU49" s="17">
        <f>CT49*VLOOKUP('Données projet'!$B$13,Paramètres!$A$1:$I$89,3,0)*VLOOKUP('Données projet'!$B$13,Paramètres!$A$1:$I$89,5,0)</f>
        <v>256.5420000000002</v>
      </c>
      <c r="CV49" s="13">
        <f t="shared" si="41"/>
        <v>61.984698688972557</v>
      </c>
      <c r="CW49" s="20">
        <f t="shared" si="13"/>
        <v>554.76733354996088</v>
      </c>
      <c r="CX49" s="59">
        <f t="shared" si="14"/>
        <v>848.10066688329425</v>
      </c>
      <c r="CY49" s="59">
        <f ca="1">AVERAGE(OFFSET($CX$3,0,0,'Données projet'!$E$13+1,1))-AVERAGE(OFFSET($H$3,0,0,'Données projet'!$E$13+1,1))</f>
        <v>319.9010109022521</v>
      </c>
      <c r="CZ49" s="59">
        <f t="shared" si="42"/>
        <v>441.82647565372287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41.952096439793422</v>
      </c>
      <c r="DG49" s="21">
        <f>EXP(-LN(2)/25)*DG48+(1-EXP(-LN(2)/25))/(LN(2)/25)*Calculateur!DB49*Calculateur!DD49*VLOOKUP('Données projet'!$B$13,Paramètres!$A$1:$I$89,3,0)*0.475*44/12</f>
        <v>32.354509084638003</v>
      </c>
      <c r="DH49" s="21">
        <f>EXP(-LN(2)/2)*DH48+(1-EXP(-LN(2)/2))/(LN(2)/2)*DB49*DE49*VLOOKUP('Données projet'!$B$13,Paramètres!$A$1:$I$89,3,0)*0.475*44/12</f>
        <v>7.7921353930597421</v>
      </c>
      <c r="DI49" s="22">
        <f t="shared" si="15"/>
        <v>82.09874091749117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14</v>
      </c>
      <c r="DO49" s="12">
        <f>IF('Données projet'!$A$166&gt;35,DO48+DN49-DW48,IF(A49&lt;'Données projet'!$A$166,$DL$205^A49,IF(A49='Données projet'!$A$166,'Données projet'!$B$166,DO48+DN49-DW48)))</f>
        <v>334</v>
      </c>
      <c r="DP49" s="17">
        <f>DO49*VLOOKUP('Données projet'!$B$14,Paramètres!$A$1:$I$89,3,0)*VLOOKUP('Données projet'!$B$14,Paramètres!$A$1:$I$89,5,0)</f>
        <v>156.31200000000001</v>
      </c>
      <c r="DQ49" s="13">
        <f t="shared" si="43"/>
        <v>40.009551101892576</v>
      </c>
      <c r="DR49" s="20">
        <f t="shared" si="16"/>
        <v>341.92670150246295</v>
      </c>
      <c r="DS49" s="59">
        <f t="shared" si="17"/>
        <v>635.2600348357962</v>
      </c>
      <c r="DT49" s="59">
        <f ca="1">AVERAGE(OFFSET($DS$3,0,0,'Données projet'!$E$14+1,1))-AVERAGE(OFFSET($H$3,0,0,'Données projet'!$E$14+1,1))</f>
        <v>229.61973863654862</v>
      </c>
      <c r="DU49" s="59">
        <f t="shared" si="44"/>
        <v>254.08208375594052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7.0352982685937846</v>
      </c>
      <c r="EB49" s="21">
        <f>EXP(-LN(2)/25)*EB48+(1-EXP(-LN(2)/25))/(LN(2)/25)*Calculateur!DW49*Calculateur!DY49*VLOOKUP('Données projet'!$B$14,Paramètres!$A$1:$I$89,3,0)*0.475*44/12</f>
        <v>15.432036879331113</v>
      </c>
      <c r="EC49" s="21">
        <f>EXP(-LN(2)/2)*EC48+(1-EXP(-LN(2)/2))/(LN(2)/2)*DW49*DZ49*VLOOKUP('Données projet'!$B$14,Paramètres!$A$1:$I$89,3,0)*0.475*44/12</f>
        <v>1.0640126479310485</v>
      </c>
      <c r="ED49" s="22">
        <f t="shared" si="18"/>
        <v>23.531347795855947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8.1999999999999993</v>
      </c>
      <c r="N50" s="13">
        <f>IF('Données projet'!$A$36&gt;35,N49+M50-V49,IF(A50&lt;'Données projet'!$A$36,$K$205^A50,IF(A50='Données projet'!$A$36,'Données projet'!$B$36,N49+M50-V49)))</f>
        <v>153.40000000000003</v>
      </c>
      <c r="O50" s="13">
        <f>N50*VLOOKUP('Données projet'!$B$9,Paramètres!$A$1:$I$89,3,0)*VLOOKUP('Données projet'!$B$9,Paramètres!$A$1:$I$89,5,0)</f>
        <v>138.79632000000001</v>
      </c>
      <c r="P50" s="13">
        <f t="shared" si="33"/>
        <v>36.021120886354588</v>
      </c>
      <c r="Q50" s="20">
        <f t="shared" si="53"/>
        <v>304.47370954373423</v>
      </c>
      <c r="R50" s="59">
        <f t="shared" si="0"/>
        <v>597.80704287706749</v>
      </c>
      <c r="S50" s="59">
        <f ca="1">AVERAGE(OFFSET($R$3,0,0,'Données projet'!$E$9+1,1))-AVERAGE(OFFSET($H$3,0,0,'Données projet'!$E$9+1,1))</f>
        <v>373.59295497283125</v>
      </c>
      <c r="T50" s="59">
        <f t="shared" si="34"/>
        <v>231.36959598460686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3.3088391914150681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3.3088391914150681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8.1999999999999993</v>
      </c>
      <c r="AI50" s="13">
        <f>IF('Données projet'!$A$62&gt;35,AI49+AH50-AQ49,IF(A50&lt;'Données projet'!$A$62,$AF$205^A50,IF(A50='Données projet'!$A$62,'Données projet'!$B$62,AI49+AH50-AQ49)))</f>
        <v>153.40000000000003</v>
      </c>
      <c r="AJ50" s="13">
        <f>AI50*VLOOKUP('Données projet'!$B$10,Paramètres!$A$1:$I$89,3,0)*VLOOKUP('Données projet'!$B$10,Paramètres!$A$1:$I$89,5,0)</f>
        <v>155.54760000000005</v>
      </c>
      <c r="AK50" s="13">
        <f t="shared" si="35"/>
        <v>39.836620617816237</v>
      </c>
      <c r="AL50" s="20">
        <f t="shared" si="4"/>
        <v>340.29418424269664</v>
      </c>
      <c r="AM50" s="59">
        <f t="shared" si="5"/>
        <v>633.62751757602996</v>
      </c>
      <c r="AN50" s="59">
        <f ca="1">AVERAGE(OFFSET($AM$3,0,0,'Données projet'!$E$10+1,1))-AVERAGE(OFFSET($H$3,0,0,'Données projet'!$E$10+1,1))</f>
        <v>413.81510455446738</v>
      </c>
      <c r="AO50" s="59">
        <f t="shared" si="36"/>
        <v>254.25036207346602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3.7081818524479222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3.7081818524479222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8.1999999999999993</v>
      </c>
      <c r="BD50" s="12">
        <f>IF('Données projet'!$A$88&gt;35,BD49+BC50-BL49,IF(A50&lt;'Données projet'!$A$88,$BA$205^A50,IF(A50='Données projet'!$A$88,'Données projet'!$B$88,BD49+BC50-BL49)))</f>
        <v>153.40000000000003</v>
      </c>
      <c r="BE50" s="13">
        <f>BD50*VLOOKUP('Données projet'!$B$11,Paramètres!$A$1:$I$89,3,0)*VLOOKUP('Données projet'!$B$11,Paramètres!$A$1:$I$89,5,0)</f>
        <v>148.36848000000003</v>
      </c>
      <c r="BF50" s="13">
        <f t="shared" si="37"/>
        <v>38.207581183185901</v>
      </c>
      <c r="BG50" s="20">
        <f t="shared" si="7"/>
        <v>324.95330656071548</v>
      </c>
      <c r="BH50" s="59">
        <f t="shared" si="8"/>
        <v>618.28663989404879</v>
      </c>
      <c r="BI50" s="59">
        <f ca="1">AVERAGE(OFFSET($BH$3,0,0,'Données projet'!$E$11+1,1))-AVERAGE(OFFSET($H$3,0,0,'Données projet'!$E$11+1,1))</f>
        <v>295.35565287134125</v>
      </c>
      <c r="BJ50" s="59">
        <f t="shared" si="38"/>
        <v>244.451492444461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3.5370349977195561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3.5370349977195561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8.1999999999999993</v>
      </c>
      <c r="BY50" s="12">
        <f>IF('Données projet'!$A$114&gt;35,BY49+BX50-CG49,IF(A50&lt;'Données projet'!$A$114,$BV$205^A50,IF(A50='Données projet'!$A$114,'Données projet'!$B$114,BY49+BX50-CG49)))</f>
        <v>153.40000000000003</v>
      </c>
      <c r="BZ50" s="13">
        <f>BY50*VLOOKUP('Données projet'!$B$12,Paramètres!$A$1:$I$89,3,0)*VLOOKUP('Données projet'!$B$12,Paramètres!$A$1:$I$89,5,0)</f>
        <v>165.11976000000004</v>
      </c>
      <c r="CA50" s="13">
        <f t="shared" si="39"/>
        <v>41.995166194425131</v>
      </c>
      <c r="CB50" s="20">
        <f t="shared" si="10"/>
        <v>360.72516312195717</v>
      </c>
      <c r="CC50" s="59">
        <f t="shared" si="11"/>
        <v>654.05849645529042</v>
      </c>
      <c r="CD50" s="59">
        <f ca="1">AVERAGE(OFFSET($CC$3,0,0,'Données projet'!$E$12+1,1))-AVERAGE(OFFSET($H$3,0,0,'Données projet'!$E$12+1,1))</f>
        <v>324.61094137855798</v>
      </c>
      <c r="CE50" s="59">
        <f t="shared" si="40"/>
        <v>267.2998309535638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3.936377658752408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3.936377658752408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20</v>
      </c>
      <c r="CT50" s="12">
        <f>IF('Données projet'!$A$140&gt;35,CT49+CS50-DB49,IF(A50&lt;'Données projet'!$A$140,$CQ$205^A50,IF(A50='Données projet'!$A$140,'Données projet'!$B$140,CT49+CS50-DB49)))</f>
        <v>449.00000000000028</v>
      </c>
      <c r="CU50" s="17">
        <f>CT50*VLOOKUP('Données projet'!$B$13,Paramètres!$A$1:$I$89,3,0)*VLOOKUP('Données projet'!$B$13,Paramètres!$A$1:$I$89,5,0)</f>
        <v>268.50200000000018</v>
      </c>
      <c r="CV50" s="13">
        <f t="shared" si="41"/>
        <v>64.531253013339224</v>
      </c>
      <c r="CW50" s="20">
        <f t="shared" si="13"/>
        <v>580.03291566489941</v>
      </c>
      <c r="CX50" s="59">
        <f t="shared" si="14"/>
        <v>873.36624899823278</v>
      </c>
      <c r="CY50" s="59">
        <f ca="1">AVERAGE(OFFSET($CX$3,0,0,'Données projet'!$E$13+1,1))-AVERAGE(OFFSET($H$3,0,0,'Données projet'!$E$13+1,1))</f>
        <v>319.9010109022521</v>
      </c>
      <c r="CZ50" s="59">
        <f t="shared" si="42"/>
        <v>441.82647565372287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41.129441416861269</v>
      </c>
      <c r="DG50" s="21">
        <f>EXP(-LN(2)/25)*DG49+(1-EXP(-LN(2)/25))/(LN(2)/25)*Calculateur!DB50*Calculateur!DD50*VLOOKUP('Données projet'!$B$13,Paramètres!$A$1:$I$89,3,0)*0.475*44/12</f>
        <v>31.469773332268893</v>
      </c>
      <c r="DH50" s="21">
        <f>EXP(-LN(2)/2)*DH49+(1-EXP(-LN(2)/2))/(LN(2)/2)*DB50*DE50*VLOOKUP('Données projet'!$B$13,Paramètres!$A$1:$I$89,3,0)*0.475*44/12</f>
        <v>5.5098717763562481</v>
      </c>
      <c r="DI50" s="22">
        <f t="shared" si="15"/>
        <v>78.109086525486418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14</v>
      </c>
      <c r="DO50" s="12">
        <f>IF('Données projet'!$A$166&gt;35,DO49+DN50-DW49,IF(A50&lt;'Données projet'!$A$166,$DL$205^A50,IF(A50='Données projet'!$A$166,'Données projet'!$B$166,DO49+DN50-DW49)))</f>
        <v>348</v>
      </c>
      <c r="DP50" s="17">
        <f>DO50*VLOOKUP('Données projet'!$B$14,Paramètres!$A$1:$I$89,3,0)*VLOOKUP('Données projet'!$B$14,Paramètres!$A$1:$I$89,5,0)</f>
        <v>162.864</v>
      </c>
      <c r="DQ50" s="13">
        <f t="shared" si="43"/>
        <v>41.487830069509123</v>
      </c>
      <c r="DR50" s="20">
        <f t="shared" si="16"/>
        <v>355.91277070439509</v>
      </c>
      <c r="DS50" s="59">
        <f t="shared" si="17"/>
        <v>649.2461040377284</v>
      </c>
      <c r="DT50" s="59">
        <f ca="1">AVERAGE(OFFSET($DS$3,0,0,'Données projet'!$E$14+1,1))-AVERAGE(OFFSET($H$3,0,0,'Données projet'!$E$14+1,1))</f>
        <v>229.61973863654862</v>
      </c>
      <c r="DU50" s="59">
        <f t="shared" si="44"/>
        <v>254.08208375594052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6.8973403606548924</v>
      </c>
      <c r="EB50" s="21">
        <f>EXP(-LN(2)/25)*EB49+(1-EXP(-LN(2)/25))/(LN(2)/25)*Calculateur!DW50*Calculateur!DY50*VLOOKUP('Données projet'!$B$14,Paramètres!$A$1:$I$89,3,0)*0.475*44/12</f>
        <v>15.010047019330255</v>
      </c>
      <c r="EC50" s="21">
        <f>EXP(-LN(2)/2)*EC49+(1-EXP(-LN(2)/2))/(LN(2)/2)*DW50*DZ50*VLOOKUP('Données projet'!$B$14,Paramètres!$A$1:$I$89,3,0)*0.475*44/12</f>
        <v>0.752370558620299</v>
      </c>
      <c r="ED50" s="22">
        <f t="shared" si="18"/>
        <v>22.659757938605445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8.1999999999999993</v>
      </c>
      <c r="N51" s="13">
        <f>IF('Données projet'!$A$36&gt;35,N50+M51-V50,IF(A51&lt;'Données projet'!$A$36,$K$205^A51,IF(A51='Données projet'!$A$36,'Données projet'!$B$36,N50+M51-V50)))</f>
        <v>161.60000000000002</v>
      </c>
      <c r="O51" s="13">
        <f>N51*VLOOKUP('Données projet'!$B$9,Paramètres!$A$1:$I$89,3,0)*VLOOKUP('Données projet'!$B$9,Paramètres!$A$1:$I$89,5,0)</f>
        <v>146.21568000000002</v>
      </c>
      <c r="P51" s="13">
        <f t="shared" si="33"/>
        <v>37.717310552893402</v>
      </c>
      <c r="Q51" s="20">
        <f t="shared" si="53"/>
        <v>320.34995854628937</v>
      </c>
      <c r="R51" s="59">
        <f t="shared" si="0"/>
        <v>613.68329187962263</v>
      </c>
      <c r="S51" s="59">
        <f ca="1">AVERAGE(OFFSET($R$3,0,0,'Données projet'!$E$9+1,1))-AVERAGE(OFFSET($H$3,0,0,'Données projet'!$E$9+1,1))</f>
        <v>373.59295497283125</v>
      </c>
      <c r="T51" s="59">
        <f t="shared" si="34"/>
        <v>231.36959598460686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3.2439548730640455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3.2439548730640455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8.1999999999999993</v>
      </c>
      <c r="AI51" s="13">
        <f>IF('Données projet'!$A$62&gt;35,AI50+AH51-AQ50,IF(A51&lt;'Données projet'!$A$62,$AF$205^A51,IF(A51='Données projet'!$A$62,'Données projet'!$B$62,AI50+AH51-AQ50)))</f>
        <v>161.60000000000002</v>
      </c>
      <c r="AJ51" s="13">
        <f>AI51*VLOOKUP('Données projet'!$B$10,Paramètres!$A$1:$I$89,3,0)*VLOOKUP('Données projet'!$B$10,Paramètres!$A$1:$I$89,5,0)</f>
        <v>163.86240000000004</v>
      </c>
      <c r="AK51" s="13">
        <f t="shared" si="35"/>
        <v>41.712477409029084</v>
      </c>
      <c r="AL51" s="20">
        <f t="shared" si="4"/>
        <v>358.0429114873923</v>
      </c>
      <c r="AM51" s="59">
        <f t="shared" si="5"/>
        <v>651.37624482072556</v>
      </c>
      <c r="AN51" s="59">
        <f ca="1">AVERAGE(OFFSET($AM$3,0,0,'Données projet'!$E$10+1,1))-AVERAGE(OFFSET($H$3,0,0,'Données projet'!$E$10+1,1))</f>
        <v>413.81510455446738</v>
      </c>
      <c r="AO51" s="59">
        <f t="shared" si="36"/>
        <v>254.25036207346602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3.6354666680890175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3.6354666680890175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8.1999999999999993</v>
      </c>
      <c r="BD51" s="12">
        <f>IF('Données projet'!$A$88&gt;35,BD50+BC51-BL50,IF(A51&lt;'Données projet'!$A$88,$BA$205^A51,IF(A51='Données projet'!$A$88,'Données projet'!$B$88,BD50+BC51-BL50)))</f>
        <v>161.60000000000002</v>
      </c>
      <c r="BE51" s="13">
        <f>BD51*VLOOKUP('Données projet'!$B$11,Paramètres!$A$1:$I$89,3,0)*VLOOKUP('Données projet'!$B$11,Paramètres!$A$1:$I$89,5,0)</f>
        <v>156.29952000000003</v>
      </c>
      <c r="BF51" s="13">
        <f t="shared" si="37"/>
        <v>40.006728538728431</v>
      </c>
      <c r="BG51" s="20">
        <f t="shared" si="7"/>
        <v>341.90004953828537</v>
      </c>
      <c r="BH51" s="59">
        <f t="shared" si="8"/>
        <v>635.23338287161869</v>
      </c>
      <c r="BI51" s="59">
        <f ca="1">AVERAGE(OFFSET($BH$3,0,0,'Données projet'!$E$11+1,1))-AVERAGE(OFFSET($H$3,0,0,'Données projet'!$E$11+1,1))</f>
        <v>295.35565287134125</v>
      </c>
      <c r="BJ51" s="59">
        <f t="shared" si="38"/>
        <v>244.451492444461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3.4676758987926006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3.4676758987926006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8.1999999999999993</v>
      </c>
      <c r="BY51" s="12">
        <f>IF('Données projet'!$A$114&gt;35,BY50+BX51-CG50,IF(A51&lt;'Données projet'!$A$114,$BV$205^A51,IF(A51='Données projet'!$A$114,'Données projet'!$B$114,BY50+BX51-CG50)))</f>
        <v>161.60000000000002</v>
      </c>
      <c r="BZ51" s="13">
        <f>BY51*VLOOKUP('Données projet'!$B$12,Paramètres!$A$1:$I$89,3,0)*VLOOKUP('Données projet'!$B$12,Paramètres!$A$1:$I$89,5,0)</f>
        <v>173.94624000000002</v>
      </c>
      <c r="CA51" s="13">
        <f t="shared" si="39"/>
        <v>43.972666205274265</v>
      </c>
      <c r="CB51" s="20">
        <f t="shared" si="10"/>
        <v>379.54209497418606</v>
      </c>
      <c r="CC51" s="59">
        <f t="shared" si="11"/>
        <v>672.87542830751931</v>
      </c>
      <c r="CD51" s="59">
        <f ca="1">AVERAGE(OFFSET($CC$3,0,0,'Données projet'!$E$12+1,1))-AVERAGE(OFFSET($H$3,0,0,'Données projet'!$E$12+1,1))</f>
        <v>324.61094137855798</v>
      </c>
      <c r="CE51" s="59">
        <f t="shared" si="40"/>
        <v>267.2998309535638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3.8591876938175704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3.8591876938175704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20</v>
      </c>
      <c r="CT51" s="12">
        <f>IF('Données projet'!$A$140&gt;35,CT50+CS51-DB50,IF(A51&lt;'Données projet'!$A$140,$CQ$205^A51,IF(A51='Données projet'!$A$140,'Données projet'!$B$140,CT50+CS51-DB50)))</f>
        <v>469.00000000000028</v>
      </c>
      <c r="CU51" s="17">
        <f>CT51*VLOOKUP('Données projet'!$B$13,Paramètres!$A$1:$I$89,3,0)*VLOOKUP('Données projet'!$B$13,Paramètres!$A$1:$I$89,5,0)</f>
        <v>280.46200000000022</v>
      </c>
      <c r="CV51" s="13">
        <f t="shared" si="41"/>
        <v>67.064633392006456</v>
      </c>
      <c r="CW51" s="20">
        <f t="shared" si="13"/>
        <v>605.27555315774487</v>
      </c>
      <c r="CX51" s="59">
        <f t="shared" si="14"/>
        <v>898.60888649107824</v>
      </c>
      <c r="CY51" s="59">
        <f ca="1">AVERAGE(OFFSET($CX$3,0,0,'Données projet'!$E$13+1,1))-AVERAGE(OFFSET($H$3,0,0,'Données projet'!$E$13+1,1))</f>
        <v>319.9010109022521</v>
      </c>
      <c r="CZ51" s="59">
        <f t="shared" si="42"/>
        <v>441.82647565372287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40.322918157158803</v>
      </c>
      <c r="DG51" s="21">
        <f>EXP(-LN(2)/25)*DG50+(1-EXP(-LN(2)/25))/(LN(2)/25)*Calculateur!DB51*Calculateur!DD51*VLOOKUP('Données projet'!$B$13,Paramètres!$A$1:$I$89,3,0)*0.475*44/12</f>
        <v>30.609230725574545</v>
      </c>
      <c r="DH51" s="21">
        <f>EXP(-LN(2)/2)*DH50+(1-EXP(-LN(2)/2))/(LN(2)/2)*DB51*DE51*VLOOKUP('Données projet'!$B$13,Paramètres!$A$1:$I$89,3,0)*0.475*44/12</f>
        <v>3.8960676965298719</v>
      </c>
      <c r="DI51" s="22">
        <f t="shared" si="15"/>
        <v>74.828216579263213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14</v>
      </c>
      <c r="DO51" s="12">
        <f>IF('Données projet'!$A$166&gt;35,DO50+DN51-DW50,IF(A51&lt;'Données projet'!$A$166,$DL$205^A51,IF(A51='Données projet'!$A$166,'Données projet'!$B$166,DO50+DN51-DW50)))</f>
        <v>362</v>
      </c>
      <c r="DP51" s="17">
        <f>DO51*VLOOKUP('Données projet'!$B$14,Paramètres!$A$1:$I$89,3,0)*VLOOKUP('Données projet'!$B$14,Paramètres!$A$1:$I$89,5,0)</f>
        <v>169.416</v>
      </c>
      <c r="DQ51" s="13">
        <f t="shared" si="43"/>
        <v>42.959200828261054</v>
      </c>
      <c r="DR51" s="20">
        <f t="shared" si="16"/>
        <v>369.88680810922136</v>
      </c>
      <c r="DS51" s="59">
        <f t="shared" si="17"/>
        <v>663.22014144255468</v>
      </c>
      <c r="DT51" s="59">
        <f ca="1">AVERAGE(OFFSET($DS$3,0,0,'Données projet'!$E$14+1,1))-AVERAGE(OFFSET($H$3,0,0,'Données projet'!$E$14+1,1))</f>
        <v>229.61973863654862</v>
      </c>
      <c r="DU51" s="59">
        <f t="shared" si="44"/>
        <v>254.08208375594052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6.762087723144667</v>
      </c>
      <c r="EB51" s="21">
        <f>EXP(-LN(2)/25)*EB50+(1-EXP(-LN(2)/25))/(LN(2)/25)*Calculateur!DW51*Calculateur!DY51*VLOOKUP('Données projet'!$B$14,Paramètres!$A$1:$I$89,3,0)*0.475*44/12</f>
        <v>14.599596494242602</v>
      </c>
      <c r="EC51" s="21">
        <f>EXP(-LN(2)/2)*EC50+(1-EXP(-LN(2)/2))/(LN(2)/2)*DW51*DZ51*VLOOKUP('Données projet'!$B$14,Paramètres!$A$1:$I$89,3,0)*0.475*44/12</f>
        <v>0.53200632396552427</v>
      </c>
      <c r="ED51" s="22">
        <f t="shared" si="18"/>
        <v>21.893690541352797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8.1999999999999993</v>
      </c>
      <c r="N52" s="13">
        <f>IF('Données projet'!$A$36&gt;35,N51+M52-V51,IF(A52&lt;'Données projet'!$A$36,$K$205^A52,IF(A52='Données projet'!$A$36,'Données projet'!$B$36,N51+M52-V51)))</f>
        <v>169.8</v>
      </c>
      <c r="O52" s="13">
        <f>N52*VLOOKUP('Données projet'!$B$9,Paramètres!$A$1:$I$89,3,0)*VLOOKUP('Données projet'!$B$9,Paramètres!$A$1:$I$89,5,0)</f>
        <v>153.63504</v>
      </c>
      <c r="P52" s="13">
        <f t="shared" si="33"/>
        <v>39.403506785222667</v>
      </c>
      <c r="Q52" s="20">
        <f t="shared" si="53"/>
        <v>336.20880231759617</v>
      </c>
      <c r="R52" s="59">
        <f t="shared" si="0"/>
        <v>629.54213565092948</v>
      </c>
      <c r="S52" s="59">
        <f ca="1">AVERAGE(OFFSET($R$3,0,0,'Données projet'!$E$9+1,1))-AVERAGE(OFFSET($H$3,0,0,'Données projet'!$E$9+1,1))</f>
        <v>373.59295497283125</v>
      </c>
      <c r="T52" s="59">
        <f t="shared" si="34"/>
        <v>231.36959598460686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3.1803428966203597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3.1803428966203597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8.1999999999999993</v>
      </c>
      <c r="AI52" s="13">
        <f>IF('Données projet'!$A$62&gt;35,AI51+AH52-AQ51,IF(A52&lt;'Données projet'!$A$62,$AF$205^A52,IF(A52='Données projet'!$A$62,'Données projet'!$B$62,AI51+AH52-AQ51)))</f>
        <v>169.8</v>
      </c>
      <c r="AJ52" s="13">
        <f>AI52*VLOOKUP('Données projet'!$B$10,Paramètres!$A$1:$I$89,3,0)*VLOOKUP('Données projet'!$B$10,Paramètres!$A$1:$I$89,5,0)</f>
        <v>172.1772</v>
      </c>
      <c r="AK52" s="13">
        <f t="shared" si="35"/>
        <v>43.577282221917017</v>
      </c>
      <c r="AL52" s="20">
        <f t="shared" si="4"/>
        <v>375.77238986983883</v>
      </c>
      <c r="AM52" s="59">
        <f t="shared" si="5"/>
        <v>669.10572320317215</v>
      </c>
      <c r="AN52" s="59">
        <f ca="1">AVERAGE(OFFSET($AM$3,0,0,'Données projet'!$E$10+1,1))-AVERAGE(OFFSET($H$3,0,0,'Données projet'!$E$10+1,1))</f>
        <v>413.81510455446738</v>
      </c>
      <c r="AO52" s="59">
        <f t="shared" si="36"/>
        <v>254.25036207346602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3.5641773841435076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3.5641773841435076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8.1999999999999993</v>
      </c>
      <c r="BD52" s="12">
        <f>IF('Données projet'!$A$88&gt;35,BD51+BC52-BL51,IF(A52&lt;'Données projet'!$A$88,$BA$205^A52,IF(A52='Données projet'!$A$88,'Données projet'!$B$88,BD51+BC52-BL51)))</f>
        <v>169.8</v>
      </c>
      <c r="BE52" s="13">
        <f>BD52*VLOOKUP('Données projet'!$B$11,Paramètres!$A$1:$I$89,3,0)*VLOOKUP('Données projet'!$B$11,Paramètres!$A$1:$I$89,5,0)</f>
        <v>164.23056000000003</v>
      </c>
      <c r="BF52" s="13">
        <f t="shared" si="37"/>
        <v>41.795275864636551</v>
      </c>
      <c r="BG52" s="20">
        <f t="shared" si="7"/>
        <v>358.82833079757535</v>
      </c>
      <c r="BH52" s="59">
        <f t="shared" si="8"/>
        <v>652.16166413090866</v>
      </c>
      <c r="BI52" s="59">
        <f ca="1">AVERAGE(OFFSET($BH$3,0,0,'Données projet'!$E$11+1,1))-AVERAGE(OFFSET($H$3,0,0,'Données projet'!$E$11+1,1))</f>
        <v>295.35565287134125</v>
      </c>
      <c r="BJ52" s="59">
        <f t="shared" si="38"/>
        <v>244.451492444461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3.3996768894907299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3.3996768894907299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8.1999999999999993</v>
      </c>
      <c r="BY52" s="12">
        <f>IF('Données projet'!$A$114&gt;35,BY51+BX52-CG51,IF(A52&lt;'Données projet'!$A$114,$BV$205^A52,IF(A52='Données projet'!$A$114,'Données projet'!$B$114,BY51+BX52-CG51)))</f>
        <v>169.8</v>
      </c>
      <c r="BZ52" s="13">
        <f>BY52*VLOOKUP('Données projet'!$B$12,Paramètres!$A$1:$I$89,3,0)*VLOOKUP('Données projet'!$B$12,Paramètres!$A$1:$I$89,5,0)</f>
        <v>182.77271999999999</v>
      </c>
      <c r="CA52" s="13">
        <f t="shared" si="39"/>
        <v>45.938515386827795</v>
      </c>
      <c r="CB52" s="20">
        <f t="shared" si="10"/>
        <v>398.33873496539172</v>
      </c>
      <c r="CC52" s="59">
        <f t="shared" si="11"/>
        <v>691.67206829872498</v>
      </c>
      <c r="CD52" s="59">
        <f ca="1">AVERAGE(OFFSET($CC$3,0,0,'Données projet'!$E$12+1,1))-AVERAGE(OFFSET($H$3,0,0,'Données projet'!$E$12+1,1))</f>
        <v>324.61094137855798</v>
      </c>
      <c r="CE52" s="59">
        <f t="shared" si="40"/>
        <v>267.2998309535638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3.7835113770138755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3.7835113770138755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20</v>
      </c>
      <c r="CT52" s="12">
        <f>IF('Données projet'!$A$140&gt;35,CT51+CS52-DB51,IF(A52&lt;'Données projet'!$A$140,$CQ$205^A52,IF(A52='Données projet'!$A$140,'Données projet'!$B$140,CT51+CS52-DB51)))</f>
        <v>489.00000000000028</v>
      </c>
      <c r="CU52" s="17">
        <f>CT52*VLOOKUP('Données projet'!$B$13,Paramètres!$A$1:$I$89,3,0)*VLOOKUP('Données projet'!$B$13,Paramètres!$A$1:$I$89,5,0)</f>
        <v>292.4220000000002</v>
      </c>
      <c r="CV52" s="13">
        <f t="shared" si="41"/>
        <v>69.585465839061499</v>
      </c>
      <c r="CW52" s="20">
        <f t="shared" si="13"/>
        <v>630.49633633636574</v>
      </c>
      <c r="CX52" s="59">
        <f t="shared" si="14"/>
        <v>923.82966966969911</v>
      </c>
      <c r="CY52" s="59">
        <f ca="1">AVERAGE(OFFSET($CX$3,0,0,'Données projet'!$E$13+1,1))-AVERAGE(OFFSET($H$3,0,0,'Données projet'!$E$13+1,1))</f>
        <v>319.9010109022521</v>
      </c>
      <c r="CZ52" s="59">
        <f t="shared" si="42"/>
        <v>441.82647565372287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39.532210326648482</v>
      </c>
      <c r="DG52" s="21">
        <f>EXP(-LN(2)/25)*DG51+(1-EXP(-LN(2)/25))/(LN(2)/25)*Calculateur!DB52*Calculateur!DD52*VLOOKUP('Données projet'!$B$13,Paramètres!$A$1:$I$89,3,0)*0.475*44/12</f>
        <v>29.772219701714224</v>
      </c>
      <c r="DH52" s="21">
        <f>EXP(-LN(2)/2)*DH51+(1-EXP(-LN(2)/2))/(LN(2)/2)*DB52*DE52*VLOOKUP('Données projet'!$B$13,Paramètres!$A$1:$I$89,3,0)*0.475*44/12</f>
        <v>2.7549358881781245</v>
      </c>
      <c r="DI52" s="22">
        <f t="shared" si="15"/>
        <v>72.059365916540827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14</v>
      </c>
      <c r="DO52" s="12">
        <f>IF('Données projet'!$A$166&gt;35,DO51+DN52-DW51,IF(A52&lt;'Données projet'!$A$166,$DL$205^A52,IF(A52='Données projet'!$A$166,'Données projet'!$B$166,DO51+DN52-DW51)))</f>
        <v>376</v>
      </c>
      <c r="DP52" s="17">
        <f>DO52*VLOOKUP('Données projet'!$B$14,Paramètres!$A$1:$I$89,3,0)*VLOOKUP('Données projet'!$B$14,Paramètres!$A$1:$I$89,5,0)</f>
        <v>175.96799999999999</v>
      </c>
      <c r="DQ52" s="13">
        <f t="shared" si="43"/>
        <v>44.423961125650585</v>
      </c>
      <c r="DR52" s="20">
        <f t="shared" si="16"/>
        <v>383.84933229384137</v>
      </c>
      <c r="DS52" s="59">
        <f t="shared" si="17"/>
        <v>677.18266562717463</v>
      </c>
      <c r="DT52" s="59">
        <f ca="1">AVERAGE(OFFSET($DS$3,0,0,'Données projet'!$E$14+1,1))-AVERAGE(OFFSET($H$3,0,0,'Données projet'!$E$14+1,1))</f>
        <v>229.61973863654862</v>
      </c>
      <c r="DU52" s="59">
        <f t="shared" si="44"/>
        <v>254.08208375594052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6.629487307360054</v>
      </c>
      <c r="EB52" s="21">
        <f>EXP(-LN(2)/25)*EB51+(1-EXP(-LN(2)/25))/(LN(2)/25)*Calculateur!DW52*Calculateur!DY52*VLOOKUP('Données projet'!$B$14,Paramètres!$A$1:$I$89,3,0)*0.475*44/12</f>
        <v>14.200369760348126</v>
      </c>
      <c r="EC52" s="21">
        <f>EXP(-LN(2)/2)*EC51+(1-EXP(-LN(2)/2))/(LN(2)/2)*DW52*DZ52*VLOOKUP('Données projet'!$B$14,Paramètres!$A$1:$I$89,3,0)*0.475*44/12</f>
        <v>0.3761852793101495</v>
      </c>
      <c r="ED52" s="22">
        <f t="shared" si="18"/>
        <v>21.206042347018329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178</v>
      </c>
      <c r="L53" s="12">
        <f>VLOOKUP(A53,'Données projet'!$A$35:$I$55,9,0)</f>
        <v>8.1999999999999993</v>
      </c>
      <c r="M53" s="12">
        <f t="array" ref="M53">INDEX(L:L,MIN(IF(ISNUMBER(L53:L249),ROW(L53:L249),"")))</f>
        <v>8.1999999999999993</v>
      </c>
      <c r="N53" s="13">
        <f>IF('Données projet'!$A$36&gt;35,N52+M53-V52,IF(A53&lt;'Données projet'!$A$36,$K$205^A53,IF(A53='Données projet'!$A$36,'Données projet'!$B$36,N52+M53-V52)))</f>
        <v>178</v>
      </c>
      <c r="O53" s="13">
        <f>N53*VLOOKUP('Données projet'!$B$9,Paramètres!$A$1:$I$89,3,0)*VLOOKUP('Données projet'!$B$9,Paramètres!$A$1:$I$89,5,0)</f>
        <v>161.05439999999999</v>
      </c>
      <c r="P53" s="13">
        <f t="shared" si="33"/>
        <v>41.080247278685491</v>
      </c>
      <c r="Q53" s="20">
        <f t="shared" si="53"/>
        <v>352.05117734371055</v>
      </c>
      <c r="R53" s="59">
        <f t="shared" si="0"/>
        <v>645.38451067704386</v>
      </c>
      <c r="S53" s="59">
        <f ca="1">AVERAGE(OFFSET($R$3,0,0,'Données projet'!$E$9+1,1))-AVERAGE(OFFSET($H$3,0,0,'Données projet'!$E$9+1,1))</f>
        <v>373.59295497283125</v>
      </c>
      <c r="T53" s="59">
        <f t="shared" si="34"/>
        <v>231.36959598460686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21</v>
      </c>
      <c r="W53" s="16">
        <f>IF(ISNA(VLOOKUP(A53,'Données projet'!$A$35:$I$55,5,0)),0%,VLOOKUP(A53,'Données projet'!$A$35:$I$55,5,0)*VLOOKUP('Données projet'!$B$9,Paramètres!$A$1:$I$89,7,0))</f>
        <v>0.129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5.8276002970136886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5.8276002970136886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178</v>
      </c>
      <c r="AG53" s="12">
        <f>VLOOKUP(A53,'Données projet'!$A$61:$I$81,9,0)</f>
        <v>8.1999999999999993</v>
      </c>
      <c r="AH53" s="12">
        <f t="array" ref="AH53">INDEX(AG:AG,MIN(IF(ISNUMBER(AG53:AG249),ROW(AG53:AG249),"")))</f>
        <v>8.1999999999999993</v>
      </c>
      <c r="AI53" s="13">
        <f>IF('Données projet'!$A$62&gt;35,AI52+AH53-AQ52,IF(A53&lt;'Données projet'!$A$62,$AF$205^A53,IF(A53='Données projet'!$A$62,'Données projet'!$B$62,AI52+AH53-AQ52)))</f>
        <v>178</v>
      </c>
      <c r="AJ53" s="13">
        <f>AI53*VLOOKUP('Données projet'!$B$10,Paramètres!$A$1:$I$89,3,0)*VLOOKUP('Données projet'!$B$10,Paramètres!$A$1:$I$89,5,0)</f>
        <v>180.49200000000002</v>
      </c>
      <c r="AK53" s="13">
        <f t="shared" si="35"/>
        <v>45.431629706642653</v>
      </c>
      <c r="AL53" s="20">
        <f t="shared" si="4"/>
        <v>393.4836550724026</v>
      </c>
      <c r="AM53" s="59">
        <f t="shared" si="5"/>
        <v>686.81698840573586</v>
      </c>
      <c r="AN53" s="59">
        <f ca="1">AVERAGE(OFFSET($AM$3,0,0,'Données projet'!$E$10+1,1))-AVERAGE(OFFSET($H$3,0,0,'Données projet'!$E$10+1,1))</f>
        <v>413.81510455446738</v>
      </c>
      <c r="AO53" s="59">
        <f t="shared" si="36"/>
        <v>254.25036207346602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21</v>
      </c>
      <c r="AR53" s="16">
        <f>IF(ISNA(VLOOKUP(A53,'Données projet'!$A$61:$I$81,5,0)),0%,VLOOKUP(A53,'Données projet'!$A$61:$I$81,5,0)*VLOOKUP('Données projet'!$B$10,Paramètres!$A$1:$I$89,7,0))</f>
        <v>0.129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6.5309313673429283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6.5309313673429283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178</v>
      </c>
      <c r="BB53" s="12">
        <f>VLOOKUP(A53,'Données projet'!$A$87:$I$107,9,0)</f>
        <v>8.1999999999999993</v>
      </c>
      <c r="BC53" s="12">
        <f t="array" ref="BC53">INDEX(BB:BB,MIN(IF(ISNUMBER(BB53:BB249),ROW(BB53:BB249),"")))</f>
        <v>8.1999999999999993</v>
      </c>
      <c r="BD53" s="12">
        <f>IF('Données projet'!$A$88&gt;35,BD52+BC53-BL52,IF(A53&lt;'Données projet'!$A$88,$BA$205^A53,IF(A53='Données projet'!$A$88,'Données projet'!$B$88,BD52+BC53-BL52)))</f>
        <v>178</v>
      </c>
      <c r="BE53" s="13">
        <f>BD53*VLOOKUP('Données projet'!$B$11,Paramètres!$A$1:$I$89,3,0)*VLOOKUP('Données projet'!$B$11,Paramètres!$A$1:$I$89,5,0)</f>
        <v>172.16159999999999</v>
      </c>
      <c r="BF53" s="13">
        <f t="shared" si="37"/>
        <v>43.57379349403616</v>
      </c>
      <c r="BG53" s="20">
        <f t="shared" si="7"/>
        <v>375.7391436687796</v>
      </c>
      <c r="BH53" s="59">
        <f t="shared" si="8"/>
        <v>669.07247700211292</v>
      </c>
      <c r="BI53" s="59">
        <f ca="1">AVERAGE(OFFSET($BH$3,0,0,'Données projet'!$E$11+1,1))-AVERAGE(OFFSET($H$3,0,0,'Données projet'!$E$11+1,1))</f>
        <v>295.35565287134125</v>
      </c>
      <c r="BJ53" s="59">
        <f t="shared" si="38"/>
        <v>244.451492444461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21</v>
      </c>
      <c r="BM53" s="16">
        <f>IF(ISNA(VLOOKUP(A53,'Données projet'!$A$87:$I$107,5,0)),0%,VLOOKUP(A53,'Données projet'!$A$87:$I$107,5,0)*VLOOKUP('Données projet'!$B$11,Paramètres!$A$1:$I$89,7,0))</f>
        <v>0.129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6.2295037657732539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6.2295037657732539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178</v>
      </c>
      <c r="BW53" s="12">
        <f>VLOOKUP(A53,'Données projet'!$A$113:$I$133,9,0)</f>
        <v>8.1999999999999993</v>
      </c>
      <c r="BX53" s="12">
        <f t="array" ref="BX53">INDEX(BW:BW,MIN(IF(ISNUMBER(BW53:BW249),ROW(BW53:BW249),"")))</f>
        <v>8.1999999999999993</v>
      </c>
      <c r="BY53" s="12">
        <f>IF('Données projet'!$A$114&gt;35,BY52+BX53-CG52,IF(A53&lt;'Données projet'!$A$114,$BV$205^A53,IF(A53='Données projet'!$A$114,'Données projet'!$B$114,BY52+BX53-CG52)))</f>
        <v>178</v>
      </c>
      <c r="BZ53" s="13">
        <f>BY53*VLOOKUP('Données projet'!$B$12,Paramètres!$A$1:$I$89,3,0)*VLOOKUP('Données projet'!$B$12,Paramètres!$A$1:$I$89,5,0)</f>
        <v>191.5992</v>
      </c>
      <c r="CA53" s="13">
        <f t="shared" si="39"/>
        <v>47.893340610341859</v>
      </c>
      <c r="CB53" s="20">
        <f t="shared" si="10"/>
        <v>417.1161748963454</v>
      </c>
      <c r="CC53" s="59">
        <f t="shared" si="11"/>
        <v>710.44950822967871</v>
      </c>
      <c r="CD53" s="59">
        <f ca="1">AVERAGE(OFFSET($CC$3,0,0,'Données projet'!$E$12+1,1))-AVERAGE(OFFSET($H$3,0,0,'Données projet'!$E$12+1,1))</f>
        <v>324.61094137855798</v>
      </c>
      <c r="CE53" s="59">
        <f t="shared" si="40"/>
        <v>267.2998309535638</v>
      </c>
      <c r="CF53" s="15">
        <f>IF(ISNA(VLOOKUP(A53,'Données projet'!$A$113:$I$133,3,0)),0,VLOOKUP(A53,'Données projet'!$A$113:$I$133,3,0))</f>
        <v>7</v>
      </c>
      <c r="CG53" s="15">
        <f>IF(ISNA(VLOOKUP(A53,'Données projet'!$A$113:$I$133,4,0)),0,VLOOKUP(A53,'Données projet'!$A$113:$I$133,4,0))</f>
        <v>21</v>
      </c>
      <c r="CH53" s="16">
        <f>IF(ISNA(VLOOKUP(A53,'Données projet'!$A$113:$I$133,5,0)),0%,VLOOKUP(A53,'Données projet'!$A$113:$I$133,5,0)*VLOOKUP('Données projet'!$B$12,Paramètres!$A$1:$I$89,7,0))</f>
        <v>0.129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6.932834836102491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6.932834836102491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509</v>
      </c>
      <c r="CR53" s="12">
        <f>VLOOKUP(A53,'Données projet'!$A$139:$I$159,9,0)</f>
        <v>20</v>
      </c>
      <c r="CS53" s="12">
        <f t="array" ref="CS53">INDEX(CR:CR,MIN(IF(ISNUMBER(CR53:CR249),ROW(CR53:CR249),"")))</f>
        <v>20</v>
      </c>
      <c r="CT53" s="12">
        <f>IF('Données projet'!$A$140&gt;35,CT52+CS53-DB52,IF(A53&lt;'Données projet'!$A$140,$CQ$205^A53,IF(A53='Données projet'!$A$140,'Données projet'!$B$140,CT52+CS53-DB52)))</f>
        <v>509.00000000000028</v>
      </c>
      <c r="CU53" s="17">
        <f>CT53*VLOOKUP('Données projet'!$B$13,Paramètres!$A$1:$I$89,3,0)*VLOOKUP('Données projet'!$B$13,Paramètres!$A$1:$I$89,5,0)</f>
        <v>304.38200000000018</v>
      </c>
      <c r="CV53" s="13">
        <f t="shared" si="41"/>
        <v>72.094322263150417</v>
      </c>
      <c r="CW53" s="20">
        <f t="shared" si="13"/>
        <v>655.69626127498725</v>
      </c>
      <c r="CX53" s="59">
        <f t="shared" si="14"/>
        <v>949.02959460832062</v>
      </c>
      <c r="CY53" s="59">
        <f ca="1">AVERAGE(OFFSET($CX$3,0,0,'Données projet'!$E$13+1,1))-AVERAGE(OFFSET($H$3,0,0,'Données projet'!$E$13+1,1))</f>
        <v>319.9010109022521</v>
      </c>
      <c r="CZ53" s="59">
        <f t="shared" si="42"/>
        <v>441.82647565372287</v>
      </c>
      <c r="DA53" s="15">
        <f>IF(ISNA(VLOOKUP(A53,'Données projet'!$A$139:$I$159,3,0)),0,VLOOKUP(A53,'Données projet'!$A$139:$I$159,3,0))</f>
        <v>8</v>
      </c>
      <c r="DB53" s="15">
        <f>IF(ISNA(VLOOKUP(A53,'Données projet'!$A$139:$I$159,4,0)),0,VLOOKUP(A53,'Données projet'!$A$139:$I$159,4,0))</f>
        <v>509</v>
      </c>
      <c r="DC53" s="16">
        <f>IF(ISNA(VLOOKUP(A53,'Données projet'!$A$139:$I$159,5,0)),0%,VLOOKUP(A53,'Données projet'!$A$139:$I$159,5,0)*VLOOKUP('Données projet'!$B$13,Paramètres!$A$1:$I$89,7,0))</f>
        <v>0.27</v>
      </c>
      <c r="DD53" s="16">
        <f>IF(ISNA(VLOOKUP(A53,'Données projet'!$A$139:$I$159,6,0)),0%,VLOOKUP(A53,'Données projet'!$A$139:$I$159,6,0)*VLOOKUP('Données projet'!$B$13,Paramètres!$A$1:$I$89,7,0))</f>
        <v>9.9000000000000005E-2</v>
      </c>
      <c r="DE53" s="16">
        <f>IF(ISNA(VLOOKUP(A53,'Données projet'!$A$139:$I$159,7,0)),0%,VLOOKUP(A53,'Données projet'!$A$139:$I$159,7,0))</f>
        <v>0.18</v>
      </c>
      <c r="DF53" s="21">
        <f>EXP(-LN(2)/35)*DF52+(1-EXP(-LN(2)/35))/(LN(2)/35)*DB53*DC53*VLOOKUP('Données projet'!$B$13,Paramètres!$A$1:$I$89,3,0)*0.475*44/12</f>
        <v>147.77824015482179</v>
      </c>
      <c r="DG53" s="21">
        <f>EXP(-LN(2)/25)*DG52+(1-EXP(-LN(2)/25))/(LN(2)/25)*Calculateur!DB53*Calculateur!DD53*VLOOKUP('Données projet'!$B$13,Paramètres!$A$1:$I$89,3,0)*0.475*44/12</f>
        <v>68.775154005347389</v>
      </c>
      <c r="DH53" s="21">
        <f>EXP(-LN(2)/2)*DH52+(1-EXP(-LN(2)/2))/(LN(2)/2)*DB53*DE53*VLOOKUP('Données projet'!$B$13,Paramètres!$A$1:$I$89,3,0)*0.475*44/12</f>
        <v>63.981637461691065</v>
      </c>
      <c r="DI53" s="22">
        <f t="shared" si="15"/>
        <v>280.53503162186024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390</v>
      </c>
      <c r="DM53" s="12">
        <f>VLOOKUP(A53,'Données projet'!$A$165:$I$185,9,0)</f>
        <v>14</v>
      </c>
      <c r="DN53" s="12">
        <f t="array" ref="DN53">INDEX(DM:DM,MIN(IF(ISNUMBER(DM53:DM249),ROW(DM53:DM249),"")))</f>
        <v>14</v>
      </c>
      <c r="DO53" s="12">
        <f>IF('Données projet'!$A$166&gt;35,DO52+DN53-DW52,IF(A53&lt;'Données projet'!$A$166,$DL$205^A53,IF(A53='Données projet'!$A$166,'Données projet'!$B$166,DO52+DN53-DW52)))</f>
        <v>390</v>
      </c>
      <c r="DP53" s="17">
        <f>DO53*VLOOKUP('Données projet'!$B$14,Paramètres!$A$1:$I$89,3,0)*VLOOKUP('Données projet'!$B$14,Paramètres!$A$1:$I$89,5,0)</f>
        <v>182.52</v>
      </c>
      <c r="DQ53" s="13">
        <f t="shared" si="43"/>
        <v>45.882385280285632</v>
      </c>
      <c r="DR53" s="20">
        <f t="shared" si="16"/>
        <v>397.80082102983079</v>
      </c>
      <c r="DS53" s="59">
        <f t="shared" si="17"/>
        <v>691.13415436316404</v>
      </c>
      <c r="DT53" s="59">
        <f ca="1">AVERAGE(OFFSET($DS$3,0,0,'Données projet'!$E$14+1,1))-AVERAGE(OFFSET($H$3,0,0,'Données projet'!$E$14+1,1))</f>
        <v>229.61973863654862</v>
      </c>
      <c r="DU53" s="59">
        <f t="shared" si="44"/>
        <v>254.08208375594052</v>
      </c>
      <c r="DV53" s="15">
        <f>IF(ISNA(VLOOKUP(A53,'Données projet'!$A$165:$I$185,3,0)),0,VLOOKUP(A53,'Données projet'!$A$165:$I$185,3,0))</f>
        <v>4</v>
      </c>
      <c r="DW53" s="15">
        <f>IF(ISNA(VLOOKUP(A53,'Données projet'!$A$165:$I$185,4,0)),0,VLOOKUP(A53,'Données projet'!$A$165:$I$185,4,0))</f>
        <v>50</v>
      </c>
      <c r="DX53" s="16">
        <f>IF(ISNA(VLOOKUP(A53,'Données projet'!$A$165:$I$185,5,0)),0%,VLOOKUP(A53,'Données projet'!$A$165:$I$185,5,0)*VLOOKUP('Données projet'!$B$14,Paramètres!$A$1:$I$89,7,0))</f>
        <v>0.22000000000000003</v>
      </c>
      <c r="DY53" s="16">
        <f>IF(ISNA(VLOOKUP(A53,'Données projet'!$A$165:$I$185,6,0)),0%,VLOOKUP(A53,'Données projet'!$A$165:$I$185,6,0)*VLOOKUP('Données projet'!$B$14,Paramètres!$A$1:$I$89,7,0))</f>
        <v>0.18700000000000003</v>
      </c>
      <c r="DZ53" s="16">
        <f>IF(ISNA(VLOOKUP(A53,'Données projet'!$A$165:$I$185,7,0)),0%,VLOOKUP(A53,'Données projet'!$A$165:$I$185,7,0))</f>
        <v>0.26</v>
      </c>
      <c r="EA53" s="21">
        <f>EXP(-LN(2)/35)*EA52+(1-EXP(-LN(2)/35))/(LN(2)/35)*DW53*DX53*VLOOKUP('Données projet'!$B$14,Paramètres!$A$1:$I$89,3,0)*0.475*44/12</f>
        <v>13.328640921453463</v>
      </c>
      <c r="EB53" s="21">
        <f>EXP(-LN(2)/25)*EB52+(1-EXP(-LN(2)/25))/(LN(2)/25)*Calculateur!DW53*Calculateur!DY53*VLOOKUP('Données projet'!$B$14,Paramètres!$A$1:$I$89,3,0)*0.475*44/12</f>
        <v>19.593985013014318</v>
      </c>
      <c r="EC53" s="21">
        <f>EXP(-LN(2)/2)*EC52+(1-EXP(-LN(2)/2))/(LN(2)/2)*DW53*DZ53*VLOOKUP('Données projet'!$B$14,Paramètres!$A$1:$I$89,3,0)*0.475*44/12</f>
        <v>7.1545044601337793</v>
      </c>
      <c r="ED53" s="22">
        <f t="shared" si="18"/>
        <v>40.077130394601561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8</v>
      </c>
      <c r="N54" s="13">
        <f>IF('Données projet'!$A$36&gt;35,N53+M54-V53,IF(A54&lt;'Données projet'!$A$36,$K$205^A54,IF(A54='Données projet'!$A$36,'Données projet'!$B$36,N53+M54-V53)))</f>
        <v>165</v>
      </c>
      <c r="O54" s="13">
        <f>N54*VLOOKUP('Données projet'!$B$9,Paramètres!$A$1:$I$89,3,0)*VLOOKUP('Données projet'!$B$9,Paramètres!$A$1:$I$89,5,0)</f>
        <v>149.29199999999997</v>
      </c>
      <c r="P54" s="13">
        <f t="shared" si="33"/>
        <v>38.417645803815411</v>
      </c>
      <c r="Q54" s="20">
        <f t="shared" si="53"/>
        <v>326.9276331083118</v>
      </c>
      <c r="R54" s="59">
        <f t="shared" si="0"/>
        <v>620.26096644164511</v>
      </c>
      <c r="S54" s="59">
        <f ca="1">AVERAGE(OFFSET($R$3,0,0,'Données projet'!$E$9+1,1))-AVERAGE(OFFSET($H$3,0,0,'Données projet'!$E$9+1,1))</f>
        <v>373.59295497283125</v>
      </c>
      <c r="T54" s="59">
        <f t="shared" si="34"/>
        <v>231.36959598460686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5.713324609674455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5.713324609674455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</v>
      </c>
      <c r="AI54" s="13">
        <f>IF('Données projet'!$A$62&gt;35,AI53+AH54-AQ53,IF(A54&lt;'Données projet'!$A$62,$AF$205^A54,IF(A54='Données projet'!$A$62,'Données projet'!$B$62,AI53+AH54-AQ53)))</f>
        <v>165</v>
      </c>
      <c r="AJ54" s="13">
        <f>AI54*VLOOKUP('Données projet'!$B$10,Paramètres!$A$1:$I$89,3,0)*VLOOKUP('Données projet'!$B$10,Paramètres!$A$1:$I$89,5,0)</f>
        <v>167.31</v>
      </c>
      <c r="AK54" s="13">
        <f t="shared" si="35"/>
        <v>42.486994942347515</v>
      </c>
      <c r="AL54" s="20">
        <f t="shared" si="4"/>
        <v>365.39643285792187</v>
      </c>
      <c r="AM54" s="59">
        <f t="shared" si="5"/>
        <v>658.72976619125518</v>
      </c>
      <c r="AN54" s="59">
        <f ca="1">AVERAGE(OFFSET($AM$3,0,0,'Données projet'!$E$10+1,1))-AVERAGE(OFFSET($H$3,0,0,'Données projet'!$E$10+1,1))</f>
        <v>413.81510455446738</v>
      </c>
      <c r="AO54" s="59">
        <f t="shared" si="36"/>
        <v>254.25036207346602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6.402863786704132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6.402863786704132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8</v>
      </c>
      <c r="BD54" s="12">
        <f>IF('Données projet'!$A$88&gt;35,BD53+BC54-BL53,IF(A54&lt;'Données projet'!$A$88,$BA$205^A54,IF(A54='Données projet'!$A$88,'Données projet'!$B$88,BD53+BC54-BL53)))</f>
        <v>165</v>
      </c>
      <c r="BE54" s="13">
        <f>BD54*VLOOKUP('Données projet'!$B$11,Paramètres!$A$1:$I$89,3,0)*VLOOKUP('Données projet'!$B$11,Paramètres!$A$1:$I$89,5,0)</f>
        <v>159.58799999999999</v>
      </c>
      <c r="BF54" s="13">
        <f t="shared" si="37"/>
        <v>40.74957371668588</v>
      </c>
      <c r="BG54" s="20">
        <f t="shared" si="7"/>
        <v>348.92127422322784</v>
      </c>
      <c r="BH54" s="59">
        <f t="shared" si="8"/>
        <v>642.25460755656115</v>
      </c>
      <c r="BI54" s="59">
        <f ca="1">AVERAGE(OFFSET($BH$3,0,0,'Données projet'!$E$11+1,1))-AVERAGE(OFFSET($H$3,0,0,'Données projet'!$E$11+1,1))</f>
        <v>295.35565287134125</v>
      </c>
      <c r="BJ54" s="59">
        <f t="shared" si="38"/>
        <v>244.451492444461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6.1073469965485563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6.1073469965485563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8</v>
      </c>
      <c r="BY54" s="12">
        <f>IF('Données projet'!$A$114&gt;35,BY53+BX54-CG53,IF(A54&lt;'Données projet'!$A$114,$BV$205^A54,IF(A54='Données projet'!$A$114,'Données projet'!$B$114,BY53+BX54-CG53)))</f>
        <v>165</v>
      </c>
      <c r="BZ54" s="13">
        <f>BY54*VLOOKUP('Données projet'!$B$12,Paramètres!$A$1:$I$89,3,0)*VLOOKUP('Données projet'!$B$12,Paramètres!$A$1:$I$89,5,0)</f>
        <v>177.60599999999999</v>
      </c>
      <c r="CA54" s="13">
        <f t="shared" si="39"/>
        <v>44.789150937858665</v>
      </c>
      <c r="CB54" s="20">
        <f t="shared" si="10"/>
        <v>387.33822121677048</v>
      </c>
      <c r="CC54" s="59">
        <f t="shared" si="11"/>
        <v>680.67155455010379</v>
      </c>
      <c r="CD54" s="59">
        <f ca="1">AVERAGE(OFFSET($CC$3,0,0,'Données projet'!$E$12+1,1))-AVERAGE(OFFSET($H$3,0,0,'Données projet'!$E$12+1,1))</f>
        <v>324.61094137855798</v>
      </c>
      <c r="CE54" s="59">
        <f t="shared" si="40"/>
        <v>267.2998309535638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6.7968861735782307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6.7968861735782307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2.8421709430404007E-13</v>
      </c>
      <c r="CU54" s="17">
        <f>CT54*VLOOKUP('Données projet'!$B$13,Paramètres!$A$1:$I$89,3,0)*VLOOKUP('Données projet'!$B$13,Paramètres!$A$1:$I$89,5,0)</f>
        <v>1.69961822393816E-13</v>
      </c>
      <c r="CV54" s="13">
        <f t="shared" si="41"/>
        <v>2.4004382776176369E-12</v>
      </c>
      <c r="CW54" s="20">
        <f t="shared" si="13"/>
        <v>4.4767801741866136E-12</v>
      </c>
      <c r="CX54" s="59">
        <f t="shared" si="14"/>
        <v>293.33333333333781</v>
      </c>
      <c r="CY54" s="59">
        <f ca="1">AVERAGE(OFFSET($CX$3,0,0,'Données projet'!$E$13+1,1))-AVERAGE(OFFSET($H$3,0,0,'Données projet'!$E$13+1,1))</f>
        <v>319.9010109022521</v>
      </c>
      <c r="CZ54" s="59">
        <f t="shared" si="42"/>
        <v>441.82647565372287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144.88039900121206</v>
      </c>
      <c r="DG54" s="21">
        <f>EXP(-LN(2)/25)*DG53+(1-EXP(-LN(2)/25))/(LN(2)/25)*Calculateur!DB54*Calculateur!DD54*VLOOKUP('Données projet'!$B$13,Paramètres!$A$1:$I$89,3,0)*0.475*44/12</f>
        <v>66.894493802343007</v>
      </c>
      <c r="DH54" s="21">
        <f>EXP(-LN(2)/2)*DH53+(1-EXP(-LN(2)/2))/(LN(2)/2)*DB54*DE54*VLOOKUP('Données projet'!$B$13,Paramètres!$A$1:$I$89,3,0)*0.475*44/12</f>
        <v>45.241849720581001</v>
      </c>
      <c r="DI54" s="22">
        <f t="shared" si="15"/>
        <v>257.01674252413608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13</v>
      </c>
      <c r="DO54" s="12">
        <f>IF('Données projet'!$A$166&gt;35,DO53+DN54-DW53,IF(A54&lt;'Données projet'!$A$166,$DL$205^A54,IF(A54='Données projet'!$A$166,'Données projet'!$B$166,DO53+DN54-DW53)))</f>
        <v>353</v>
      </c>
      <c r="DP54" s="17">
        <f>DO54*VLOOKUP('Données projet'!$B$14,Paramètres!$A$1:$I$89,3,0)*VLOOKUP('Données projet'!$B$14,Paramètres!$A$1:$I$89,5,0)</f>
        <v>165.20400000000001</v>
      </c>
      <c r="DQ54" s="13">
        <f t="shared" si="43"/>
        <v>42.01409666579589</v>
      </c>
      <c r="DR54" s="20">
        <f t="shared" si="16"/>
        <v>360.90485169292782</v>
      </c>
      <c r="DS54" s="59">
        <f t="shared" si="17"/>
        <v>654.23818502626114</v>
      </c>
      <c r="DT54" s="59">
        <f ca="1">AVERAGE(OFFSET($DS$3,0,0,'Données projet'!$E$14+1,1))-AVERAGE(OFFSET($H$3,0,0,'Données projet'!$E$14+1,1))</f>
        <v>229.61973863654862</v>
      </c>
      <c r="DU54" s="59">
        <f t="shared" si="44"/>
        <v>254.08208375594052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13.067274402651984</v>
      </c>
      <c r="EB54" s="21">
        <f>EXP(-LN(2)/25)*EB53+(1-EXP(-LN(2)/25))/(LN(2)/25)*Calculateur!DW54*Calculateur!DY54*VLOOKUP('Données projet'!$B$14,Paramètres!$A$1:$I$89,3,0)*0.475*44/12</f>
        <v>19.058186462430552</v>
      </c>
      <c r="EC54" s="21">
        <f>EXP(-LN(2)/2)*EC53+(1-EXP(-LN(2)/2))/(LN(2)/2)*DW54*DZ54*VLOOKUP('Données projet'!$B$14,Paramètres!$A$1:$I$89,3,0)*0.475*44/12</f>
        <v>5.0589986197899952</v>
      </c>
      <c r="ED54" s="22">
        <f t="shared" si="18"/>
        <v>37.184459484872534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8</v>
      </c>
      <c r="N55" s="13">
        <f>IF('Données projet'!$A$36&gt;35,N54+M55-V54,IF(A55&lt;'Données projet'!$A$36,$K$205^A55,IF(A55='Données projet'!$A$36,'Données projet'!$B$36,N54+M55-V54)))</f>
        <v>173</v>
      </c>
      <c r="O55" s="13">
        <f>N55*VLOOKUP('Données projet'!$B$9,Paramètres!$A$1:$I$89,3,0)*VLOOKUP('Données projet'!$B$9,Paramètres!$A$1:$I$89,5,0)</f>
        <v>156.53039999999999</v>
      </c>
      <c r="P55" s="13">
        <f t="shared" si="33"/>
        <v>40.058941713182037</v>
      </c>
      <c r="Q55" s="20">
        <f t="shared" si="53"/>
        <v>342.393103483792</v>
      </c>
      <c r="R55" s="59">
        <f t="shared" si="0"/>
        <v>635.72643681712532</v>
      </c>
      <c r="S55" s="59">
        <f ca="1">AVERAGE(OFFSET($R$3,0,0,'Données projet'!$E$9+1,1))-AVERAGE(OFFSET($H$3,0,0,'Données projet'!$E$9+1,1))</f>
        <v>373.59295497283125</v>
      </c>
      <c r="T55" s="59">
        <f t="shared" si="34"/>
        <v>231.36959598460686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5.6012897988626573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5.6012897988626573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</v>
      </c>
      <c r="AI55" s="13">
        <f>IF('Données projet'!$A$62&gt;35,AI54+AH55-AQ54,IF(A55&lt;'Données projet'!$A$62,$AF$205^A55,IF(A55='Données projet'!$A$62,'Données projet'!$B$62,AI54+AH55-AQ54)))</f>
        <v>173</v>
      </c>
      <c r="AJ55" s="13">
        <f>AI55*VLOOKUP('Données projet'!$B$10,Paramètres!$A$1:$I$89,3,0)*VLOOKUP('Données projet'!$B$10,Paramètres!$A$1:$I$89,5,0)</f>
        <v>175.422</v>
      </c>
      <c r="AK55" s="13">
        <f t="shared" si="35"/>
        <v>44.302143412304737</v>
      </c>
      <c r="AL55" s="20">
        <f t="shared" si="4"/>
        <v>382.68621644309741</v>
      </c>
      <c r="AM55" s="59">
        <f t="shared" si="5"/>
        <v>676.01954977643072</v>
      </c>
      <c r="AN55" s="59">
        <f ca="1">AVERAGE(OFFSET($AM$3,0,0,'Données projet'!$E$10+1,1))-AVERAGE(OFFSET($H$3,0,0,'Données projet'!$E$10+1,1))</f>
        <v>413.81510455446738</v>
      </c>
      <c r="AO55" s="59">
        <f t="shared" si="36"/>
        <v>254.25036207346602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6.2773075332081518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6.2773075332081518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</v>
      </c>
      <c r="BD55" s="12">
        <f>IF('Données projet'!$A$88&gt;35,BD54+BC55-BL54,IF(A55&lt;'Données projet'!$A$88,$BA$205^A55,IF(A55='Données projet'!$A$88,'Données projet'!$B$88,BD54+BC55-BL54)))</f>
        <v>173</v>
      </c>
      <c r="BE55" s="13">
        <f>BD55*VLOOKUP('Données projet'!$B$11,Paramètres!$A$1:$I$89,3,0)*VLOOKUP('Données projet'!$B$11,Paramètres!$A$1:$I$89,5,0)</f>
        <v>167.32560000000001</v>
      </c>
      <c r="BF55" s="13">
        <f t="shared" si="37"/>
        <v>42.490495297127609</v>
      </c>
      <c r="BG55" s="20">
        <f t="shared" si="7"/>
        <v>365.42969930916388</v>
      </c>
      <c r="BH55" s="59">
        <f t="shared" si="8"/>
        <v>658.76303264249714</v>
      </c>
      <c r="BI55" s="59">
        <f ca="1">AVERAGE(OFFSET($BH$3,0,0,'Données projet'!$E$11+1,1))-AVERAGE(OFFSET($H$3,0,0,'Données projet'!$E$11+1,1))</f>
        <v>295.35565287134125</v>
      </c>
      <c r="BJ55" s="59">
        <f t="shared" si="38"/>
        <v>244.451492444461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5.9875856470600821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5.9875856470600821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8</v>
      </c>
      <c r="BY55" s="12">
        <f>IF('Données projet'!$A$114&gt;35,BY54+BX55-CG54,IF(A55&lt;'Données projet'!$A$114,$BV$205^A55,IF(A55='Données projet'!$A$114,'Données projet'!$B$114,BY54+BX55-CG54)))</f>
        <v>173</v>
      </c>
      <c r="BZ55" s="13">
        <f>BY55*VLOOKUP('Données projet'!$B$12,Paramètres!$A$1:$I$89,3,0)*VLOOKUP('Données projet'!$B$12,Paramètres!$A$1:$I$89,5,0)</f>
        <v>186.21719999999999</v>
      </c>
      <c r="CA55" s="13">
        <f t="shared" si="39"/>
        <v>46.702653149673253</v>
      </c>
      <c r="CB55" s="20">
        <f t="shared" si="10"/>
        <v>405.66874423568089</v>
      </c>
      <c r="CC55" s="59">
        <f t="shared" si="11"/>
        <v>699.0020775690142</v>
      </c>
      <c r="CD55" s="59">
        <f ca="1">AVERAGE(OFFSET($CC$3,0,0,'Données projet'!$E$12+1,1))-AVERAGE(OFFSET($H$3,0,0,'Données projet'!$E$12+1,1))</f>
        <v>324.61094137855798</v>
      </c>
      <c r="CE55" s="59">
        <f t="shared" si="40"/>
        <v>267.2998309535638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6.6636033814055748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6.6636033814055748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2.8421709430404007E-13</v>
      </c>
      <c r="CU55" s="17">
        <f>CT55*VLOOKUP('Données projet'!$B$13,Paramètres!$A$1:$I$89,3,0)*VLOOKUP('Données projet'!$B$13,Paramètres!$A$1:$I$89,5,0)</f>
        <v>1.69961822393816E-13</v>
      </c>
      <c r="CV55" s="13">
        <f t="shared" si="41"/>
        <v>2.4004382776176369E-12</v>
      </c>
      <c r="CW55" s="20">
        <f t="shared" si="13"/>
        <v>4.4767801741866136E-12</v>
      </c>
      <c r="CX55" s="59">
        <f t="shared" si="14"/>
        <v>293.33333333333781</v>
      </c>
      <c r="CY55" s="59">
        <f ca="1">AVERAGE(OFFSET($CX$3,0,0,'Données projet'!$E$13+1,1))-AVERAGE(OFFSET($H$3,0,0,'Données projet'!$E$13+1,1))</f>
        <v>319.9010109022521</v>
      </c>
      <c r="CZ55" s="59">
        <f t="shared" si="42"/>
        <v>441.82647565372287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142.03938274511603</v>
      </c>
      <c r="DG55" s="21">
        <f>EXP(-LN(2)/25)*DG54+(1-EXP(-LN(2)/25))/(LN(2)/25)*Calculateur!DB55*Calculateur!DD55*VLOOKUP('Données projet'!$B$13,Paramètres!$A$1:$I$89,3,0)*0.475*44/12</f>
        <v>65.0652603514894</v>
      </c>
      <c r="DH55" s="21">
        <f>EXP(-LN(2)/2)*DH54+(1-EXP(-LN(2)/2))/(LN(2)/2)*DB55*DE55*VLOOKUP('Données projet'!$B$13,Paramètres!$A$1:$I$89,3,0)*0.475*44/12</f>
        <v>31.99081873084554</v>
      </c>
      <c r="DI55" s="22">
        <f t="shared" si="15"/>
        <v>239.09546182745098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13</v>
      </c>
      <c r="DO55" s="12">
        <f>IF('Données projet'!$A$166&gt;35,DO54+DN55-DW54,IF(A55&lt;'Données projet'!$A$166,$DL$205^A55,IF(A55='Données projet'!$A$166,'Données projet'!$B$166,DO54+DN55-DW54)))</f>
        <v>366</v>
      </c>
      <c r="DP55" s="17">
        <f>DO55*VLOOKUP('Données projet'!$B$14,Paramètres!$A$1:$I$89,3,0)*VLOOKUP('Données projet'!$B$14,Paramètres!$A$1:$I$89,5,0)</f>
        <v>171.28799999999998</v>
      </c>
      <c r="DQ55" s="13">
        <f t="shared" si="43"/>
        <v>43.37836589572138</v>
      </c>
      <c r="DR55" s="20">
        <f t="shared" si="16"/>
        <v>373.87725393504803</v>
      </c>
      <c r="DS55" s="59">
        <f t="shared" si="17"/>
        <v>667.21058726838135</v>
      </c>
      <c r="DT55" s="59">
        <f ca="1">AVERAGE(OFFSET($DS$3,0,0,'Données projet'!$E$14+1,1))-AVERAGE(OFFSET($H$3,0,0,'Données projet'!$E$14+1,1))</f>
        <v>229.61973863654862</v>
      </c>
      <c r="DU55" s="59">
        <f t="shared" si="44"/>
        <v>254.08208375594052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12.811033121866368</v>
      </c>
      <c r="EB55" s="21">
        <f>EXP(-LN(2)/25)*EB54+(1-EXP(-LN(2)/25))/(LN(2)/25)*Calculateur!DW55*Calculateur!DY55*VLOOKUP('Données projet'!$B$14,Paramètres!$A$1:$I$89,3,0)*0.475*44/12</f>
        <v>18.53703935138892</v>
      </c>
      <c r="EC55" s="21">
        <f>EXP(-LN(2)/2)*EC54+(1-EXP(-LN(2)/2))/(LN(2)/2)*DW55*DZ55*VLOOKUP('Données projet'!$B$14,Paramètres!$A$1:$I$89,3,0)*0.475*44/12</f>
        <v>3.5772522300668905</v>
      </c>
      <c r="ED55" s="22">
        <f t="shared" si="18"/>
        <v>34.925324703322175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8</v>
      </c>
      <c r="N56" s="13">
        <f>IF('Données projet'!$A$36&gt;35,N55+M56-V55,IF(A56&lt;'Données projet'!$A$36,$K$205^A56,IF(A56='Données projet'!$A$36,'Données projet'!$B$36,N55+M56-V55)))</f>
        <v>181</v>
      </c>
      <c r="O56" s="13">
        <f>N56*VLOOKUP('Données projet'!$B$9,Paramètres!$A$1:$I$89,3,0)*VLOOKUP('Données projet'!$B$9,Paramètres!$A$1:$I$89,5,0)</f>
        <v>163.7688</v>
      </c>
      <c r="P56" s="13">
        <f t="shared" si="33"/>
        <v>41.691423503509803</v>
      </c>
      <c r="Q56" s="20">
        <f t="shared" si="53"/>
        <v>357.84322260194625</v>
      </c>
      <c r="R56" s="59">
        <f t="shared" si="0"/>
        <v>651.17655593527957</v>
      </c>
      <c r="S56" s="59">
        <f ca="1">AVERAGE(OFFSET($R$3,0,0,'Données projet'!$E$9+1,1))-AVERAGE(OFFSET($H$3,0,0,'Données projet'!$E$9+1,1))</f>
        <v>373.59295497283125</v>
      </c>
      <c r="T56" s="59">
        <f t="shared" si="34"/>
        <v>231.36959598460686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5.4914519223563918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5.4914519223563918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</v>
      </c>
      <c r="AI56" s="13">
        <f>IF('Données projet'!$A$62&gt;35,AI55+AH56-AQ55,IF(A56&lt;'Données projet'!$A$62,$AF$205^A56,IF(A56='Données projet'!$A$62,'Données projet'!$B$62,AI55+AH56-AQ55)))</f>
        <v>181</v>
      </c>
      <c r="AJ56" s="13">
        <f>AI56*VLOOKUP('Données projet'!$B$10,Paramètres!$A$1:$I$89,3,0)*VLOOKUP('Données projet'!$B$10,Paramètres!$A$1:$I$89,5,0)</f>
        <v>183.53400000000002</v>
      </c>
      <c r="AK56" s="13">
        <f t="shared" si="35"/>
        <v>46.107544136839593</v>
      </c>
      <c r="AL56" s="20">
        <f t="shared" si="4"/>
        <v>399.95902270499568</v>
      </c>
      <c r="AM56" s="59">
        <f t="shared" si="5"/>
        <v>693.29235603832899</v>
      </c>
      <c r="AN56" s="59">
        <f ca="1">AVERAGE(OFFSET($AM$3,0,0,'Données projet'!$E$10+1,1))-AVERAGE(OFFSET($H$3,0,0,'Données projet'!$E$10+1,1))</f>
        <v>413.81510455446738</v>
      </c>
      <c r="AO56" s="59">
        <f t="shared" si="36"/>
        <v>254.25036207346602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6.1542133612614744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6.1542133612614744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</v>
      </c>
      <c r="BD56" s="12">
        <f>IF('Données projet'!$A$88&gt;35,BD55+BC56-BL55,IF(A56&lt;'Données projet'!$A$88,$BA$205^A56,IF(A56='Données projet'!$A$88,'Données projet'!$B$88,BD55+BC56-BL55)))</f>
        <v>181</v>
      </c>
      <c r="BE56" s="13">
        <f>BD56*VLOOKUP('Données projet'!$B$11,Paramètres!$A$1:$I$89,3,0)*VLOOKUP('Données projet'!$B$11,Paramètres!$A$1:$I$89,5,0)</f>
        <v>175.06319999999999</v>
      </c>
      <c r="BF56" s="13">
        <f t="shared" si="37"/>
        <v>44.22206774682472</v>
      </c>
      <c r="BG56" s="20">
        <f t="shared" si="7"/>
        <v>381.9218413257197</v>
      </c>
      <c r="BH56" s="59">
        <f t="shared" si="8"/>
        <v>675.25517465905295</v>
      </c>
      <c r="BI56" s="59">
        <f ca="1">AVERAGE(OFFSET($BH$3,0,0,'Données projet'!$E$11+1,1))-AVERAGE(OFFSET($H$3,0,0,'Données projet'!$E$11+1,1))</f>
        <v>295.35565287134125</v>
      </c>
      <c r="BJ56" s="59">
        <f t="shared" si="38"/>
        <v>244.451492444461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5.8701727445878671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5.8701727445878671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8</v>
      </c>
      <c r="BY56" s="12">
        <f>IF('Données projet'!$A$114&gt;35,BY55+BX56-CG55,IF(A56&lt;'Données projet'!$A$114,$BV$205^A56,IF(A56='Données projet'!$A$114,'Données projet'!$B$114,BY55+BX56-CG55)))</f>
        <v>181</v>
      </c>
      <c r="BZ56" s="13">
        <f>BY56*VLOOKUP('Données projet'!$B$12,Paramètres!$A$1:$I$89,3,0)*VLOOKUP('Données projet'!$B$12,Paramètres!$A$1:$I$89,5,0)</f>
        <v>194.82839999999999</v>
      </c>
      <c r="CA56" s="13">
        <f t="shared" si="39"/>
        <v>48.605879434898533</v>
      </c>
      <c r="CB56" s="20">
        <f t="shared" si="10"/>
        <v>423.98137001578152</v>
      </c>
      <c r="CC56" s="59">
        <f t="shared" si="11"/>
        <v>717.31470334911478</v>
      </c>
      <c r="CD56" s="59">
        <f ca="1">AVERAGE(OFFSET($CC$3,0,0,'Données projet'!$E$12+1,1))-AVERAGE(OFFSET($H$3,0,0,'Données projet'!$E$12+1,1))</f>
        <v>324.61094137855798</v>
      </c>
      <c r="CE56" s="59">
        <f t="shared" si="40"/>
        <v>267.2998309535638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6.532934183492948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6.532934183492948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2.8421709430404007E-13</v>
      </c>
      <c r="CU56" s="17">
        <f>CT56*VLOOKUP('Données projet'!$B$13,Paramètres!$A$1:$I$89,3,0)*VLOOKUP('Données projet'!$B$13,Paramètres!$A$1:$I$89,5,0)</f>
        <v>1.69961822393816E-13</v>
      </c>
      <c r="CV56" s="13">
        <f t="shared" si="41"/>
        <v>2.4004382776176369E-12</v>
      </c>
      <c r="CW56" s="20">
        <f t="shared" si="13"/>
        <v>4.4767801741866136E-12</v>
      </c>
      <c r="CX56" s="59">
        <f t="shared" si="14"/>
        <v>293.33333333333781</v>
      </c>
      <c r="CY56" s="59">
        <f ca="1">AVERAGE(OFFSET($CX$3,0,0,'Données projet'!$E$13+1,1))-AVERAGE(OFFSET($H$3,0,0,'Données projet'!$E$13+1,1))</f>
        <v>319.9010109022521</v>
      </c>
      <c r="CZ56" s="59">
        <f t="shared" si="42"/>
        <v>441.82647565372287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139.25407708495322</v>
      </c>
      <c r="DG56" s="21">
        <f>EXP(-LN(2)/25)*DG55+(1-EXP(-LN(2)/25))/(LN(2)/25)*Calculateur!DB56*Calculateur!DD56*VLOOKUP('Données projet'!$B$13,Paramètres!$A$1:$I$89,3,0)*0.475*44/12</f>
        <v>63.286047385544592</v>
      </c>
      <c r="DH56" s="21">
        <f>EXP(-LN(2)/2)*DH55+(1-EXP(-LN(2)/2))/(LN(2)/2)*DB56*DE56*VLOOKUP('Données projet'!$B$13,Paramètres!$A$1:$I$89,3,0)*0.475*44/12</f>
        <v>22.620924860290504</v>
      </c>
      <c r="DI56" s="22">
        <f t="shared" si="15"/>
        <v>225.1610493307883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13</v>
      </c>
      <c r="DO56" s="12">
        <f>IF('Données projet'!$A$166&gt;35,DO55+DN56-DW55,IF(A56&lt;'Données projet'!$A$166,$DL$205^A56,IF(A56='Données projet'!$A$166,'Données projet'!$B$166,DO55+DN56-DW55)))</f>
        <v>379</v>
      </c>
      <c r="DP56" s="17">
        <f>DO56*VLOOKUP('Données projet'!$B$14,Paramètres!$A$1:$I$89,3,0)*VLOOKUP('Données projet'!$B$14,Paramètres!$A$1:$I$89,5,0)</f>
        <v>177.37200000000001</v>
      </c>
      <c r="DQ56" s="13">
        <f t="shared" si="43"/>
        <v>44.737005048641883</v>
      </c>
      <c r="DR56" s="20">
        <f t="shared" si="16"/>
        <v>386.83985045971798</v>
      </c>
      <c r="DS56" s="59">
        <f t="shared" si="17"/>
        <v>680.17318379305129</v>
      </c>
      <c r="DT56" s="59">
        <f ca="1">AVERAGE(OFFSET($DS$3,0,0,'Données projet'!$E$14+1,1))-AVERAGE(OFFSET($H$3,0,0,'Données projet'!$E$14+1,1))</f>
        <v>229.61973863654862</v>
      </c>
      <c r="DU56" s="59">
        <f t="shared" si="44"/>
        <v>254.08208375594052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12.559816576305208</v>
      </c>
      <c r="EB56" s="21">
        <f>EXP(-LN(2)/25)*EB55+(1-EXP(-LN(2)/25))/(LN(2)/25)*Calculateur!DW56*Calculateur!DY56*VLOOKUP('Données projet'!$B$14,Paramètres!$A$1:$I$89,3,0)*0.475*44/12</f>
        <v>18.030143035504658</v>
      </c>
      <c r="EC56" s="21">
        <f>EXP(-LN(2)/2)*EC55+(1-EXP(-LN(2)/2))/(LN(2)/2)*DW56*DZ56*VLOOKUP('Données projet'!$B$14,Paramètres!$A$1:$I$89,3,0)*0.475*44/12</f>
        <v>2.529499309894998</v>
      </c>
      <c r="ED56" s="22">
        <f t="shared" si="18"/>
        <v>33.119458921704862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</v>
      </c>
      <c r="N57" s="13">
        <f>IF('Données projet'!$A$36&gt;35,N56+M57-V56,IF(A57&lt;'Données projet'!$A$36,$K$205^A57,IF(A57='Données projet'!$A$36,'Données projet'!$B$36,N56+M57-V56)))</f>
        <v>189</v>
      </c>
      <c r="O57" s="13">
        <f>N57*VLOOKUP('Données projet'!$B$9,Paramètres!$A$1:$I$89,3,0)*VLOOKUP('Données projet'!$B$9,Paramètres!$A$1:$I$89,5,0)</f>
        <v>171.00719999999998</v>
      </c>
      <c r="P57" s="13">
        <f t="shared" si="33"/>
        <v>43.315525267338089</v>
      </c>
      <c r="Q57" s="20">
        <f t="shared" si="53"/>
        <v>373.27874650728046</v>
      </c>
      <c r="R57" s="59">
        <f t="shared" si="0"/>
        <v>666.61207984061377</v>
      </c>
      <c r="S57" s="59">
        <f ca="1">AVERAGE(OFFSET($R$3,0,0,'Données projet'!$E$9+1,1))-AVERAGE(OFFSET($H$3,0,0,'Données projet'!$E$9+1,1))</f>
        <v>373.59295497283125</v>
      </c>
      <c r="T57" s="59">
        <f t="shared" si="34"/>
        <v>231.36959598460686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5.3837678996139244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5.3837678996139244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</v>
      </c>
      <c r="AI57" s="13">
        <f>IF('Données projet'!$A$62&gt;35,AI56+AH57-AQ56,IF(A57&lt;'Données projet'!$A$62,$AF$205^A57,IF(A57='Données projet'!$A$62,'Données projet'!$B$62,AI56+AH57-AQ56)))</f>
        <v>189</v>
      </c>
      <c r="AJ57" s="13">
        <f>AI57*VLOOKUP('Données projet'!$B$10,Paramètres!$A$1:$I$89,3,0)*VLOOKUP('Données projet'!$B$10,Paramètres!$A$1:$I$89,5,0)</f>
        <v>191.64600000000002</v>
      </c>
      <c r="AK57" s="13">
        <f t="shared" si="35"/>
        <v>47.903677189291635</v>
      </c>
      <c r="AL57" s="20">
        <f t="shared" si="4"/>
        <v>417.21568777134962</v>
      </c>
      <c r="AM57" s="59">
        <f t="shared" si="5"/>
        <v>710.54902110468288</v>
      </c>
      <c r="AN57" s="59">
        <f ca="1">AVERAGE(OFFSET($AM$3,0,0,'Données projet'!$E$10+1,1))-AVERAGE(OFFSET($H$3,0,0,'Données projet'!$E$10+1,1))</f>
        <v>413.81510455446738</v>
      </c>
      <c r="AO57" s="59">
        <f t="shared" si="36"/>
        <v>254.25036207346602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6.0335329909466404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6.0335329909466404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</v>
      </c>
      <c r="BD57" s="12">
        <f>IF('Données projet'!$A$88&gt;35,BD56+BC57-BL56,IF(A57&lt;'Données projet'!$A$88,$BA$205^A57,IF(A57='Données projet'!$A$88,'Données projet'!$B$88,BD56+BC57-BL56)))</f>
        <v>189</v>
      </c>
      <c r="BE57" s="13">
        <f>BD57*VLOOKUP('Données projet'!$B$11,Paramètres!$A$1:$I$89,3,0)*VLOOKUP('Données projet'!$B$11,Paramètres!$A$1:$I$89,5,0)</f>
        <v>182.80079999999998</v>
      </c>
      <c r="BF57" s="13">
        <f t="shared" si="37"/>
        <v>45.944751507471658</v>
      </c>
      <c r="BG57" s="20">
        <f t="shared" si="7"/>
        <v>398.39850220884642</v>
      </c>
      <c r="BH57" s="59">
        <f t="shared" si="8"/>
        <v>691.73183554217974</v>
      </c>
      <c r="BI57" s="59">
        <f ca="1">AVERAGE(OFFSET($BH$3,0,0,'Données projet'!$E$11+1,1))-AVERAGE(OFFSET($H$3,0,0,'Données projet'!$E$11+1,1))</f>
        <v>295.35565287134125</v>
      </c>
      <c r="BJ57" s="59">
        <f t="shared" si="38"/>
        <v>244.451492444461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5.7550622375183327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5.7550622375183327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</v>
      </c>
      <c r="BY57" s="12">
        <f>IF('Données projet'!$A$114&gt;35,BY56+BX57-CG56,IF(A57&lt;'Données projet'!$A$114,$BV$205^A57,IF(A57='Données projet'!$A$114,'Données projet'!$B$114,BY56+BX57-CG56)))</f>
        <v>189</v>
      </c>
      <c r="BZ57" s="13">
        <f>BY57*VLOOKUP('Données projet'!$B$12,Paramètres!$A$1:$I$89,3,0)*VLOOKUP('Données projet'!$B$12,Paramètres!$A$1:$I$89,5,0)</f>
        <v>203.43960000000001</v>
      </c>
      <c r="CA57" s="13">
        <f t="shared" si="39"/>
        <v>50.499335879627459</v>
      </c>
      <c r="CB57" s="20">
        <f t="shared" si="10"/>
        <v>442.27697999035109</v>
      </c>
      <c r="CC57" s="59">
        <f t="shared" si="11"/>
        <v>735.61031332368441</v>
      </c>
      <c r="CD57" s="59">
        <f ca="1">AVERAGE(OFFSET($CC$3,0,0,'Données projet'!$E$12+1,1))-AVERAGE(OFFSET($H$3,0,0,'Données projet'!$E$12+1,1))</f>
        <v>324.61094137855798</v>
      </c>
      <c r="CE57" s="59">
        <f t="shared" si="40"/>
        <v>267.2998309535638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6.4048273288510469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6.4048273288510469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2.8421709430404007E-13</v>
      </c>
      <c r="CU57" s="17">
        <f>CT57*VLOOKUP('Données projet'!$B$13,Paramètres!$A$1:$I$89,3,0)*VLOOKUP('Données projet'!$B$13,Paramètres!$A$1:$I$89,5,0)</f>
        <v>1.69961822393816E-13</v>
      </c>
      <c r="CV57" s="13">
        <f t="shared" si="41"/>
        <v>2.4004382776176369E-12</v>
      </c>
      <c r="CW57" s="20">
        <f t="shared" si="13"/>
        <v>4.4767801741866136E-12</v>
      </c>
      <c r="CX57" s="59">
        <f t="shared" si="14"/>
        <v>293.33333333333781</v>
      </c>
      <c r="CY57" s="59">
        <f ca="1">AVERAGE(OFFSET($CX$3,0,0,'Données projet'!$E$13+1,1))-AVERAGE(OFFSET($H$3,0,0,'Données projet'!$E$13+1,1))</f>
        <v>319.9010109022521</v>
      </c>
      <c r="CZ57" s="59">
        <f t="shared" si="42"/>
        <v>441.82647565372287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136.52338956991753</v>
      </c>
      <c r="DG57" s="21">
        <f>EXP(-LN(2)/25)*DG56+(1-EXP(-LN(2)/25))/(LN(2)/25)*Calculateur!DB57*Calculateur!DD57*VLOOKUP('Données projet'!$B$13,Paramètres!$A$1:$I$89,3,0)*0.475*44/12</f>
        <v>61.555487091718284</v>
      </c>
      <c r="DH57" s="21">
        <f>EXP(-LN(2)/2)*DH56+(1-EXP(-LN(2)/2))/(LN(2)/2)*DB57*DE57*VLOOKUP('Données projet'!$B$13,Paramètres!$A$1:$I$89,3,0)*0.475*44/12</f>
        <v>15.995409365422772</v>
      </c>
      <c r="DI57" s="22">
        <f t="shared" si="15"/>
        <v>214.07428602705858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13</v>
      </c>
      <c r="DO57" s="12">
        <f>IF('Données projet'!$A$166&gt;35,DO56+DN57-DW56,IF(A57&lt;'Données projet'!$A$166,$DL$205^A57,IF(A57='Données projet'!$A$166,'Données projet'!$B$166,DO56+DN57-DW56)))</f>
        <v>392</v>
      </c>
      <c r="DP57" s="17">
        <f>DO57*VLOOKUP('Données projet'!$B$14,Paramètres!$A$1:$I$89,3,0)*VLOOKUP('Données projet'!$B$14,Paramètres!$A$1:$I$89,5,0)</f>
        <v>183.45600000000002</v>
      </c>
      <c r="DQ57" s="13">
        <f t="shared" si="43"/>
        <v>46.090229375321144</v>
      </c>
      <c r="DR57" s="20">
        <f t="shared" si="16"/>
        <v>399.79301616201769</v>
      </c>
      <c r="DS57" s="59">
        <f t="shared" si="17"/>
        <v>693.12634949535095</v>
      </c>
      <c r="DT57" s="59">
        <f ca="1">AVERAGE(OFFSET($DS$3,0,0,'Données projet'!$E$14+1,1))-AVERAGE(OFFSET($H$3,0,0,'Données projet'!$E$14+1,1))</f>
        <v>229.61973863654862</v>
      </c>
      <c r="DU57" s="59">
        <f t="shared" si="44"/>
        <v>254.08208375594052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12.313526233975539</v>
      </c>
      <c r="EB57" s="21">
        <f>EXP(-LN(2)/25)*EB56+(1-EXP(-LN(2)/25))/(LN(2)/25)*Calculateur!DW57*Calculateur!DY57*VLOOKUP('Données projet'!$B$14,Paramètres!$A$1:$I$89,3,0)*0.475*44/12</f>
        <v>17.53710782603477</v>
      </c>
      <c r="EC57" s="21">
        <f>EXP(-LN(2)/2)*EC56+(1-EXP(-LN(2)/2))/(LN(2)/2)*DW57*DZ57*VLOOKUP('Données projet'!$B$14,Paramètres!$A$1:$I$89,3,0)*0.475*44/12</f>
        <v>1.7886261150334455</v>
      </c>
      <c r="ED57" s="22">
        <f t="shared" si="18"/>
        <v>31.639260175043752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197</v>
      </c>
      <c r="L58" s="12">
        <f>VLOOKUP(A58,'Données projet'!$A$35:$I$55,9,0)</f>
        <v>8</v>
      </c>
      <c r="M58" s="12">
        <f t="array" ref="M58">INDEX(L:L,MIN(IF(ISNUMBER(L58:L254),ROW(L58:L254),"")))</f>
        <v>8</v>
      </c>
      <c r="N58" s="13">
        <f>IF('Données projet'!$A$36&gt;35,N57+M58-V57,IF(A58&lt;'Données projet'!$A$36,$K$205^A58,IF(A58='Données projet'!$A$36,'Données projet'!$B$36,N57+M58-V57)))</f>
        <v>197</v>
      </c>
      <c r="O58" s="13">
        <f>N58*VLOOKUP('Données projet'!$B$9,Paramètres!$A$1:$I$89,3,0)*VLOOKUP('Données projet'!$B$9,Paramètres!$A$1:$I$89,5,0)</f>
        <v>178.2456</v>
      </c>
      <c r="P58" s="13">
        <f t="shared" si="33"/>
        <v>44.931642269910427</v>
      </c>
      <c r="Q58" s="20">
        <f t="shared" si="53"/>
        <v>388.70036362009404</v>
      </c>
      <c r="R58" s="59">
        <f t="shared" si="0"/>
        <v>682.03369695342735</v>
      </c>
      <c r="S58" s="59">
        <f ca="1">AVERAGE(OFFSET($R$3,0,0,'Données projet'!$E$9+1,1))-AVERAGE(OFFSET($H$3,0,0,'Données projet'!$E$9+1,1))</f>
        <v>373.59295497283125</v>
      </c>
      <c r="T58" s="59">
        <f t="shared" si="34"/>
        <v>231.36959598460686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21</v>
      </c>
      <c r="W58" s="16">
        <f>IF(ISNA(VLOOKUP(A58,'Données projet'!$A$35:$I$55,5,0)),0%,VLOOKUP(A58,'Données projet'!$A$35:$I$55,5,0)*VLOOKUP('Données projet'!$B$9,Paramètres!$A$1:$I$89,7,0))</f>
        <v>0.129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7.9878174796550976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7.9878174796550976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197</v>
      </c>
      <c r="AG58" s="12">
        <f>VLOOKUP(A58,'Données projet'!$A$61:$I$81,9,0)</f>
        <v>8</v>
      </c>
      <c r="AH58" s="12">
        <f t="array" ref="AH58">INDEX(AG:AG,MIN(IF(ISNUMBER(AG58:AG254),ROW(AG58:AG254),"")))</f>
        <v>8</v>
      </c>
      <c r="AI58" s="13">
        <f>IF('Données projet'!$A$62&gt;35,AI57+AH58-AQ57,IF(A58&lt;'Données projet'!$A$62,$AF$205^A58,IF(A58='Données projet'!$A$62,'Données projet'!$B$62,AI57+AH58-AQ57)))</f>
        <v>197</v>
      </c>
      <c r="AJ58" s="13">
        <f>AI58*VLOOKUP('Données projet'!$B$10,Paramètres!$A$1:$I$89,3,0)*VLOOKUP('Données projet'!$B$10,Paramètres!$A$1:$I$89,5,0)</f>
        <v>199.75800000000004</v>
      </c>
      <c r="AK58" s="13">
        <f t="shared" si="35"/>
        <v>49.690979702964015</v>
      </c>
      <c r="AL58" s="20">
        <f t="shared" si="4"/>
        <v>434.45697298266236</v>
      </c>
      <c r="AM58" s="59">
        <f t="shared" si="5"/>
        <v>727.79030631599562</v>
      </c>
      <c r="AN58" s="59">
        <f ca="1">AVERAGE(OFFSET($AM$3,0,0,'Données projet'!$E$10+1,1))-AVERAGE(OFFSET($H$3,0,0,'Données projet'!$E$10+1,1))</f>
        <v>413.81510455446738</v>
      </c>
      <c r="AO58" s="59">
        <f t="shared" si="36"/>
        <v>254.25036207346602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21</v>
      </c>
      <c r="AR58" s="16">
        <f>IF(ISNA(VLOOKUP(A58,'Données projet'!$A$61:$I$81,5,0)),0%,VLOOKUP(A58,'Données projet'!$A$61:$I$81,5,0)*VLOOKUP('Données projet'!$B$10,Paramètres!$A$1:$I$89,7,0))</f>
        <v>0.129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8.9518644168548498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8.9518644168548498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197</v>
      </c>
      <c r="BB58" s="12">
        <f>VLOOKUP(A58,'Données projet'!$A$87:$I$107,9,0)</f>
        <v>8</v>
      </c>
      <c r="BC58" s="12">
        <f t="array" ref="BC58">INDEX(BB:BB,MIN(IF(ISNUMBER(BB58:BB254),ROW(BB58:BB254),"")))</f>
        <v>8</v>
      </c>
      <c r="BD58" s="12">
        <f>IF('Données projet'!$A$88&gt;35,BD57+BC58-BL57,IF(A58&lt;'Données projet'!$A$88,$BA$205^A58,IF(A58='Données projet'!$A$88,'Données projet'!$B$88,BD57+BC58-BL57)))</f>
        <v>197</v>
      </c>
      <c r="BE58" s="13">
        <f>BD58*VLOOKUP('Données projet'!$B$11,Paramètres!$A$1:$I$89,3,0)*VLOOKUP('Données projet'!$B$11,Paramètres!$A$1:$I$89,5,0)</f>
        <v>190.5384</v>
      </c>
      <c r="BF58" s="13">
        <f t="shared" si="37"/>
        <v>47.658965836673829</v>
      </c>
      <c r="BG58" s="20">
        <f t="shared" si="7"/>
        <v>414.86041216554025</v>
      </c>
      <c r="BH58" s="59">
        <f t="shared" si="8"/>
        <v>708.19374549887357</v>
      </c>
      <c r="BI58" s="59">
        <f ca="1">AVERAGE(OFFSET($BH$3,0,0,'Données projet'!$E$11+1,1))-AVERAGE(OFFSET($H$3,0,0,'Données projet'!$E$11+1,1))</f>
        <v>295.35565287134125</v>
      </c>
      <c r="BJ58" s="59">
        <f t="shared" si="38"/>
        <v>244.451492444461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21</v>
      </c>
      <c r="BM58" s="16">
        <f>IF(ISNA(VLOOKUP(A58,'Données projet'!$A$87:$I$107,5,0)),0%,VLOOKUP(A58,'Données projet'!$A$87:$I$107,5,0)*VLOOKUP('Données projet'!$B$11,Paramètres!$A$1:$I$89,7,0))</f>
        <v>0.129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8.5387014437692415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8.5387014437692415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197</v>
      </c>
      <c r="BW58" s="12">
        <f>VLOOKUP(A58,'Données projet'!$A$113:$I$133,9,0)</f>
        <v>8</v>
      </c>
      <c r="BX58" s="12">
        <f t="array" ref="BX58">INDEX(BW:BW,MIN(IF(ISNUMBER(BW58:BW254),ROW(BW58:BW254),"")))</f>
        <v>8</v>
      </c>
      <c r="BY58" s="12">
        <f>IF('Données projet'!$A$114&gt;35,BY57+BX58-CG57,IF(A58&lt;'Données projet'!$A$114,$BV$205^A58,IF(A58='Données projet'!$A$114,'Données projet'!$B$114,BY57+BX58-CG57)))</f>
        <v>197</v>
      </c>
      <c r="BZ58" s="13">
        <f>BY58*VLOOKUP('Données projet'!$B$12,Paramètres!$A$1:$I$89,3,0)*VLOOKUP('Données projet'!$B$12,Paramètres!$A$1:$I$89,5,0)</f>
        <v>212.05079999999998</v>
      </c>
      <c r="CA58" s="13">
        <f t="shared" si="39"/>
        <v>52.383483303212302</v>
      </c>
      <c r="CB58" s="20">
        <f t="shared" si="10"/>
        <v>460.55637675309475</v>
      </c>
      <c r="CC58" s="59">
        <f t="shared" si="11"/>
        <v>753.88971008642807</v>
      </c>
      <c r="CD58" s="59">
        <f ca="1">AVERAGE(OFFSET($CC$3,0,0,'Données projet'!$E$12+1,1))-AVERAGE(OFFSET($H$3,0,0,'Données projet'!$E$12+1,1))</f>
        <v>324.61094137855798</v>
      </c>
      <c r="CE58" s="59">
        <f t="shared" si="40"/>
        <v>267.2998309535638</v>
      </c>
      <c r="CF58" s="15">
        <f>IF(ISNA(VLOOKUP(A58,'Données projet'!$A$113:$I$133,3,0)),0,VLOOKUP(A58,'Données projet'!$A$113:$I$133,3,0))</f>
        <v>8</v>
      </c>
      <c r="CG58" s="15">
        <f>IF(ISNA(VLOOKUP(A58,'Données projet'!$A$113:$I$133,4,0)),0,VLOOKUP(A58,'Données projet'!$A$113:$I$133,4,0))</f>
        <v>21</v>
      </c>
      <c r="CH58" s="16">
        <f>IF(ISNA(VLOOKUP(A58,'Données projet'!$A$113:$I$133,5,0)),0%,VLOOKUP(A58,'Données projet'!$A$113:$I$133,5,0)*VLOOKUP('Données projet'!$B$12,Paramètres!$A$1:$I$89,7,0))</f>
        <v>0.129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9.5027483809689937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9.5027483809689937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2.8421709430404007E-13</v>
      </c>
      <c r="CU58" s="17">
        <f>CT58*VLOOKUP('Données projet'!$B$13,Paramètres!$A$1:$I$89,3,0)*VLOOKUP('Données projet'!$B$13,Paramètres!$A$1:$I$89,5,0)</f>
        <v>1.69961822393816E-13</v>
      </c>
      <c r="CV58" s="13">
        <f t="shared" si="41"/>
        <v>2.4004382776176369E-12</v>
      </c>
      <c r="CW58" s="20">
        <f t="shared" si="13"/>
        <v>4.4767801741866136E-12</v>
      </c>
      <c r="CX58" s="59">
        <f t="shared" si="14"/>
        <v>293.33333333333781</v>
      </c>
      <c r="CY58" s="59">
        <f ca="1">AVERAGE(OFFSET($CX$3,0,0,'Données projet'!$E$13+1,1))-AVERAGE(OFFSET($H$3,0,0,'Données projet'!$E$13+1,1))</f>
        <v>319.9010109022521</v>
      </c>
      <c r="CZ58" s="59">
        <f t="shared" si="42"/>
        <v>441.82647565372287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133.84624917149674</v>
      </c>
      <c r="DG58" s="21">
        <f>EXP(-LN(2)/25)*DG57+(1-EXP(-LN(2)/25))/(LN(2)/25)*Calculateur!DB58*Calculateur!DD58*VLOOKUP('Données projet'!$B$13,Paramètres!$A$1:$I$89,3,0)*0.475*44/12</f>
        <v>59.872249060132866</v>
      </c>
      <c r="DH58" s="21">
        <f>EXP(-LN(2)/2)*DH57+(1-EXP(-LN(2)/2))/(LN(2)/2)*DB58*DE58*VLOOKUP('Données projet'!$B$13,Paramètres!$A$1:$I$89,3,0)*0.475*44/12</f>
        <v>11.310462430145254</v>
      </c>
      <c r="DI58" s="22">
        <f t="shared" si="15"/>
        <v>205.02896066177487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13</v>
      </c>
      <c r="DO58" s="12">
        <f>IF('Données projet'!$A$166&gt;35,DO57+DN58-DW57,IF(A58&lt;'Données projet'!$A$166,$DL$205^A58,IF(A58='Données projet'!$A$166,'Données projet'!$B$166,DO57+DN58-DW57)))</f>
        <v>405</v>
      </c>
      <c r="DP58" s="17">
        <f>DO58*VLOOKUP('Données projet'!$B$14,Paramètres!$A$1:$I$89,3,0)*VLOOKUP('Données projet'!$B$14,Paramètres!$A$1:$I$89,5,0)</f>
        <v>189.54</v>
      </c>
      <c r="DQ58" s="13">
        <f t="shared" si="43"/>
        <v>47.438239039488813</v>
      </c>
      <c r="DR58" s="20">
        <f t="shared" si="16"/>
        <v>412.73709966044299</v>
      </c>
      <c r="DS58" s="59">
        <f t="shared" si="17"/>
        <v>706.07043299377631</v>
      </c>
      <c r="DT58" s="59">
        <f ca="1">AVERAGE(OFFSET($DS$3,0,0,'Données projet'!$E$14+1,1))-AVERAGE(OFFSET($H$3,0,0,'Données projet'!$E$14+1,1))</f>
        <v>229.61973863654862</v>
      </c>
      <c r="DU58" s="59">
        <f t="shared" si="44"/>
        <v>254.08208375594052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12.07206549503668</v>
      </c>
      <c r="EB58" s="21">
        <f>EXP(-LN(2)/25)*EB57+(1-EXP(-LN(2)/25))/(LN(2)/25)*Calculateur!DW58*Calculateur!DY58*VLOOKUP('Données projet'!$B$14,Paramètres!$A$1:$I$89,3,0)*0.475*44/12</f>
        <v>17.057554690295429</v>
      </c>
      <c r="EC58" s="21">
        <f>EXP(-LN(2)/2)*EC57+(1-EXP(-LN(2)/2))/(LN(2)/2)*DW58*DZ58*VLOOKUP('Données projet'!$B$14,Paramètres!$A$1:$I$89,3,0)*0.475*44/12</f>
        <v>1.2647496549474992</v>
      </c>
      <c r="ED58" s="22">
        <f t="shared" si="18"/>
        <v>30.394369840279609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7.6</v>
      </c>
      <c r="N59" s="13">
        <f>IF('Données projet'!$A$36&gt;35,N58+M59-V58,IF(A59&lt;'Données projet'!$A$36,$K$205^A59,IF(A59='Données projet'!$A$36,'Données projet'!$B$36,N58+M59-V58)))</f>
        <v>183.6</v>
      </c>
      <c r="O59" s="13">
        <f>N59*VLOOKUP('Données projet'!$B$9,Paramètres!$A$1:$I$89,3,0)*VLOOKUP('Données projet'!$B$9,Paramètres!$A$1:$I$89,5,0)</f>
        <v>166.12127999999998</v>
      </c>
      <c r="P59" s="13">
        <f t="shared" si="33"/>
        <v>42.220155874487318</v>
      </c>
      <c r="Q59" s="20">
        <f t="shared" si="53"/>
        <v>362.8613341480654</v>
      </c>
      <c r="R59" s="59">
        <f t="shared" si="0"/>
        <v>656.19466748139871</v>
      </c>
      <c r="S59" s="59">
        <f ca="1">AVERAGE(OFFSET($R$3,0,0,'Données projet'!$E$9+1,1))-AVERAGE(OFFSET($H$3,0,0,'Données projet'!$E$9+1,1))</f>
        <v>373.59295497283125</v>
      </c>
      <c r="T59" s="59">
        <f t="shared" si="34"/>
        <v>231.36959598460686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7.8311812509666447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7.8311812509666447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7.6</v>
      </c>
      <c r="AI59" s="13">
        <f>IF('Données projet'!$A$62&gt;35,AI58+AH59-AQ58,IF(A59&lt;'Données projet'!$A$62,$AF$205^A59,IF(A59='Données projet'!$A$62,'Données projet'!$B$62,AI58+AH59-AQ58)))</f>
        <v>183.6</v>
      </c>
      <c r="AJ59" s="13">
        <f>AI59*VLOOKUP('Données projet'!$B$10,Paramètres!$A$1:$I$89,3,0)*VLOOKUP('Données projet'!$B$10,Paramètres!$A$1:$I$89,5,0)</f>
        <v>186.1704</v>
      </c>
      <c r="AK59" s="13">
        <f t="shared" si="35"/>
        <v>46.692281933796018</v>
      </c>
      <c r="AL59" s="20">
        <f t="shared" si="4"/>
        <v>405.56917103469476</v>
      </c>
      <c r="AM59" s="59">
        <f t="shared" si="5"/>
        <v>698.90250436802808</v>
      </c>
      <c r="AN59" s="59">
        <f ca="1">AVERAGE(OFFSET($AM$3,0,0,'Données projet'!$E$10+1,1))-AVERAGE(OFFSET($H$3,0,0,'Données projet'!$E$10+1,1))</f>
        <v>413.81510455446738</v>
      </c>
      <c r="AO59" s="59">
        <f t="shared" si="36"/>
        <v>254.25036207346602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8.7763238157384809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8.7763238157384809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7.6</v>
      </c>
      <c r="BD59" s="12">
        <f>IF('Données projet'!$A$88&gt;35,BD58+BC59-BL58,IF(A59&lt;'Données projet'!$A$88,$BA$205^A59,IF(A59='Données projet'!$A$88,'Données projet'!$B$88,BD58+BC59-BL58)))</f>
        <v>183.6</v>
      </c>
      <c r="BE59" s="13">
        <f>BD59*VLOOKUP('Données projet'!$B$11,Paramètres!$A$1:$I$89,3,0)*VLOOKUP('Données projet'!$B$11,Paramètres!$A$1:$I$89,5,0)</f>
        <v>177.57792000000001</v>
      </c>
      <c r="BF59" s="13">
        <f t="shared" si="37"/>
        <v>44.782893853597976</v>
      </c>
      <c r="BG59" s="20">
        <f t="shared" si="7"/>
        <v>387.27841746168315</v>
      </c>
      <c r="BH59" s="59">
        <f t="shared" si="8"/>
        <v>680.61175079501641</v>
      </c>
      <c r="BI59" s="59">
        <f ca="1">AVERAGE(OFFSET($BH$3,0,0,'Données projet'!$E$11+1,1))-AVERAGE(OFFSET($H$3,0,0,'Données projet'!$E$11+1,1))</f>
        <v>295.35565287134125</v>
      </c>
      <c r="BJ59" s="59">
        <f t="shared" si="38"/>
        <v>244.451492444461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8.3712627165505502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8.3712627165505502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7.6</v>
      </c>
      <c r="BY59" s="12">
        <f>IF('Données projet'!$A$114&gt;35,BY58+BX59-CG58,IF(A59&lt;'Données projet'!$A$114,$BV$205^A59,IF(A59='Données projet'!$A$114,'Données projet'!$B$114,BY58+BX59-CG58)))</f>
        <v>183.6</v>
      </c>
      <c r="BZ59" s="13">
        <f>BY59*VLOOKUP('Données projet'!$B$12,Paramètres!$A$1:$I$89,3,0)*VLOOKUP('Données projet'!$B$12,Paramètres!$A$1:$I$89,5,0)</f>
        <v>197.62703999999999</v>
      </c>
      <c r="CA59" s="13">
        <f t="shared" si="39"/>
        <v>49.222301224260015</v>
      </c>
      <c r="CB59" s="20">
        <f t="shared" si="10"/>
        <v>429.92926929891951</v>
      </c>
      <c r="CC59" s="59">
        <f t="shared" si="11"/>
        <v>723.26260263225277</v>
      </c>
      <c r="CD59" s="59">
        <f ca="1">AVERAGE(OFFSET($CC$3,0,0,'Données projet'!$E$12+1,1))-AVERAGE(OFFSET($H$3,0,0,'Données projet'!$E$12+1,1))</f>
        <v>324.61094137855798</v>
      </c>
      <c r="CE59" s="59">
        <f t="shared" si="40"/>
        <v>267.2998309535638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9.3164052813223872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9.3164052813223872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2.8421709430404007E-13</v>
      </c>
      <c r="CU59" s="17">
        <f>CT59*VLOOKUP('Données projet'!$B$13,Paramètres!$A$1:$I$89,3,0)*VLOOKUP('Données projet'!$B$13,Paramètres!$A$1:$I$89,5,0)</f>
        <v>1.69961822393816E-13</v>
      </c>
      <c r="CV59" s="13">
        <f t="shared" si="41"/>
        <v>2.4004382776176369E-12</v>
      </c>
      <c r="CW59" s="20">
        <f t="shared" si="13"/>
        <v>4.4767801741866136E-12</v>
      </c>
      <c r="CX59" s="59">
        <f t="shared" si="14"/>
        <v>293.33333333333781</v>
      </c>
      <c r="CY59" s="59">
        <f ca="1">AVERAGE(OFFSET($CX$3,0,0,'Données projet'!$E$13+1,1))-AVERAGE(OFFSET($H$3,0,0,'Données projet'!$E$13+1,1))</f>
        <v>319.9010109022521</v>
      </c>
      <c r="CZ59" s="59">
        <f t="shared" si="42"/>
        <v>441.82647565372287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131.22160586339459</v>
      </c>
      <c r="DG59" s="21">
        <f>EXP(-LN(2)/25)*DG58+(1-EXP(-LN(2)/25))/(LN(2)/25)*Calculateur!DB59*Calculateur!DD59*VLOOKUP('Données projet'!$B$13,Paramètres!$A$1:$I$89,3,0)*0.475*44/12</f>
        <v>58.235039261038793</v>
      </c>
      <c r="DH59" s="21">
        <f>EXP(-LN(2)/2)*DH58+(1-EXP(-LN(2)/2))/(LN(2)/2)*DB59*DE59*VLOOKUP('Données projet'!$B$13,Paramètres!$A$1:$I$89,3,0)*0.475*44/12</f>
        <v>7.9977046827113876</v>
      </c>
      <c r="DI59" s="22">
        <f t="shared" si="15"/>
        <v>197.45434980714478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13</v>
      </c>
      <c r="DO59" s="12">
        <f>IF('Données projet'!$A$166&gt;35,DO58+DN59-DW58,IF(A59&lt;'Données projet'!$A$166,$DL$205^A59,IF(A59='Données projet'!$A$166,'Données projet'!$B$166,DO58+DN59-DW58)))</f>
        <v>418</v>
      </c>
      <c r="DP59" s="17">
        <f>DO59*VLOOKUP('Données projet'!$B$14,Paramètres!$A$1:$I$89,3,0)*VLOOKUP('Données projet'!$B$14,Paramètres!$A$1:$I$89,5,0)</f>
        <v>195.624</v>
      </c>
      <c r="DQ59" s="13">
        <f t="shared" si="43"/>
        <v>48.781220625276006</v>
      </c>
      <c r="DR59" s="20">
        <f t="shared" si="16"/>
        <v>425.67242592235567</v>
      </c>
      <c r="DS59" s="59">
        <f t="shared" si="17"/>
        <v>719.00575925568899</v>
      </c>
      <c r="DT59" s="59">
        <f ca="1">AVERAGE(OFFSET($DS$3,0,0,'Données projet'!$E$14+1,1))-AVERAGE(OFFSET($H$3,0,0,'Données projet'!$E$14+1,1))</f>
        <v>229.61973863654862</v>
      </c>
      <c r="DU59" s="59">
        <f t="shared" si="44"/>
        <v>254.08208375594052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11.835339653911904</v>
      </c>
      <c r="EB59" s="21">
        <f>EXP(-LN(2)/25)*EB58+(1-EXP(-LN(2)/25))/(LN(2)/25)*Calculateur!DW59*Calculateur!DY59*VLOOKUP('Données projet'!$B$14,Paramètres!$A$1:$I$89,3,0)*0.475*44/12</f>
        <v>16.591114960271486</v>
      </c>
      <c r="EC59" s="21">
        <f>EXP(-LN(2)/2)*EC58+(1-EXP(-LN(2)/2))/(LN(2)/2)*DW59*DZ59*VLOOKUP('Données projet'!$B$14,Paramètres!$A$1:$I$89,3,0)*0.475*44/12</f>
        <v>0.89431305751672285</v>
      </c>
      <c r="ED59" s="22">
        <f t="shared" si="18"/>
        <v>29.320767671700114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7.6</v>
      </c>
      <c r="N60" s="13">
        <f>IF('Données projet'!$A$36&gt;35,N59+M60-V59,IF(A60&lt;'Données projet'!$A$36,$K$205^A60,IF(A60='Données projet'!$A$36,'Données projet'!$B$36,N59+M60-V59)))</f>
        <v>191.2</v>
      </c>
      <c r="O60" s="13">
        <f>N60*VLOOKUP('Données projet'!$B$9,Paramètres!$A$1:$I$89,3,0)*VLOOKUP('Données projet'!$B$9,Paramètres!$A$1:$I$89,5,0)</f>
        <v>172.99775999999997</v>
      </c>
      <c r="P60" s="13">
        <f t="shared" si="33"/>
        <v>43.760737531919609</v>
      </c>
      <c r="Q60" s="20">
        <f t="shared" si="53"/>
        <v>377.52104986809326</v>
      </c>
      <c r="R60" s="59">
        <f t="shared" si="0"/>
        <v>670.85438320142657</v>
      </c>
      <c r="S60" s="59">
        <f ca="1">AVERAGE(OFFSET($R$3,0,0,'Données projet'!$E$9+1,1))-AVERAGE(OFFSET($H$3,0,0,'Données projet'!$E$9+1,1))</f>
        <v>373.59295497283125</v>
      </c>
      <c r="T60" s="59">
        <f t="shared" si="34"/>
        <v>231.36959598460686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7.6776165631841069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7.6776165631841069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7.6</v>
      </c>
      <c r="AI60" s="13">
        <f>IF('Données projet'!$A$62&gt;35,AI59+AH60-AQ59,IF(A60&lt;'Données projet'!$A$62,$AF$205^A60,IF(A60='Données projet'!$A$62,'Données projet'!$B$62,AI59+AH60-AQ59)))</f>
        <v>191.2</v>
      </c>
      <c r="AJ60" s="13">
        <f>AI60*VLOOKUP('Données projet'!$B$10,Paramètres!$A$1:$I$89,3,0)*VLOOKUP('Données projet'!$B$10,Paramètres!$A$1:$I$89,5,0)</f>
        <v>193.8768</v>
      </c>
      <c r="AK60" s="13">
        <f t="shared" si="35"/>
        <v>48.396048099527611</v>
      </c>
      <c r="AL60" s="20">
        <f t="shared" si="4"/>
        <v>421.95854377334393</v>
      </c>
      <c r="AM60" s="59">
        <f t="shared" si="5"/>
        <v>715.29187710667725</v>
      </c>
      <c r="AN60" s="59">
        <f ca="1">AVERAGE(OFFSET($AM$3,0,0,'Données projet'!$E$10+1,1))-AVERAGE(OFFSET($H$3,0,0,'Données projet'!$E$10+1,1))</f>
        <v>413.81510455446738</v>
      </c>
      <c r="AO60" s="59">
        <f t="shared" si="36"/>
        <v>254.25036207346602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8.6042254587408085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8.6042254587408085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7.6</v>
      </c>
      <c r="BD60" s="12">
        <f>IF('Données projet'!$A$88&gt;35,BD59+BC60-BL59,IF(A60&lt;'Données projet'!$A$88,$BA$205^A60,IF(A60='Données projet'!$A$88,'Données projet'!$B$88,BD59+BC60-BL59)))</f>
        <v>191.2</v>
      </c>
      <c r="BE60" s="13">
        <f>BD60*VLOOKUP('Données projet'!$B$11,Paramètres!$A$1:$I$89,3,0)*VLOOKUP('Données projet'!$B$11,Paramètres!$A$1:$I$89,5,0)</f>
        <v>184.92864</v>
      </c>
      <c r="BF60" s="13">
        <f t="shared" si="37"/>
        <v>46.416987887800225</v>
      </c>
      <c r="BG60" s="20">
        <f t="shared" si="7"/>
        <v>402.92696857125202</v>
      </c>
      <c r="BH60" s="59">
        <f t="shared" si="8"/>
        <v>696.26030190458528</v>
      </c>
      <c r="BI60" s="59">
        <f ca="1">AVERAGE(OFFSET($BH$3,0,0,'Données projet'!$E$11+1,1))-AVERAGE(OFFSET($H$3,0,0,'Données projet'!$E$11+1,1))</f>
        <v>295.35565287134125</v>
      </c>
      <c r="BJ60" s="59">
        <f t="shared" si="38"/>
        <v>244.451492444461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8.2071073606450788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8.2071073606450788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7.6</v>
      </c>
      <c r="BY60" s="12">
        <f>IF('Données projet'!$A$114&gt;35,BY59+BX60-CG59,IF(A60&lt;'Données projet'!$A$114,$BV$205^A60,IF(A60='Données projet'!$A$114,'Données projet'!$B$114,BY59+BX60-CG59)))</f>
        <v>191.2</v>
      </c>
      <c r="BZ60" s="13">
        <f>BY60*VLOOKUP('Données projet'!$B$12,Paramètres!$A$1:$I$89,3,0)*VLOOKUP('Données projet'!$B$12,Paramètres!$A$1:$I$89,5,0)</f>
        <v>205.80767999999995</v>
      </c>
      <c r="CA60" s="13">
        <f t="shared" si="39"/>
        <v>51.018385886479962</v>
      </c>
      <c r="CB60" s="20">
        <f t="shared" si="10"/>
        <v>447.30539808561917</v>
      </c>
      <c r="CC60" s="59">
        <f t="shared" si="11"/>
        <v>740.63873141895249</v>
      </c>
      <c r="CD60" s="59">
        <f ca="1">AVERAGE(OFFSET($CC$3,0,0,'Données projet'!$E$12+1,1))-AVERAGE(OFFSET($H$3,0,0,'Données projet'!$E$12+1,1))</f>
        <v>324.61094137855798</v>
      </c>
      <c r="CE60" s="59">
        <f t="shared" si="40"/>
        <v>267.2998309535638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9.1337162562017813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9.1337162562017813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2.8421709430404007E-13</v>
      </c>
      <c r="CU60" s="17">
        <f>CT60*VLOOKUP('Données projet'!$B$13,Paramètres!$A$1:$I$89,3,0)*VLOOKUP('Données projet'!$B$13,Paramètres!$A$1:$I$89,5,0)</f>
        <v>1.69961822393816E-13</v>
      </c>
      <c r="CV60" s="13">
        <f t="shared" si="41"/>
        <v>2.4004382776176369E-12</v>
      </c>
      <c r="CW60" s="20">
        <f t="shared" si="13"/>
        <v>4.4767801741866136E-12</v>
      </c>
      <c r="CX60" s="59">
        <f t="shared" si="14"/>
        <v>293.33333333333781</v>
      </c>
      <c r="CY60" s="59">
        <f ca="1">AVERAGE(OFFSET($CX$3,0,0,'Données projet'!$E$13+1,1))-AVERAGE(OFFSET($H$3,0,0,'Données projet'!$E$13+1,1))</f>
        <v>319.9010109022521</v>
      </c>
      <c r="CZ60" s="59">
        <f t="shared" si="42"/>
        <v>441.82647565372287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128.64843020968996</v>
      </c>
      <c r="DG60" s="21">
        <f>EXP(-LN(2)/25)*DG59+(1-EXP(-LN(2)/25))/(LN(2)/25)*Calculateur!DB60*Calculateur!DD60*VLOOKUP('Données projet'!$B$13,Paramètres!$A$1:$I$89,3,0)*0.475*44/12</f>
        <v>56.642599049998068</v>
      </c>
      <c r="DH60" s="21">
        <f>EXP(-LN(2)/2)*DH59+(1-EXP(-LN(2)/2))/(LN(2)/2)*DB60*DE60*VLOOKUP('Données projet'!$B$13,Paramètres!$A$1:$I$89,3,0)*0.475*44/12</f>
        <v>5.6552312150726278</v>
      </c>
      <c r="DI60" s="22">
        <f t="shared" si="15"/>
        <v>190.94626047476066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13</v>
      </c>
      <c r="DO60" s="12">
        <f>IF('Données projet'!$A$166&gt;35,DO59+DN60-DW59,IF(A60&lt;'Données projet'!$A$166,$DL$205^A60,IF(A60='Données projet'!$A$166,'Données projet'!$B$166,DO59+DN60-DW59)))</f>
        <v>431</v>
      </c>
      <c r="DP60" s="17">
        <f>DO60*VLOOKUP('Données projet'!$B$14,Paramètres!$A$1:$I$89,3,0)*VLOOKUP('Données projet'!$B$14,Paramètres!$A$1:$I$89,5,0)</f>
        <v>201.708</v>
      </c>
      <c r="DQ60" s="13">
        <f t="shared" si="43"/>
        <v>50.119348451854286</v>
      </c>
      <c r="DR60" s="20">
        <f t="shared" si="16"/>
        <v>438.59929855364618</v>
      </c>
      <c r="DS60" s="59">
        <f t="shared" si="17"/>
        <v>731.93263188697949</v>
      </c>
      <c r="DT60" s="59">
        <f ca="1">AVERAGE(OFFSET($DS$3,0,0,'Données projet'!$E$14+1,1))-AVERAGE(OFFSET($H$3,0,0,'Données projet'!$E$14+1,1))</f>
        <v>229.61973863654862</v>
      </c>
      <c r="DU60" s="59">
        <f t="shared" si="44"/>
        <v>254.08208375594052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11.603255862143078</v>
      </c>
      <c r="EB60" s="21">
        <f>EXP(-LN(2)/25)*EB59+(1-EXP(-LN(2)/25))/(LN(2)/25)*Calculateur!DW60*Calculateur!DY60*VLOOKUP('Données projet'!$B$14,Paramètres!$A$1:$I$89,3,0)*0.475*44/12</f>
        <v>16.137430049194048</v>
      </c>
      <c r="EC60" s="21">
        <f>EXP(-LN(2)/2)*EC59+(1-EXP(-LN(2)/2))/(LN(2)/2)*DW60*DZ60*VLOOKUP('Données projet'!$B$14,Paramètres!$A$1:$I$89,3,0)*0.475*44/12</f>
        <v>0.63237482747374973</v>
      </c>
      <c r="ED60" s="22">
        <f t="shared" si="18"/>
        <v>28.373060738810874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7.6</v>
      </c>
      <c r="N61" s="13">
        <f>IF('Données projet'!$A$36&gt;35,N60+M61-V60,IF(A61&lt;'Données projet'!$A$36,$K$205^A61,IF(A61='Données projet'!$A$36,'Données projet'!$B$36,N60+M61-V60)))</f>
        <v>198.79999999999998</v>
      </c>
      <c r="O61" s="13">
        <f>N61*VLOOKUP('Données projet'!$B$9,Paramètres!$A$1:$I$89,3,0)*VLOOKUP('Données projet'!$B$9,Paramètres!$A$1:$I$89,5,0)</f>
        <v>179.87423999999999</v>
      </c>
      <c r="P61" s="13">
        <f t="shared" si="33"/>
        <v>45.294205745553846</v>
      </c>
      <c r="Q61" s="20">
        <f t="shared" si="53"/>
        <v>392.16837634017293</v>
      </c>
      <c r="R61" s="59">
        <f t="shared" si="0"/>
        <v>685.50170967350618</v>
      </c>
      <c r="S61" s="59">
        <f ca="1">AVERAGE(OFFSET($R$3,0,0,'Données projet'!$E$9+1,1))-AVERAGE(OFFSET($H$3,0,0,'Données projet'!$E$9+1,1))</f>
        <v>373.59295497283125</v>
      </c>
      <c r="T61" s="59">
        <f t="shared" si="34"/>
        <v>231.36959598460686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7.5270631852637742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7.5270631852637742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7.6</v>
      </c>
      <c r="AI61" s="13">
        <f>IF('Données projet'!$A$62&gt;35,AI60+AH61-AQ60,IF(A61&lt;'Données projet'!$A$62,$AF$205^A61,IF(A61='Données projet'!$A$62,'Données projet'!$B$62,AI60+AH61-AQ60)))</f>
        <v>198.79999999999998</v>
      </c>
      <c r="AJ61" s="13">
        <f>AI61*VLOOKUP('Données projet'!$B$10,Paramètres!$A$1:$I$89,3,0)*VLOOKUP('Données projet'!$B$10,Paramètres!$A$1:$I$89,5,0)</f>
        <v>201.58320000000001</v>
      </c>
      <c r="AK61" s="13">
        <f t="shared" si="35"/>
        <v>50.091947337331924</v>
      </c>
      <c r="AL61" s="20">
        <f t="shared" si="4"/>
        <v>438.33421494585309</v>
      </c>
      <c r="AM61" s="59">
        <f t="shared" si="5"/>
        <v>731.66754827918635</v>
      </c>
      <c r="AN61" s="59">
        <f ca="1">AVERAGE(OFFSET($AM$3,0,0,'Données projet'!$E$10+1,1))-AVERAGE(OFFSET($H$3,0,0,'Données projet'!$E$10+1,1))</f>
        <v>413.81510455446738</v>
      </c>
      <c r="AO61" s="59">
        <f t="shared" si="36"/>
        <v>254.25036207346602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8.4355018455542279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8.4355018455542279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7.6</v>
      </c>
      <c r="BD61" s="12">
        <f>IF('Données projet'!$A$88&gt;35,BD60+BC61-BL60,IF(A61&lt;'Données projet'!$A$88,$BA$205^A61,IF(A61='Données projet'!$A$88,'Données projet'!$B$88,BD60+BC61-BL60)))</f>
        <v>198.79999999999998</v>
      </c>
      <c r="BE61" s="13">
        <f>BD61*VLOOKUP('Données projet'!$B$11,Paramètres!$A$1:$I$89,3,0)*VLOOKUP('Données projet'!$B$11,Paramètres!$A$1:$I$89,5,0)</f>
        <v>192.27936</v>
      </c>
      <c r="BF61" s="13">
        <f t="shared" si="37"/>
        <v>48.04353669645932</v>
      </c>
      <c r="BG61" s="20">
        <f t="shared" si="7"/>
        <v>418.56237841299998</v>
      </c>
      <c r="BH61" s="59">
        <f t="shared" si="8"/>
        <v>711.89571174633329</v>
      </c>
      <c r="BI61" s="59">
        <f ca="1">AVERAGE(OFFSET($BH$3,0,0,'Données projet'!$E$11+1,1))-AVERAGE(OFFSET($H$3,0,0,'Données projet'!$E$11+1,1))</f>
        <v>295.35565287134125</v>
      </c>
      <c r="BJ61" s="59">
        <f t="shared" si="38"/>
        <v>244.451492444461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8.0461709911440327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8.0461709911440327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7.6</v>
      </c>
      <c r="BY61" s="12">
        <f>IF('Données projet'!$A$114&gt;35,BY60+BX61-CG60,IF(A61&lt;'Données projet'!$A$114,$BV$205^A61,IF(A61='Données projet'!$A$114,'Données projet'!$B$114,BY60+BX61-CG60)))</f>
        <v>198.79999999999998</v>
      </c>
      <c r="BZ61" s="13">
        <f>BY61*VLOOKUP('Données projet'!$B$12,Paramètres!$A$1:$I$89,3,0)*VLOOKUP('Données projet'!$B$12,Paramètres!$A$1:$I$89,5,0)</f>
        <v>213.98831999999996</v>
      </c>
      <c r="CA61" s="13">
        <f t="shared" si="39"/>
        <v>52.806177351620995</v>
      </c>
      <c r="CB61" s="20">
        <f t="shared" si="10"/>
        <v>464.66708288740648</v>
      </c>
      <c r="CC61" s="59">
        <f t="shared" si="11"/>
        <v>758.00041622073979</v>
      </c>
      <c r="CD61" s="59">
        <f ca="1">AVERAGE(OFFSET($CC$3,0,0,'Données projet'!$E$12+1,1))-AVERAGE(OFFSET($H$3,0,0,'Données projet'!$E$12+1,1))</f>
        <v>324.61094137855798</v>
      </c>
      <c r="CE61" s="59">
        <f t="shared" si="40"/>
        <v>267.2998309535638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8.9546096514344882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8.9546096514344882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2.8421709430404007E-13</v>
      </c>
      <c r="CU61" s="17">
        <f>CT61*VLOOKUP('Données projet'!$B$13,Paramètres!$A$1:$I$89,3,0)*VLOOKUP('Données projet'!$B$13,Paramètres!$A$1:$I$89,5,0)</f>
        <v>1.69961822393816E-13</v>
      </c>
      <c r="CV61" s="13">
        <f t="shared" si="41"/>
        <v>2.4004382776176369E-12</v>
      </c>
      <c r="CW61" s="20">
        <f t="shared" si="13"/>
        <v>4.4767801741866136E-12</v>
      </c>
      <c r="CX61" s="59">
        <f t="shared" si="14"/>
        <v>293.33333333333781</v>
      </c>
      <c r="CY61" s="59">
        <f ca="1">AVERAGE(OFFSET($CX$3,0,0,'Données projet'!$E$13+1,1))-AVERAGE(OFFSET($H$3,0,0,'Données projet'!$E$13+1,1))</f>
        <v>319.9010109022521</v>
      </c>
      <c r="CZ61" s="59">
        <f t="shared" si="42"/>
        <v>441.82647565372287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126.12571296107232</v>
      </c>
      <c r="DG61" s="21">
        <f>EXP(-LN(2)/25)*DG60+(1-EXP(-LN(2)/25))/(LN(2)/25)*Calculateur!DB61*Calculateur!DD61*VLOOKUP('Données projet'!$B$13,Paramètres!$A$1:$I$89,3,0)*0.475*44/12</f>
        <v>55.093704200271048</v>
      </c>
      <c r="DH61" s="21">
        <f>EXP(-LN(2)/2)*DH60+(1-EXP(-LN(2)/2))/(LN(2)/2)*DB61*DE61*VLOOKUP('Données projet'!$B$13,Paramètres!$A$1:$I$89,3,0)*0.475*44/12</f>
        <v>3.9988523413556942</v>
      </c>
      <c r="DI61" s="22">
        <f t="shared" si="15"/>
        <v>185.21826950269906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13</v>
      </c>
      <c r="DO61" s="12">
        <f>IF('Données projet'!$A$166&gt;35,DO60+DN61-DW60,IF(A61&lt;'Données projet'!$A$166,$DL$205^A61,IF(A61='Données projet'!$A$166,'Données projet'!$B$166,DO60+DN61-DW60)))</f>
        <v>444</v>
      </c>
      <c r="DP61" s="17">
        <f>DO61*VLOOKUP('Données projet'!$B$14,Paramètres!$A$1:$I$89,3,0)*VLOOKUP('Données projet'!$B$14,Paramètres!$A$1:$I$89,5,0)</f>
        <v>207.792</v>
      </c>
      <c r="DQ61" s="13">
        <f t="shared" si="43"/>
        <v>51.452785725007864</v>
      </c>
      <c r="DR61" s="20">
        <f t="shared" si="16"/>
        <v>451.51800180438869</v>
      </c>
      <c r="DS61" s="59">
        <f t="shared" si="17"/>
        <v>744.851335137722</v>
      </c>
      <c r="DT61" s="59">
        <f ca="1">AVERAGE(OFFSET($DS$3,0,0,'Données projet'!$E$14+1,1))-AVERAGE(OFFSET($H$3,0,0,'Données projet'!$E$14+1,1))</f>
        <v>229.61973863654862</v>
      </c>
      <c r="DU61" s="59">
        <f t="shared" si="44"/>
        <v>254.08208375594052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11.375723091973704</v>
      </c>
      <c r="EB61" s="21">
        <f>EXP(-LN(2)/25)*EB60+(1-EXP(-LN(2)/25))/(LN(2)/25)*Calculateur!DW61*Calculateur!DY61*VLOOKUP('Données projet'!$B$14,Paramètres!$A$1:$I$89,3,0)*0.475*44/12</f>
        <v>15.696151175868273</v>
      </c>
      <c r="EC61" s="21">
        <f>EXP(-LN(2)/2)*EC60+(1-EXP(-LN(2)/2))/(LN(2)/2)*DW61*DZ61*VLOOKUP('Données projet'!$B$14,Paramètres!$A$1:$I$89,3,0)*0.475*44/12</f>
        <v>0.44715652875836154</v>
      </c>
      <c r="ED61" s="22">
        <f t="shared" si="18"/>
        <v>27.51903079660034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7.6</v>
      </c>
      <c r="N62" s="13">
        <f>IF('Données projet'!$A$36&gt;35,N61+M62-V61,IF(A62&lt;'Données projet'!$A$36,$K$205^A62,IF(A62='Données projet'!$A$36,'Données projet'!$B$36,N61+M62-V61)))</f>
        <v>206.39999999999998</v>
      </c>
      <c r="O62" s="13">
        <f>N62*VLOOKUP('Données projet'!$B$9,Paramètres!$A$1:$I$89,3,0)*VLOOKUP('Données projet'!$B$9,Paramètres!$A$1:$I$89,5,0)</f>
        <v>186.75071999999997</v>
      </c>
      <c r="P62" s="13">
        <f t="shared" si="33"/>
        <v>46.820863587839391</v>
      </c>
      <c r="Q62" s="20">
        <f t="shared" si="53"/>
        <v>406.80384141548689</v>
      </c>
      <c r="R62" s="59">
        <f t="shared" si="0"/>
        <v>700.13717474882014</v>
      </c>
      <c r="S62" s="59">
        <f ca="1">AVERAGE(OFFSET($R$3,0,0,'Données projet'!$E$9+1,1))-AVERAGE(OFFSET($H$3,0,0,'Données projet'!$E$9+1,1))</f>
        <v>373.59295497283125</v>
      </c>
      <c r="T62" s="59">
        <f t="shared" si="34"/>
        <v>231.36959598460686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7.3794620672559654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7.3794620672559654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7.6</v>
      </c>
      <c r="AI62" s="13">
        <f>IF('Données projet'!$A$62&gt;35,AI61+AH62-AQ61,IF(A62&lt;'Données projet'!$A$62,$AF$205^A62,IF(A62='Données projet'!$A$62,'Données projet'!$B$62,AI61+AH62-AQ61)))</f>
        <v>206.39999999999998</v>
      </c>
      <c r="AJ62" s="13">
        <f>AI62*VLOOKUP('Données projet'!$B$10,Paramètres!$A$1:$I$89,3,0)*VLOOKUP('Données projet'!$B$10,Paramètres!$A$1:$I$89,5,0)</f>
        <v>209.28960000000001</v>
      </c>
      <c r="AK62" s="13">
        <f t="shared" si="35"/>
        <v>51.780314822292169</v>
      </c>
      <c r="AL62" s="20">
        <f t="shared" si="4"/>
        <v>454.69676831549214</v>
      </c>
      <c r="AM62" s="59">
        <f t="shared" si="5"/>
        <v>748.03010164882539</v>
      </c>
      <c r="AN62" s="59">
        <f ca="1">AVERAGE(OFFSET($AM$3,0,0,'Données projet'!$E$10+1,1))-AVERAGE(OFFSET($H$3,0,0,'Données projet'!$E$10+1,1))</f>
        <v>413.81510455446738</v>
      </c>
      <c r="AO62" s="59">
        <f t="shared" si="36"/>
        <v>254.25036207346602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8.2700867995109935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8.2700867995109935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7.6</v>
      </c>
      <c r="BD62" s="12">
        <f>IF('Données projet'!$A$88&gt;35,BD61+BC62-BL61,IF(A62&lt;'Données projet'!$A$88,$BA$205^A62,IF(A62='Données projet'!$A$88,'Données projet'!$B$88,BD61+BC62-BL61)))</f>
        <v>206.39999999999998</v>
      </c>
      <c r="BE62" s="13">
        <f>BD62*VLOOKUP('Données projet'!$B$11,Paramètres!$A$1:$I$89,3,0)*VLOOKUP('Données projet'!$B$11,Paramètres!$A$1:$I$89,5,0)</f>
        <v>199.63007999999999</v>
      </c>
      <c r="BF62" s="13">
        <f t="shared" si="37"/>
        <v>49.662861748339331</v>
      </c>
      <c r="BG62" s="20">
        <f t="shared" si="7"/>
        <v>434.18520687835763</v>
      </c>
      <c r="BH62" s="59">
        <f t="shared" si="8"/>
        <v>727.51854021169095</v>
      </c>
      <c r="BI62" s="59">
        <f ca="1">AVERAGE(OFFSET($BH$3,0,0,'Données projet'!$E$11+1,1))-AVERAGE(OFFSET($H$3,0,0,'Données projet'!$E$11+1,1))</f>
        <v>295.35565287134125</v>
      </c>
      <c r="BJ62" s="59">
        <f t="shared" si="38"/>
        <v>244.451492444461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7.8883904856874096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7.8883904856874096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7.6</v>
      </c>
      <c r="BY62" s="12">
        <f>IF('Données projet'!$A$114&gt;35,BY61+BX62-CG61,IF(A62&lt;'Données projet'!$A$114,$BV$205^A62,IF(A62='Données projet'!$A$114,'Données projet'!$B$114,BY61+BX62-CG61)))</f>
        <v>206.39999999999998</v>
      </c>
      <c r="BZ62" s="13">
        <f>BY62*VLOOKUP('Données projet'!$B$12,Paramètres!$A$1:$I$89,3,0)*VLOOKUP('Données projet'!$B$12,Paramètres!$A$1:$I$89,5,0)</f>
        <v>222.16895999999997</v>
      </c>
      <c r="CA62" s="13">
        <f t="shared" si="39"/>
        <v>54.586028956213639</v>
      </c>
      <c r="CB62" s="20">
        <f t="shared" si="10"/>
        <v>482.01493909873869</v>
      </c>
      <c r="CC62" s="59">
        <f t="shared" si="11"/>
        <v>775.34827243207201</v>
      </c>
      <c r="CD62" s="59">
        <f ca="1">AVERAGE(OFFSET($CC$3,0,0,'Données projet'!$E$12+1,1))-AVERAGE(OFFSET($H$3,0,0,'Données projet'!$E$12+1,1))</f>
        <v>324.61094137855798</v>
      </c>
      <c r="CE62" s="59">
        <f t="shared" si="40"/>
        <v>267.2998309535638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8.7790152179424403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8.7790152179424403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2.8421709430404007E-13</v>
      </c>
      <c r="CU62" s="17">
        <f>CT62*VLOOKUP('Données projet'!$B$13,Paramètres!$A$1:$I$89,3,0)*VLOOKUP('Données projet'!$B$13,Paramètres!$A$1:$I$89,5,0)</f>
        <v>1.69961822393816E-13</v>
      </c>
      <c r="CV62" s="13">
        <f t="shared" si="41"/>
        <v>2.4004382776176369E-12</v>
      </c>
      <c r="CW62" s="20">
        <f t="shared" si="13"/>
        <v>4.4767801741866136E-12</v>
      </c>
      <c r="CX62" s="59">
        <f t="shared" si="14"/>
        <v>293.33333333333781</v>
      </c>
      <c r="CY62" s="59">
        <f ca="1">AVERAGE(OFFSET($CX$3,0,0,'Données projet'!$E$13+1,1))-AVERAGE(OFFSET($H$3,0,0,'Données projet'!$E$13+1,1))</f>
        <v>319.9010109022521</v>
      </c>
      <c r="CZ62" s="59">
        <f t="shared" si="42"/>
        <v>441.82647565372287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123.65246465899449</v>
      </c>
      <c r="DG62" s="21">
        <f>EXP(-LN(2)/25)*DG61+(1-EXP(-LN(2)/25))/(LN(2)/25)*Calculateur!DB62*Calculateur!DD62*VLOOKUP('Données projet'!$B$13,Paramètres!$A$1:$I$89,3,0)*0.475*44/12</f>
        <v>53.587163961662654</v>
      </c>
      <c r="DH62" s="21">
        <f>EXP(-LN(2)/2)*DH61+(1-EXP(-LN(2)/2))/(LN(2)/2)*DB62*DE62*VLOOKUP('Données projet'!$B$13,Paramètres!$A$1:$I$89,3,0)*0.475*44/12</f>
        <v>2.8276156075363144</v>
      </c>
      <c r="DI62" s="22">
        <f t="shared" si="15"/>
        <v>180.06724422819343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13</v>
      </c>
      <c r="DO62" s="12">
        <f>IF('Données projet'!$A$166&gt;35,DO61+DN62-DW61,IF(A62&lt;'Données projet'!$A$166,$DL$205^A62,IF(A62='Données projet'!$A$166,'Données projet'!$B$166,DO61+DN62-DW61)))</f>
        <v>457</v>
      </c>
      <c r="DP62" s="17">
        <f>DO62*VLOOKUP('Données projet'!$B$14,Paramètres!$A$1:$I$89,3,0)*VLOOKUP('Données projet'!$B$14,Paramètres!$A$1:$I$89,5,0)</f>
        <v>213.87599999999998</v>
      </c>
      <c r="DQ62" s="13">
        <f t="shared" si="43"/>
        <v>52.781685550046873</v>
      </c>
      <c r="DR62" s="20">
        <f t="shared" si="16"/>
        <v>464.4288023329982</v>
      </c>
      <c r="DS62" s="59">
        <f t="shared" si="17"/>
        <v>757.76213566633146</v>
      </c>
      <c r="DT62" s="59">
        <f ca="1">AVERAGE(OFFSET($DS$3,0,0,'Données projet'!$E$14+1,1))-AVERAGE(OFFSET($H$3,0,0,'Données projet'!$E$14+1,1))</f>
        <v>229.61973863654862</v>
      </c>
      <c r="DU62" s="59">
        <f t="shared" si="44"/>
        <v>254.08208375594052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11.152652100646065</v>
      </c>
      <c r="EB62" s="21">
        <f>EXP(-LN(2)/25)*EB61+(1-EXP(-LN(2)/25))/(LN(2)/25)*Calculateur!DW62*Calculateur!DY62*VLOOKUP('Données projet'!$B$14,Paramètres!$A$1:$I$89,3,0)*0.475*44/12</f>
        <v>15.266939096539438</v>
      </c>
      <c r="EC62" s="21">
        <f>EXP(-LN(2)/2)*EC61+(1-EXP(-LN(2)/2))/(LN(2)/2)*DW62*DZ62*VLOOKUP('Données projet'!$B$14,Paramètres!$A$1:$I$89,3,0)*0.475*44/12</f>
        <v>0.31618741373687492</v>
      </c>
      <c r="ED62" s="22">
        <f t="shared" si="18"/>
        <v>26.735778610922377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214</v>
      </c>
      <c r="L63" s="12">
        <f>VLOOKUP(A63,'Données projet'!$A$35:$I$55,9,0)</f>
        <v>7.6</v>
      </c>
      <c r="M63" s="12">
        <f t="array" ref="M63">INDEX(L:L,MIN(IF(ISNUMBER(L63:L259),ROW(L63:L259),"")))</f>
        <v>7.6</v>
      </c>
      <c r="N63" s="13">
        <f>IF('Données projet'!$A$36&gt;35,N62+M63-V62,IF(A63&lt;'Données projet'!$A$36,$K$205^A63,IF(A63='Données projet'!$A$36,'Données projet'!$B$36,N62+M63-V62)))</f>
        <v>213.99999999999997</v>
      </c>
      <c r="O63" s="13">
        <f>N63*VLOOKUP('Données projet'!$B$9,Paramètres!$A$1:$I$89,3,0)*VLOOKUP('Données projet'!$B$9,Paramètres!$A$1:$I$89,5,0)</f>
        <v>193.62719999999996</v>
      </c>
      <c r="P63" s="13">
        <f t="shared" si="33"/>
        <v>48.340990547231193</v>
      </c>
      <c r="Q63" s="20">
        <f t="shared" si="53"/>
        <v>421.42793186976087</v>
      </c>
      <c r="R63" s="59">
        <f t="shared" si="0"/>
        <v>714.76126520309413</v>
      </c>
      <c r="S63" s="59">
        <f ca="1">AVERAGE(OFFSET($R$3,0,0,'Données projet'!$E$9+1,1))-AVERAGE(OFFSET($H$3,0,0,'Données projet'!$E$9+1,1))</f>
        <v>373.59295497283125</v>
      </c>
      <c r="T63" s="59">
        <f t="shared" si="34"/>
        <v>231.36959598460686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21</v>
      </c>
      <c r="W63" s="16">
        <f>IF(ISNA(VLOOKUP(A63,'Données projet'!$A$35:$I$55,5,0)),0%,VLOOKUP(A63,'Données projet'!$A$35:$I$55,5,0)*VLOOKUP('Données projet'!$B$9,Paramètres!$A$1:$I$89,7,0))</f>
        <v>0.17200000000000001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10.847584630182402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10.847584630182402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214</v>
      </c>
      <c r="AG63" s="12">
        <f>VLOOKUP(A63,'Données projet'!$A$61:$I$81,9,0)</f>
        <v>7.6</v>
      </c>
      <c r="AH63" s="12">
        <f t="array" ref="AH63">INDEX(AG:AG,MIN(IF(ISNUMBER(AG63:AG259),ROW(AG63:AG259),"")))</f>
        <v>7.6</v>
      </c>
      <c r="AI63" s="13">
        <f>IF('Données projet'!$A$62&gt;35,AI62+AH63-AQ62,IF(A63&lt;'Données projet'!$A$62,$AF$205^A63,IF(A63='Données projet'!$A$62,'Données projet'!$B$62,AI62+AH63-AQ62)))</f>
        <v>213.99999999999997</v>
      </c>
      <c r="AJ63" s="13">
        <f>AI63*VLOOKUP('Données projet'!$B$10,Paramètres!$A$1:$I$89,3,0)*VLOOKUP('Données projet'!$B$10,Paramètres!$A$1:$I$89,5,0)</f>
        <v>216.99600000000001</v>
      </c>
      <c r="AK63" s="13">
        <f t="shared" si="35"/>
        <v>53.461459647386917</v>
      </c>
      <c r="AL63" s="20">
        <f t="shared" si="4"/>
        <v>471.04674221919896</v>
      </c>
      <c r="AM63" s="59">
        <f t="shared" si="5"/>
        <v>764.38007555253228</v>
      </c>
      <c r="AN63" s="59">
        <f ca="1">AVERAGE(OFFSET($AM$3,0,0,'Données projet'!$E$10+1,1))-AVERAGE(OFFSET($H$3,0,0,'Données projet'!$E$10+1,1))</f>
        <v>413.81510455446738</v>
      </c>
      <c r="AO63" s="59">
        <f t="shared" si="36"/>
        <v>254.25036207346602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21</v>
      </c>
      <c r="AR63" s="16">
        <f>IF(ISNA(VLOOKUP(A63,'Données projet'!$A$61:$I$81,5,0)),0%,VLOOKUP(A63,'Données projet'!$A$61:$I$81,5,0)*VLOOKUP('Données projet'!$B$10,Paramètres!$A$1:$I$89,7,0))</f>
        <v>0.17200000000000001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12.156775878652692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12.156775878652692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214</v>
      </c>
      <c r="BB63" s="12">
        <f>VLOOKUP(A63,'Données projet'!$A$87:$I$107,9,0)</f>
        <v>7.6</v>
      </c>
      <c r="BC63" s="12">
        <f t="array" ref="BC63">INDEX(BB:BB,MIN(IF(ISNUMBER(BB63:BB259),ROW(BB63:BB259),"")))</f>
        <v>7.6</v>
      </c>
      <c r="BD63" s="12">
        <f>IF('Données projet'!$A$88&gt;35,BD62+BC63-BL62,IF(A63&lt;'Données projet'!$A$88,$BA$205^A63,IF(A63='Données projet'!$A$88,'Données projet'!$B$88,BD62+BC63-BL62)))</f>
        <v>213.99999999999997</v>
      </c>
      <c r="BE63" s="13">
        <f>BD63*VLOOKUP('Données projet'!$B$11,Paramètres!$A$1:$I$89,3,0)*VLOOKUP('Données projet'!$B$11,Paramètres!$A$1:$I$89,5,0)</f>
        <v>206.98079999999996</v>
      </c>
      <c r="BF63" s="13">
        <f t="shared" si="37"/>
        <v>51.275259496675787</v>
      </c>
      <c r="BG63" s="20">
        <f t="shared" si="7"/>
        <v>449.7959702900435</v>
      </c>
      <c r="BH63" s="59">
        <f t="shared" si="8"/>
        <v>743.12930362337681</v>
      </c>
      <c r="BI63" s="59">
        <f ca="1">AVERAGE(OFFSET($BH$3,0,0,'Données projet'!$E$11+1,1))-AVERAGE(OFFSET($H$3,0,0,'Données projet'!$E$11+1,1))</f>
        <v>295.35565287134125</v>
      </c>
      <c r="BJ63" s="59">
        <f t="shared" si="38"/>
        <v>244.451492444461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21</v>
      </c>
      <c r="BM63" s="16">
        <f>IF(ISNA(VLOOKUP(A63,'Données projet'!$A$87:$I$107,5,0)),0%,VLOOKUP(A63,'Données projet'!$A$87:$I$107,5,0)*VLOOKUP('Données projet'!$B$11,Paramètres!$A$1:$I$89,7,0))</f>
        <v>0.17200000000000001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11.595693915022567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11.595693915022567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214</v>
      </c>
      <c r="BW63" s="12">
        <f>VLOOKUP(A63,'Données projet'!$A$113:$I$133,9,0)</f>
        <v>7.6</v>
      </c>
      <c r="BX63" s="12">
        <f t="array" ref="BX63">INDEX(BW:BW,MIN(IF(ISNUMBER(BW63:BW259),ROW(BW63:BW259),"")))</f>
        <v>7.6</v>
      </c>
      <c r="BY63" s="12">
        <f>IF('Données projet'!$A$114&gt;35,BY62+BX63-CG62,IF(A63&lt;'Données projet'!$A$114,$BV$205^A63,IF(A63='Données projet'!$A$114,'Données projet'!$B$114,BY62+BX63-CG62)))</f>
        <v>213.99999999999997</v>
      </c>
      <c r="BZ63" s="13">
        <f>BY63*VLOOKUP('Données projet'!$B$12,Paramètres!$A$1:$I$89,3,0)*VLOOKUP('Données projet'!$B$12,Paramètres!$A$1:$I$89,5,0)</f>
        <v>230.34959999999995</v>
      </c>
      <c r="CA63" s="13">
        <f t="shared" si="39"/>
        <v>56.35826654142631</v>
      </c>
      <c r="CB63" s="20">
        <f t="shared" si="10"/>
        <v>499.34953422631742</v>
      </c>
      <c r="CC63" s="59">
        <f t="shared" si="11"/>
        <v>792.68286755965073</v>
      </c>
      <c r="CD63" s="59">
        <f ca="1">AVERAGE(OFFSET($CC$3,0,0,'Données projet'!$E$12+1,1))-AVERAGE(OFFSET($H$3,0,0,'Données projet'!$E$12+1,1))</f>
        <v>324.61094137855798</v>
      </c>
      <c r="CE63" s="59">
        <f t="shared" si="40"/>
        <v>267.2998309535638</v>
      </c>
      <c r="CF63" s="15">
        <f>IF(ISNA(VLOOKUP(A63,'Données projet'!$A$113:$I$133,3,0)),0,VLOOKUP(A63,'Données projet'!$A$113:$I$133,3,0))</f>
        <v>9</v>
      </c>
      <c r="CG63" s="15">
        <f>IF(ISNA(VLOOKUP(A63,'Données projet'!$A$113:$I$133,4,0)),0,VLOOKUP(A63,'Données projet'!$A$113:$I$133,4,0))</f>
        <v>21</v>
      </c>
      <c r="CH63" s="16">
        <f>IF(ISNA(VLOOKUP(A63,'Données projet'!$A$113:$I$133,5,0)),0%,VLOOKUP(A63,'Données projet'!$A$113:$I$133,5,0)*VLOOKUP('Données projet'!$B$12,Paramètres!$A$1:$I$89,7,0))</f>
        <v>0.17200000000000001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12.904885163492857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12.904885163492857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2.8421709430404007E-13</v>
      </c>
      <c r="CU63" s="17">
        <f>CT63*VLOOKUP('Données projet'!$B$13,Paramètres!$A$1:$I$89,3,0)*VLOOKUP('Données projet'!$B$13,Paramètres!$A$1:$I$89,5,0)</f>
        <v>1.69961822393816E-13</v>
      </c>
      <c r="CV63" s="13">
        <f t="shared" si="41"/>
        <v>2.4004382776176369E-12</v>
      </c>
      <c r="CW63" s="20">
        <f t="shared" si="13"/>
        <v>4.4767801741866136E-12</v>
      </c>
      <c r="CX63" s="59">
        <f t="shared" si="14"/>
        <v>293.33333333333781</v>
      </c>
      <c r="CY63" s="59">
        <f ca="1">AVERAGE(OFFSET($CX$3,0,0,'Données projet'!$E$13+1,1))-AVERAGE(OFFSET($H$3,0,0,'Données projet'!$E$13+1,1))</f>
        <v>319.9010109022521</v>
      </c>
      <c r="CZ63" s="59">
        <f t="shared" si="42"/>
        <v>441.82647565372287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121.22771524758789</v>
      </c>
      <c r="DG63" s="21">
        <f>EXP(-LN(2)/25)*DG62+(1-EXP(-LN(2)/25))/(LN(2)/25)*Calculateur!DB63*Calculateur!DD63*VLOOKUP('Données projet'!$B$13,Paramètres!$A$1:$I$89,3,0)*0.475*44/12</f>
        <v>52.121820145104508</v>
      </c>
      <c r="DH63" s="21">
        <f>EXP(-LN(2)/2)*DH62+(1-EXP(-LN(2)/2))/(LN(2)/2)*DB63*DE63*VLOOKUP('Données projet'!$B$13,Paramètres!$A$1:$I$89,3,0)*0.475*44/12</f>
        <v>1.9994261706778473</v>
      </c>
      <c r="DI63" s="22">
        <f t="shared" si="15"/>
        <v>175.34896156337027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470</v>
      </c>
      <c r="DM63" s="12">
        <f>VLOOKUP(A63,'Données projet'!$A$165:$I$185,9,0)</f>
        <v>13</v>
      </c>
      <c r="DN63" s="12">
        <f t="array" ref="DN63">INDEX(DM:DM,MIN(IF(ISNUMBER(DM63:DM259),ROW(DM63:DM259),"")))</f>
        <v>13</v>
      </c>
      <c r="DO63" s="12">
        <f>IF('Données projet'!$A$166&gt;35,DO62+DN63-DW62,IF(A63&lt;'Données projet'!$A$166,$DL$205^A63,IF(A63='Données projet'!$A$166,'Données projet'!$B$166,DO62+DN63-DW62)))</f>
        <v>470</v>
      </c>
      <c r="DP63" s="17">
        <f>DO63*VLOOKUP('Données projet'!$B$14,Paramètres!$A$1:$I$89,3,0)*VLOOKUP('Données projet'!$B$14,Paramètres!$A$1:$I$89,5,0)</f>
        <v>219.95999999999998</v>
      </c>
      <c r="DQ63" s="13">
        <f t="shared" si="43"/>
        <v>54.106191826225746</v>
      </c>
      <c r="DR63" s="20">
        <f t="shared" si="16"/>
        <v>477.33195076400972</v>
      </c>
      <c r="DS63" s="59">
        <f t="shared" si="17"/>
        <v>770.66528409734303</v>
      </c>
      <c r="DT63" s="59">
        <f ca="1">AVERAGE(OFFSET($DS$3,0,0,'Données projet'!$E$14+1,1))-AVERAGE(OFFSET($H$3,0,0,'Données projet'!$E$14+1,1))</f>
        <v>229.61973863654862</v>
      </c>
      <c r="DU63" s="59">
        <f t="shared" si="44"/>
        <v>254.08208375594052</v>
      </c>
      <c r="DV63" s="15">
        <f>IF(ISNA(VLOOKUP(A63,'Données projet'!$A$165:$I$185,3,0)),0,VLOOKUP(A63,'Données projet'!$A$165:$I$185,3,0))</f>
        <v>5</v>
      </c>
      <c r="DW63" s="15">
        <f>IF(ISNA(VLOOKUP(A63,'Données projet'!$A$165:$I$185,4,0)),0,VLOOKUP(A63,'Données projet'!$A$165:$I$185,4,0))</f>
        <v>470</v>
      </c>
      <c r="DX63" s="16">
        <f>IF(ISNA(VLOOKUP(A63,'Données projet'!$A$165:$I$185,5,0)),0%,VLOOKUP(A63,'Données projet'!$A$165:$I$185,5,0)*VLOOKUP('Données projet'!$B$14,Paramètres!$A$1:$I$89,7,0))</f>
        <v>0.33</v>
      </c>
      <c r="DY63" s="16">
        <f>IF(ISNA(VLOOKUP(A63,'Données projet'!$A$165:$I$185,6,0)),0%,VLOOKUP(A63,'Données projet'!$A$165:$I$185,6,0)*VLOOKUP('Données projet'!$B$14,Paramètres!$A$1:$I$89,7,0))</f>
        <v>0.12100000000000001</v>
      </c>
      <c r="DZ63" s="16">
        <f>IF(ISNA(VLOOKUP(A63,'Données projet'!$A$165:$I$185,7,0)),0%,VLOOKUP(A63,'Données projet'!$A$165:$I$185,7,0))</f>
        <v>0.18</v>
      </c>
      <c r="EA63" s="21">
        <f>EXP(-LN(2)/35)*EA62+(1-EXP(-LN(2)/35))/(LN(2)/35)*DW63*DX63*VLOOKUP('Données projet'!$B$14,Paramètres!$A$1:$I$89,3,0)*0.475*44/12</f>
        <v>107.22502420949732</v>
      </c>
      <c r="EB63" s="21">
        <f>EXP(-LN(2)/25)*EB62+(1-EXP(-LN(2)/25))/(LN(2)/25)*Calculateur!DW63*Calculateur!DY63*VLOOKUP('Données projet'!$B$14,Paramètres!$A$1:$I$89,3,0)*0.475*44/12</f>
        <v>50.017173045772623</v>
      </c>
      <c r="EC63" s="21">
        <f>EXP(-LN(2)/2)*EC62+(1-EXP(-LN(2)/2))/(LN(2)/2)*DW63*DZ63*VLOOKUP('Données projet'!$B$14,Paramètres!$A$1:$I$89,3,0)*0.475*44/12</f>
        <v>45.051825173885035</v>
      </c>
      <c r="ED63" s="22">
        <f t="shared" si="18"/>
        <v>202.29402242915501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7.2</v>
      </c>
      <c r="N64" s="13">
        <f>IF('Données projet'!$A$36&gt;35,N63+M64-V63,IF(A64&lt;'Données projet'!$A$36,$K$205^A64,IF(A64='Données projet'!$A$36,'Données projet'!$B$36,N63+M64-V63)))</f>
        <v>200.19999999999996</v>
      </c>
      <c r="O64" s="13">
        <f>N64*VLOOKUP('Données projet'!$B$9,Paramètres!$A$1:$I$89,3,0)*VLOOKUP('Données projet'!$B$9,Paramètres!$A$1:$I$89,5,0)</f>
        <v>181.14095999999995</v>
      </c>
      <c r="P64" s="13">
        <f t="shared" si="33"/>
        <v>45.575935320610945</v>
      </c>
      <c r="Q64" s="20">
        <f t="shared" si="53"/>
        <v>394.86525935006392</v>
      </c>
      <c r="R64" s="59">
        <f t="shared" si="0"/>
        <v>688.19859268339724</v>
      </c>
      <c r="S64" s="59">
        <f ca="1">AVERAGE(OFFSET($R$3,0,0,'Données projet'!$E$9+1,1))-AVERAGE(OFFSET($H$3,0,0,'Données projet'!$E$9+1,1))</f>
        <v>373.59295497283125</v>
      </c>
      <c r="T64" s="59">
        <f t="shared" si="34"/>
        <v>231.36959598460686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10.634870111957836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10.634870111957836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7.2</v>
      </c>
      <c r="AI64" s="13">
        <f>IF('Données projet'!$A$62&gt;35,AI63+AH64-AQ63,IF(A64&lt;'Données projet'!$A$62,$AF$205^A64,IF(A64='Données projet'!$A$62,'Données projet'!$B$62,AI63+AH64-AQ63)))</f>
        <v>200.19999999999996</v>
      </c>
      <c r="AJ64" s="13">
        <f>AI64*VLOOKUP('Données projet'!$B$10,Paramètres!$A$1:$I$89,3,0)*VLOOKUP('Données projet'!$B$10,Paramètres!$A$1:$I$89,5,0)</f>
        <v>203.00279999999995</v>
      </c>
      <c r="AK64" s="13">
        <f t="shared" si="35"/>
        <v>50.403518824343074</v>
      </c>
      <c r="AL64" s="20">
        <f t="shared" si="4"/>
        <v>441.3493386190641</v>
      </c>
      <c r="AM64" s="59">
        <f t="shared" si="5"/>
        <v>734.68267195239741</v>
      </c>
      <c r="AN64" s="59">
        <f ca="1">AVERAGE(OFFSET($AM$3,0,0,'Données projet'!$E$10+1,1))-AVERAGE(OFFSET($H$3,0,0,'Données projet'!$E$10+1,1))</f>
        <v>413.81510455446738</v>
      </c>
      <c r="AO64" s="59">
        <f t="shared" si="36"/>
        <v>254.25036207346602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11.918388918573438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11.918388918573438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7.2</v>
      </c>
      <c r="BD64" s="12">
        <f>IF('Données projet'!$A$88&gt;35,BD63+BC64-BL63,IF(A64&lt;'Données projet'!$A$88,$BA$205^A64,IF(A64='Données projet'!$A$88,'Données projet'!$B$88,BD63+BC64-BL63)))</f>
        <v>200.19999999999996</v>
      </c>
      <c r="BE64" s="13">
        <f>BD64*VLOOKUP('Données projet'!$B$11,Paramètres!$A$1:$I$89,3,0)*VLOOKUP('Données projet'!$B$11,Paramètres!$A$1:$I$89,5,0)</f>
        <v>193.63343999999998</v>
      </c>
      <c r="BF64" s="13">
        <f t="shared" si="37"/>
        <v>48.342367086681229</v>
      </c>
      <c r="BG64" s="20">
        <f t="shared" si="7"/>
        <v>421.44119734263637</v>
      </c>
      <c r="BH64" s="59">
        <f t="shared" si="8"/>
        <v>714.77453067596969</v>
      </c>
      <c r="BI64" s="59">
        <f ca="1">AVERAGE(OFFSET($BH$3,0,0,'Données projet'!$E$11+1,1))-AVERAGE(OFFSET($H$3,0,0,'Données projet'!$E$11+1,1))</f>
        <v>295.35565287134125</v>
      </c>
      <c r="BJ64" s="59">
        <f t="shared" si="38"/>
        <v>244.451492444461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11.368309430023894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11.368309430023894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7.2</v>
      </c>
      <c r="BY64" s="12">
        <f>IF('Données projet'!$A$114&gt;35,BY63+BX64-CG63,IF(A64&lt;'Données projet'!$A$114,$BV$205^A64,IF(A64='Données projet'!$A$114,'Données projet'!$B$114,BY63+BX64-CG63)))</f>
        <v>200.19999999999996</v>
      </c>
      <c r="BZ64" s="13">
        <f>BY64*VLOOKUP('Données projet'!$B$12,Paramètres!$A$1:$I$89,3,0)*VLOOKUP('Données projet'!$B$12,Paramètres!$A$1:$I$89,5,0)</f>
        <v>215.49527999999992</v>
      </c>
      <c r="CA64" s="13">
        <f t="shared" si="39"/>
        <v>53.134631326269272</v>
      </c>
      <c r="CB64" s="20">
        <f t="shared" si="10"/>
        <v>467.86376222658549</v>
      </c>
      <c r="CC64" s="59">
        <f t="shared" si="11"/>
        <v>761.19709555991881</v>
      </c>
      <c r="CD64" s="59">
        <f ca="1">AVERAGE(OFFSET($CC$3,0,0,'Données projet'!$E$12+1,1))-AVERAGE(OFFSET($H$3,0,0,'Données projet'!$E$12+1,1))</f>
        <v>324.61094137855798</v>
      </c>
      <c r="CE64" s="59">
        <f t="shared" si="40"/>
        <v>267.2998309535638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12.651828236639496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12.651828236639496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2.8421709430404007E-13</v>
      </c>
      <c r="CU64" s="17">
        <f>CT64*VLOOKUP('Données projet'!$B$13,Paramètres!$A$1:$I$89,3,0)*VLOOKUP('Données projet'!$B$13,Paramètres!$A$1:$I$89,5,0)</f>
        <v>1.69961822393816E-13</v>
      </c>
      <c r="CV64" s="13">
        <f t="shared" si="41"/>
        <v>2.4004382776176369E-12</v>
      </c>
      <c r="CW64" s="20">
        <f t="shared" si="13"/>
        <v>4.4767801741866136E-12</v>
      </c>
      <c r="CX64" s="59">
        <f t="shared" si="14"/>
        <v>293.33333333333781</v>
      </c>
      <c r="CY64" s="59">
        <f ca="1">AVERAGE(OFFSET($CX$3,0,0,'Données projet'!$E$13+1,1))-AVERAGE(OFFSET($H$3,0,0,'Données projet'!$E$13+1,1))</f>
        <v>319.9010109022521</v>
      </c>
      <c r="CZ64" s="59">
        <f t="shared" si="42"/>
        <v>441.82647565372287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118.85051369318786</v>
      </c>
      <c r="DG64" s="21">
        <f>EXP(-LN(2)/25)*DG63+(1-EXP(-LN(2)/25))/(LN(2)/25)*Calculateur!DB64*Calculateur!DD64*VLOOKUP('Données projet'!$B$13,Paramètres!$A$1:$I$89,3,0)*0.475*44/12</f>
        <v>50.696546232269228</v>
      </c>
      <c r="DH64" s="21">
        <f>EXP(-LN(2)/2)*DH63+(1-EXP(-LN(2)/2))/(LN(2)/2)*DB64*DE64*VLOOKUP('Données projet'!$B$13,Paramètres!$A$1:$I$89,3,0)*0.475*44/12</f>
        <v>1.4138078037681574</v>
      </c>
      <c r="DI64" s="22">
        <f t="shared" si="15"/>
        <v>170.96086772922524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>
        <f>DO64*VLOOKUP('Données projet'!$B$14,Paramètres!$A$1:$I$89,3,0)*VLOOKUP('Données projet'!$B$14,Paramètres!$A$1:$I$89,5,0)</f>
        <v>0</v>
      </c>
      <c r="DQ64" s="13" t="e">
        <f t="shared" si="43"/>
        <v>#NUM!</v>
      </c>
      <c r="DR64" s="20" t="e">
        <f t="shared" si="16"/>
        <v>#NUM!</v>
      </c>
      <c r="DS64" s="59" t="e">
        <f t="shared" si="17"/>
        <v>#NUM!</v>
      </c>
      <c r="DT64" s="59">
        <f ca="1">AVERAGE(OFFSET($DS$3,0,0,'Données projet'!$E$14+1,1))-AVERAGE(OFFSET($H$3,0,0,'Données projet'!$E$14+1,1))</f>
        <v>229.61973863654862</v>
      </c>
      <c r="DU64" s="59">
        <f t="shared" si="44"/>
        <v>254.08208375594052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105.12240688555605</v>
      </c>
      <c r="EB64" s="21">
        <f>EXP(-LN(2)/25)*EB63+(1-EXP(-LN(2)/25))/(LN(2)/25)*Calculateur!DW64*Calculateur!DY64*VLOOKUP('Données projet'!$B$14,Paramètres!$A$1:$I$89,3,0)*0.475*44/12</f>
        <v>48.649450818547159</v>
      </c>
      <c r="EC64" s="21">
        <f>EXP(-LN(2)/2)*EC63+(1-EXP(-LN(2)/2))/(LN(2)/2)*DW64*DZ64*VLOOKUP('Données projet'!$B$14,Paramètres!$A$1:$I$89,3,0)*0.475*44/12</f>
        <v>31.85645108528492</v>
      </c>
      <c r="ED64" s="22">
        <f t="shared" si="18"/>
        <v>185.62830878938814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7.2</v>
      </c>
      <c r="N65" s="13">
        <f>IF('Données projet'!$A$36&gt;35,N64+M65-V64,IF(A65&lt;'Données projet'!$A$36,$K$205^A65,IF(A65='Données projet'!$A$36,'Données projet'!$B$36,N64+M65-V64)))</f>
        <v>207.39999999999995</v>
      </c>
      <c r="O65" s="13">
        <f>N65*VLOOKUP('Données projet'!$B$9,Paramètres!$A$1:$I$89,3,0)*VLOOKUP('Données projet'!$B$9,Paramètres!$A$1:$I$89,5,0)</f>
        <v>187.65551999999994</v>
      </c>
      <c r="P65" s="13">
        <f t="shared" si="33"/>
        <v>47.021247649900147</v>
      </c>
      <c r="Q65" s="20">
        <f t="shared" si="53"/>
        <v>408.72870365690932</v>
      </c>
      <c r="R65" s="59">
        <f t="shared" si="0"/>
        <v>702.06203699024263</v>
      </c>
      <c r="S65" s="59">
        <f ca="1">AVERAGE(OFFSET($R$3,0,0,'Données projet'!$E$9+1,1))-AVERAGE(OFFSET($H$3,0,0,'Données projet'!$E$9+1,1))</f>
        <v>373.59295497283125</v>
      </c>
      <c r="T65" s="59">
        <f t="shared" si="34"/>
        <v>231.36959598460686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10.42632679569261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10.42632679569261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7.2</v>
      </c>
      <c r="AI65" s="13">
        <f>IF('Données projet'!$A$62&gt;35,AI64+AH65-AQ64,IF(A65&lt;'Données projet'!$A$62,$AF$205^A65,IF(A65='Données projet'!$A$62,'Données projet'!$B$62,AI64+AH65-AQ64)))</f>
        <v>207.39999999999995</v>
      </c>
      <c r="AJ65" s="13">
        <f>AI65*VLOOKUP('Données projet'!$B$10,Paramètres!$A$1:$I$89,3,0)*VLOOKUP('Données projet'!$B$10,Paramètres!$A$1:$I$89,5,0)</f>
        <v>210.30359999999996</v>
      </c>
      <c r="AK65" s="13">
        <f t="shared" si="35"/>
        <v>52.001924357524459</v>
      </c>
      <c r="AL65" s="20">
        <f t="shared" si="4"/>
        <v>456.84878825602163</v>
      </c>
      <c r="AM65" s="59">
        <f t="shared" si="5"/>
        <v>750.18212158935489</v>
      </c>
      <c r="AN65" s="59">
        <f ca="1">AVERAGE(OFFSET($AM$3,0,0,'Données projet'!$E$10+1,1))-AVERAGE(OFFSET($H$3,0,0,'Données projet'!$E$10+1,1))</f>
        <v>413.81510455446738</v>
      </c>
      <c r="AO65" s="59">
        <f t="shared" si="36"/>
        <v>254.25036207346602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11.68467658137965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11.68467658137965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7.2</v>
      </c>
      <c r="BD65" s="12">
        <f>IF('Données projet'!$A$88&gt;35,BD64+BC65-BL64,IF(A65&lt;'Données projet'!$A$88,$BA$205^A65,IF(A65='Données projet'!$A$88,'Données projet'!$B$88,BD64+BC65-BL64)))</f>
        <v>207.39999999999995</v>
      </c>
      <c r="BE65" s="13">
        <f>BD65*VLOOKUP('Données projet'!$B$11,Paramètres!$A$1:$I$89,3,0)*VLOOKUP('Données projet'!$B$11,Paramètres!$A$1:$I$89,5,0)</f>
        <v>200.59727999999996</v>
      </c>
      <c r="BF65" s="13">
        <f t="shared" si="37"/>
        <v>49.875409002022977</v>
      </c>
      <c r="BG65" s="20">
        <f t="shared" si="7"/>
        <v>436.23993334518991</v>
      </c>
      <c r="BH65" s="59">
        <f t="shared" si="8"/>
        <v>729.57326667852317</v>
      </c>
      <c r="BI65" s="59">
        <f ca="1">AVERAGE(OFFSET($BH$3,0,0,'Données projet'!$E$11+1,1))-AVERAGE(OFFSET($H$3,0,0,'Données projet'!$E$11+1,1))</f>
        <v>295.35565287134125</v>
      </c>
      <c r="BJ65" s="59">
        <f t="shared" si="38"/>
        <v>244.451492444461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11.145383816085204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11.145383816085204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7.2</v>
      </c>
      <c r="BY65" s="12">
        <f>IF('Données projet'!$A$114&gt;35,BY64+BX65-CG64,IF(A65&lt;'Données projet'!$A$114,$BV$205^A65,IF(A65='Données projet'!$A$114,'Données projet'!$B$114,BY64+BX65-CG64)))</f>
        <v>207.39999999999995</v>
      </c>
      <c r="BZ65" s="13">
        <f>BY65*VLOOKUP('Données projet'!$B$12,Paramètres!$A$1:$I$89,3,0)*VLOOKUP('Données projet'!$B$12,Paramètres!$A$1:$I$89,5,0)</f>
        <v>223.24535999999995</v>
      </c>
      <c r="CA65" s="13">
        <f t="shared" si="39"/>
        <v>54.819646394591118</v>
      </c>
      <c r="CB65" s="20">
        <f t="shared" si="10"/>
        <v>484.29655280391279</v>
      </c>
      <c r="CC65" s="59">
        <f t="shared" si="11"/>
        <v>777.6298861372461</v>
      </c>
      <c r="CD65" s="59">
        <f ca="1">AVERAGE(OFFSET($CC$3,0,0,'Données projet'!$E$12+1,1))-AVERAGE(OFFSET($H$3,0,0,'Données projet'!$E$12+1,1))</f>
        <v>324.61094137855798</v>
      </c>
      <c r="CE65" s="59">
        <f t="shared" si="40"/>
        <v>267.2998309535638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12.403733601772243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12.403733601772243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2.8421709430404007E-13</v>
      </c>
      <c r="CU65" s="17">
        <f>CT65*VLOOKUP('Données projet'!$B$13,Paramètres!$A$1:$I$89,3,0)*VLOOKUP('Données projet'!$B$13,Paramètres!$A$1:$I$89,5,0)</f>
        <v>1.69961822393816E-13</v>
      </c>
      <c r="CV65" s="13">
        <f t="shared" si="41"/>
        <v>2.4004382776176369E-12</v>
      </c>
      <c r="CW65" s="20">
        <f t="shared" si="13"/>
        <v>4.4767801741866136E-12</v>
      </c>
      <c r="CX65" s="59">
        <f t="shared" si="14"/>
        <v>293.33333333333781</v>
      </c>
      <c r="CY65" s="59">
        <f ca="1">AVERAGE(OFFSET($CX$3,0,0,'Données projet'!$E$13+1,1))-AVERAGE(OFFSET($H$3,0,0,'Données projet'!$E$13+1,1))</f>
        <v>319.9010109022521</v>
      </c>
      <c r="CZ65" s="59">
        <f t="shared" si="42"/>
        <v>441.82647565372287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116.51992761131984</v>
      </c>
      <c r="DG65" s="21">
        <f>EXP(-LN(2)/25)*DG64+(1-EXP(-LN(2)/25))/(LN(2)/25)*Calculateur!DB65*Calculateur!DD65*VLOOKUP('Données projet'!$B$13,Paramètres!$A$1:$I$89,3,0)*0.475*44/12</f>
        <v>49.310246509532327</v>
      </c>
      <c r="DH65" s="21">
        <f>EXP(-LN(2)/2)*DH64+(1-EXP(-LN(2)/2))/(LN(2)/2)*DB65*DE65*VLOOKUP('Données projet'!$B$13,Paramètres!$A$1:$I$89,3,0)*0.475*44/12</f>
        <v>0.99971308533892389</v>
      </c>
      <c r="DI65" s="22">
        <f t="shared" si="15"/>
        <v>166.8298872061911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>
        <f>DO65*VLOOKUP('Données projet'!$B$14,Paramètres!$A$1:$I$89,3,0)*VLOOKUP('Données projet'!$B$14,Paramètres!$A$1:$I$89,5,0)</f>
        <v>0</v>
      </c>
      <c r="DQ65" s="13" t="e">
        <f t="shared" si="43"/>
        <v>#NUM!</v>
      </c>
      <c r="DR65" s="20" t="e">
        <f t="shared" si="16"/>
        <v>#NUM!</v>
      </c>
      <c r="DS65" s="59" t="e">
        <f t="shared" si="17"/>
        <v>#NUM!</v>
      </c>
      <c r="DT65" s="59">
        <f ca="1">AVERAGE(OFFSET($DS$3,0,0,'Données projet'!$E$14+1,1))-AVERAGE(OFFSET($H$3,0,0,'Données projet'!$E$14+1,1))</f>
        <v>229.61973863654862</v>
      </c>
      <c r="DU65" s="59">
        <f t="shared" si="44"/>
        <v>254.08208375594052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103.06102060486734</v>
      </c>
      <c r="EB65" s="21">
        <f>EXP(-LN(2)/25)*EB64+(1-EXP(-LN(2)/25))/(LN(2)/25)*Calculateur!DW65*Calculateur!DY65*VLOOKUP('Données projet'!$B$14,Paramètres!$A$1:$I$89,3,0)*0.475*44/12</f>
        <v>47.319129027550559</v>
      </c>
      <c r="EC65" s="21">
        <f>EXP(-LN(2)/2)*EC64+(1-EXP(-LN(2)/2))/(LN(2)/2)*DW65*DZ65*VLOOKUP('Données projet'!$B$14,Paramètres!$A$1:$I$89,3,0)*0.475*44/12</f>
        <v>22.525912586942521</v>
      </c>
      <c r="ED65" s="22">
        <f t="shared" si="18"/>
        <v>172.90606221936042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7.2</v>
      </c>
      <c r="N66" s="13">
        <f>IF('Données projet'!$A$36&gt;35,N65+M66-V65,IF(A66&lt;'Données projet'!$A$36,$K$205^A66,IF(A66='Données projet'!$A$36,'Données projet'!$B$36,N65+M66-V65)))</f>
        <v>214.59999999999994</v>
      </c>
      <c r="O66" s="13">
        <f>N66*VLOOKUP('Données projet'!$B$9,Paramètres!$A$1:$I$89,3,0)*VLOOKUP('Données projet'!$B$9,Paramètres!$A$1:$I$89,5,0)</f>
        <v>194.17007999999996</v>
      </c>
      <c r="P66" s="13">
        <f t="shared" si="33"/>
        <v>48.460730182351035</v>
      </c>
      <c r="Q66" s="20">
        <f t="shared" si="53"/>
        <v>422.5819944009279</v>
      </c>
      <c r="R66" s="59">
        <f t="shared" si="0"/>
        <v>715.91532773426115</v>
      </c>
      <c r="S66" s="59">
        <f ca="1">AVERAGE(OFFSET($R$3,0,0,'Données projet'!$E$9+1,1))-AVERAGE(OFFSET($H$3,0,0,'Données projet'!$E$9+1,1))</f>
        <v>373.59295497283125</v>
      </c>
      <c r="T66" s="59">
        <f t="shared" si="34"/>
        <v>231.36959598460686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10.221872886660481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10.221872886660481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7.2</v>
      </c>
      <c r="AI66" s="13">
        <f>IF('Données projet'!$A$62&gt;35,AI65+AH66-AQ65,IF(A66&lt;'Données projet'!$A$62,$AF$205^A66,IF(A66='Données projet'!$A$62,'Données projet'!$B$62,AI65+AH66-AQ65)))</f>
        <v>214.59999999999994</v>
      </c>
      <c r="AJ66" s="13">
        <f>AI66*VLOOKUP('Données projet'!$B$10,Paramètres!$A$1:$I$89,3,0)*VLOOKUP('Données projet'!$B$10,Paramètres!$A$1:$I$89,5,0)</f>
        <v>217.60439999999994</v>
      </c>
      <c r="AK66" s="13">
        <f t="shared" si="35"/>
        <v>53.593882578706356</v>
      </c>
      <c r="AL66" s="20">
        <f t="shared" si="4"/>
        <v>472.33700882458015</v>
      </c>
      <c r="AM66" s="59">
        <f t="shared" si="5"/>
        <v>765.67034215791341</v>
      </c>
      <c r="AN66" s="59">
        <f ca="1">AVERAGE(OFFSET($AM$3,0,0,'Données projet'!$E$10+1,1))-AVERAGE(OFFSET($H$3,0,0,'Données projet'!$E$10+1,1))</f>
        <v>413.81510455446738</v>
      </c>
      <c r="AO66" s="59">
        <f t="shared" si="36"/>
        <v>254.25036207346602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11.455547200567782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11.455547200567782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7.2</v>
      </c>
      <c r="BD66" s="12">
        <f>IF('Données projet'!$A$88&gt;35,BD65+BC66-BL65,IF(A66&lt;'Données projet'!$A$88,$BA$205^A66,IF(A66='Données projet'!$A$88,'Données projet'!$B$88,BD65+BC66-BL65)))</f>
        <v>214.59999999999994</v>
      </c>
      <c r="BE66" s="13">
        <f>BD66*VLOOKUP('Données projet'!$B$11,Paramètres!$A$1:$I$89,3,0)*VLOOKUP('Données projet'!$B$11,Paramètres!$A$1:$I$89,5,0)</f>
        <v>207.56111999999996</v>
      </c>
      <c r="BF66" s="13">
        <f t="shared" si="37"/>
        <v>51.40226725537714</v>
      </c>
      <c r="BG66" s="20">
        <f t="shared" si="7"/>
        <v>451.02789946978169</v>
      </c>
      <c r="BH66" s="59">
        <f t="shared" si="8"/>
        <v>744.36123280311494</v>
      </c>
      <c r="BI66" s="59">
        <f ca="1">AVERAGE(OFFSET($BH$3,0,0,'Données projet'!$E$11+1,1))-AVERAGE(OFFSET($H$3,0,0,'Données projet'!$E$11+1,1))</f>
        <v>295.35565287134125</v>
      </c>
      <c r="BJ66" s="59">
        <f t="shared" si="38"/>
        <v>244.451492444461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10.926829637464653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10.926829637464653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7.2</v>
      </c>
      <c r="BY66" s="12">
        <f>IF('Données projet'!$A$114&gt;35,BY65+BX66-CG65,IF(A66&lt;'Données projet'!$A$114,$BV$205^A66,IF(A66='Données projet'!$A$114,'Données projet'!$B$114,BY65+BX66-CG65)))</f>
        <v>214.59999999999994</v>
      </c>
      <c r="BZ66" s="13">
        <f>BY66*VLOOKUP('Données projet'!$B$12,Paramètres!$A$1:$I$89,3,0)*VLOOKUP('Données projet'!$B$12,Paramètres!$A$1:$I$89,5,0)</f>
        <v>230.99543999999995</v>
      </c>
      <c r="CA66" s="13">
        <f t="shared" si="39"/>
        <v>56.497864803589785</v>
      </c>
      <c r="CB66" s="20">
        <f t="shared" si="10"/>
        <v>500.71750586625211</v>
      </c>
      <c r="CC66" s="59">
        <f t="shared" si="11"/>
        <v>794.05083919958543</v>
      </c>
      <c r="CD66" s="59">
        <f ca="1">AVERAGE(OFFSET($CC$3,0,0,'Données projet'!$E$12+1,1))-AVERAGE(OFFSET($H$3,0,0,'Données projet'!$E$12+1,1))</f>
        <v>324.61094137855798</v>
      </c>
      <c r="CE66" s="59">
        <f t="shared" si="40"/>
        <v>267.2998309535638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12.160503951371952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12.160503951371952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2.8421709430404007E-13</v>
      </c>
      <c r="CU66" s="17">
        <f>CT66*VLOOKUP('Données projet'!$B$13,Paramètres!$A$1:$I$89,3,0)*VLOOKUP('Données projet'!$B$13,Paramètres!$A$1:$I$89,5,0)</f>
        <v>1.69961822393816E-13</v>
      </c>
      <c r="CV66" s="13">
        <f t="shared" si="41"/>
        <v>2.4004382776176369E-12</v>
      </c>
      <c r="CW66" s="20">
        <f t="shared" si="13"/>
        <v>4.4767801741866136E-12</v>
      </c>
      <c r="CX66" s="59">
        <f t="shared" si="14"/>
        <v>293.33333333333781</v>
      </c>
      <c r="CY66" s="59">
        <f ca="1">AVERAGE(OFFSET($CX$3,0,0,'Données projet'!$E$13+1,1))-AVERAGE(OFFSET($H$3,0,0,'Données projet'!$E$13+1,1))</f>
        <v>319.9010109022521</v>
      </c>
      <c r="CZ66" s="59">
        <f t="shared" si="42"/>
        <v>441.82647565372287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114.23504290100011</v>
      </c>
      <c r="DG66" s="21">
        <f>EXP(-LN(2)/25)*DG65+(1-EXP(-LN(2)/25))/(LN(2)/25)*Calculateur!DB66*Calculateur!DD66*VLOOKUP('Données projet'!$B$13,Paramètres!$A$1:$I$89,3,0)*0.475*44/12</f>
        <v>47.961855225615999</v>
      </c>
      <c r="DH66" s="21">
        <f>EXP(-LN(2)/2)*DH65+(1-EXP(-LN(2)/2))/(LN(2)/2)*DB66*DE66*VLOOKUP('Données projet'!$B$13,Paramètres!$A$1:$I$89,3,0)*0.475*44/12</f>
        <v>0.70690390188407881</v>
      </c>
      <c r="DI66" s="22">
        <f t="shared" si="15"/>
        <v>162.90380202850019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>
        <f>DO66*VLOOKUP('Données projet'!$B$14,Paramètres!$A$1:$I$89,3,0)*VLOOKUP('Données projet'!$B$14,Paramètres!$A$1:$I$89,5,0)</f>
        <v>0</v>
      </c>
      <c r="DQ66" s="13" t="e">
        <f t="shared" si="43"/>
        <v>#NUM!</v>
      </c>
      <c r="DR66" s="20" t="e">
        <f t="shared" si="16"/>
        <v>#NUM!</v>
      </c>
      <c r="DS66" s="59" t="e">
        <f t="shared" si="17"/>
        <v>#NUM!</v>
      </c>
      <c r="DT66" s="59">
        <f ca="1">AVERAGE(OFFSET($DS$3,0,0,'Données projet'!$E$14+1,1))-AVERAGE(OFFSET($H$3,0,0,'Données projet'!$E$14+1,1))</f>
        <v>229.61973863654862</v>
      </c>
      <c r="DU66" s="59">
        <f t="shared" si="44"/>
        <v>254.08208375594052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101.04005685182145</v>
      </c>
      <c r="EB66" s="21">
        <f>EXP(-LN(2)/25)*EB65+(1-EXP(-LN(2)/25))/(LN(2)/25)*Calculateur!DW66*Calculateur!DY66*VLOOKUP('Données projet'!$B$14,Paramètres!$A$1:$I$89,3,0)*0.475*44/12</f>
        <v>46.02518495588734</v>
      </c>
      <c r="EC66" s="21">
        <f>EXP(-LN(2)/2)*EC65+(1-EXP(-LN(2)/2))/(LN(2)/2)*DW66*DZ66*VLOOKUP('Données projet'!$B$14,Paramètres!$A$1:$I$89,3,0)*0.475*44/12</f>
        <v>15.928225542642464</v>
      </c>
      <c r="ED66" s="22">
        <f t="shared" si="18"/>
        <v>162.99346735035124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7.2</v>
      </c>
      <c r="N67" s="13">
        <f>IF('Données projet'!$A$36&gt;35,N66+M67-V66,IF(A67&lt;'Données projet'!$A$36,$K$205^A67,IF(A67='Données projet'!$A$36,'Données projet'!$B$36,N66+M67-V66)))</f>
        <v>221.79999999999993</v>
      </c>
      <c r="O67" s="13">
        <f>N67*VLOOKUP('Données projet'!$B$9,Paramètres!$A$1:$I$89,3,0)*VLOOKUP('Données projet'!$B$9,Paramètres!$A$1:$I$89,5,0)</f>
        <v>200.68463999999992</v>
      </c>
      <c r="P67" s="13">
        <f t="shared" si="33"/>
        <v>49.894600936700193</v>
      </c>
      <c r="Q67" s="20">
        <f t="shared" ref="Q67:Q98" si="54">(O67+P67)*0.475*44/12</f>
        <v>436.42551129808606</v>
      </c>
      <c r="R67" s="59">
        <f t="shared" ref="R67:R130" si="55">Q67+(I67+J67)*44/12</f>
        <v>729.75884463141938</v>
      </c>
      <c r="S67" s="59">
        <f ca="1">AVERAGE(OFFSET($R$3,0,0,'Données projet'!$E$9+1,1))-AVERAGE(OFFSET($H$3,0,0,'Données projet'!$E$9+1,1))</f>
        <v>373.59295497283125</v>
      </c>
      <c r="T67" s="59">
        <f t="shared" si="34"/>
        <v>231.36959598460686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10.021428194079903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10.021428194079903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7.2</v>
      </c>
      <c r="AI67" s="13">
        <f>IF('Données projet'!$A$62&gt;35,AI66+AH67-AQ66,IF(A67&lt;'Données projet'!$A$62,$AF$205^A67,IF(A67='Données projet'!$A$62,'Données projet'!$B$62,AI66+AH67-AQ66)))</f>
        <v>221.79999999999993</v>
      </c>
      <c r="AJ67" s="13">
        <f>AI67*VLOOKUP('Données projet'!$B$10,Paramètres!$A$1:$I$89,3,0)*VLOOKUP('Données projet'!$B$10,Paramètres!$A$1:$I$89,5,0)</f>
        <v>224.90519999999995</v>
      </c>
      <c r="AK67" s="13">
        <f t="shared" si="35"/>
        <v>55.17963460003309</v>
      </c>
      <c r="AL67" s="20">
        <f t="shared" si="4"/>
        <v>487.81442026172425</v>
      </c>
      <c r="AM67" s="59">
        <f t="shared" si="5"/>
        <v>781.14775359505757</v>
      </c>
      <c r="AN67" s="59">
        <f ca="1">AVERAGE(OFFSET($AM$3,0,0,'Données projet'!$E$10+1,1))-AVERAGE(OFFSET($H$3,0,0,'Données projet'!$E$10+1,1))</f>
        <v>413.81510455446738</v>
      </c>
      <c r="AO67" s="59">
        <f t="shared" si="36"/>
        <v>254.25036207346602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11.230910907158512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11.230910907158512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7.2</v>
      </c>
      <c r="BD67" s="12">
        <f>IF('Données projet'!$A$88&gt;35,BD66+BC67-BL66,IF(A67&lt;'Données projet'!$A$88,$BA$205^A67,IF(A67='Données projet'!$A$88,'Données projet'!$B$88,BD66+BC67-BL66)))</f>
        <v>221.79999999999993</v>
      </c>
      <c r="BE67" s="13">
        <f>BD67*VLOOKUP('Données projet'!$B$11,Paramètres!$A$1:$I$89,3,0)*VLOOKUP('Données projet'!$B$11,Paramètres!$A$1:$I$89,5,0)</f>
        <v>214.52495999999994</v>
      </c>
      <c r="BF67" s="13">
        <f t="shared" si="37"/>
        <v>52.923173099085716</v>
      </c>
      <c r="BG67" s="20">
        <f t="shared" si="7"/>
        <v>465.80549848090754</v>
      </c>
      <c r="BH67" s="59">
        <f t="shared" si="8"/>
        <v>759.1388318142408</v>
      </c>
      <c r="BI67" s="59">
        <f ca="1">AVERAGE(OFFSET($BH$3,0,0,'Données projet'!$E$11+1,1))-AVERAGE(OFFSET($H$3,0,0,'Données projet'!$E$11+1,1))</f>
        <v>295.35565287134125</v>
      </c>
      <c r="BJ67" s="59">
        <f t="shared" si="38"/>
        <v>244.451492444461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10.712561172981966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10.712561172981966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7.2</v>
      </c>
      <c r="BY67" s="12">
        <f>IF('Données projet'!$A$114&gt;35,BY66+BX67-CG66,IF(A67&lt;'Données projet'!$A$114,$BV$205^A67,IF(A67='Données projet'!$A$114,'Données projet'!$B$114,BY66+BX67-CG66)))</f>
        <v>221.79999999999993</v>
      </c>
      <c r="BZ67" s="13">
        <f>BY67*VLOOKUP('Données projet'!$B$12,Paramètres!$A$1:$I$89,3,0)*VLOOKUP('Données projet'!$B$12,Paramètres!$A$1:$I$89,5,0)</f>
        <v>238.74551999999991</v>
      </c>
      <c r="CA67" s="13">
        <f t="shared" si="39"/>
        <v>58.169540730060781</v>
      </c>
      <c r="CB67" s="20">
        <f t="shared" si="10"/>
        <v>517.12706410485578</v>
      </c>
      <c r="CC67" s="59">
        <f t="shared" si="11"/>
        <v>810.46039743818915</v>
      </c>
      <c r="CD67" s="59">
        <f ca="1">AVERAGE(OFFSET($CC$3,0,0,'Données projet'!$E$12+1,1))-AVERAGE(OFFSET($H$3,0,0,'Données projet'!$E$12+1,1))</f>
        <v>324.61094137855798</v>
      </c>
      <c r="CE67" s="59">
        <f t="shared" si="40"/>
        <v>267.2998309535638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11.922043886060573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11.922043886060573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2.8421709430404007E-13</v>
      </c>
      <c r="CU67" s="17">
        <f>CT67*VLOOKUP('Données projet'!$B$13,Paramètres!$A$1:$I$89,3,0)*VLOOKUP('Données projet'!$B$13,Paramètres!$A$1:$I$89,5,0)</f>
        <v>1.69961822393816E-13</v>
      </c>
      <c r="CV67" s="13">
        <f t="shared" si="41"/>
        <v>2.4004382776176369E-12</v>
      </c>
      <c r="CW67" s="20">
        <f t="shared" si="13"/>
        <v>4.4767801741866136E-12</v>
      </c>
      <c r="CX67" s="59">
        <f t="shared" si="14"/>
        <v>293.33333333333781</v>
      </c>
      <c r="CY67" s="59">
        <f ca="1">AVERAGE(OFFSET($CX$3,0,0,'Données projet'!$E$13+1,1))-AVERAGE(OFFSET($H$3,0,0,'Données projet'!$E$13+1,1))</f>
        <v>319.9010109022521</v>
      </c>
      <c r="CZ67" s="59">
        <f t="shared" si="42"/>
        <v>441.82647565372287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111.99496338620769</v>
      </c>
      <c r="DG67" s="21">
        <f>EXP(-LN(2)/25)*DG66+(1-EXP(-LN(2)/25))/(LN(2)/25)*Calculateur!DB67*Calculateur!DD67*VLOOKUP('Données projet'!$B$13,Paramètres!$A$1:$I$89,3,0)*0.475*44/12</f>
        <v>46.650335772267184</v>
      </c>
      <c r="DH67" s="21">
        <f>EXP(-LN(2)/2)*DH66+(1-EXP(-LN(2)/2))/(LN(2)/2)*DB67*DE67*VLOOKUP('Données projet'!$B$13,Paramètres!$A$1:$I$89,3,0)*0.475*44/12</f>
        <v>0.499856542669462</v>
      </c>
      <c r="DI67" s="22">
        <f t="shared" si="15"/>
        <v>159.14515570114432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>
        <f>DO67*VLOOKUP('Données projet'!$B$14,Paramètres!$A$1:$I$89,3,0)*VLOOKUP('Données projet'!$B$14,Paramètres!$A$1:$I$89,5,0)</f>
        <v>0</v>
      </c>
      <c r="DQ67" s="13" t="e">
        <f t="shared" si="43"/>
        <v>#NUM!</v>
      </c>
      <c r="DR67" s="20" t="e">
        <f t="shared" si="16"/>
        <v>#NUM!</v>
      </c>
      <c r="DS67" s="59" t="e">
        <f t="shared" si="17"/>
        <v>#NUM!</v>
      </c>
      <c r="DT67" s="59">
        <f ca="1">AVERAGE(OFFSET($DS$3,0,0,'Données projet'!$E$14+1,1))-AVERAGE(OFFSET($H$3,0,0,'Données projet'!$E$14+1,1))</f>
        <v>229.61973863654862</v>
      </c>
      <c r="DU67" s="59">
        <f t="shared" si="44"/>
        <v>254.08208375594052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99.058722965306615</v>
      </c>
      <c r="EB67" s="21">
        <f>EXP(-LN(2)/25)*EB66+(1-EXP(-LN(2)/25))/(LN(2)/25)*Calculateur!DW67*Calculateur!DY67*VLOOKUP('Données projet'!$B$14,Paramètres!$A$1:$I$89,3,0)*0.475*44/12</f>
        <v>44.766623852909319</v>
      </c>
      <c r="EC67" s="21">
        <f>EXP(-LN(2)/2)*EC66+(1-EXP(-LN(2)/2))/(LN(2)/2)*DW67*DZ67*VLOOKUP('Données projet'!$B$14,Paramètres!$A$1:$I$89,3,0)*0.475*44/12</f>
        <v>11.262956293471262</v>
      </c>
      <c r="ED67" s="22">
        <f t="shared" si="18"/>
        <v>155.0883031116872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229</v>
      </c>
      <c r="L68" s="12">
        <f>VLOOKUP(A68,'Données projet'!$A$35:$I$55,9,0)</f>
        <v>7.2</v>
      </c>
      <c r="M68" s="12">
        <f t="array" ref="M68">INDEX(L:L,MIN(IF(ISNUMBER(L68:L264),ROW(L68:L264),"")))</f>
        <v>7.2</v>
      </c>
      <c r="N68" s="13">
        <f>IF('Données projet'!$A$36&gt;35,N67+M68-V67,IF(A68&lt;'Données projet'!$A$36,$K$205^A68,IF(A68='Données projet'!$A$36,'Données projet'!$B$36,N67+M68-V67)))</f>
        <v>228.99999999999991</v>
      </c>
      <c r="O68" s="13">
        <f>N68*VLOOKUP('Données projet'!$B$9,Paramètres!$A$1:$I$89,3,0)*VLOOKUP('Données projet'!$B$9,Paramètres!$A$1:$I$89,5,0)</f>
        <v>207.19919999999991</v>
      </c>
      <c r="P68" s="13">
        <f t="shared" si="33"/>
        <v>51.3230629736655</v>
      </c>
      <c r="Q68" s="20">
        <f t="shared" si="54"/>
        <v>450.25960801246725</v>
      </c>
      <c r="R68" s="59">
        <f t="shared" si="55"/>
        <v>743.59294134580057</v>
      </c>
      <c r="S68" s="59">
        <f ca="1">AVERAGE(OFFSET($R$3,0,0,'Données projet'!$E$9+1,1))-AVERAGE(OFFSET($H$3,0,0,'Données projet'!$E$9+1,1))</f>
        <v>373.59295497283125</v>
      </c>
      <c r="T68" s="59">
        <f t="shared" si="34"/>
        <v>231.36959598460686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21</v>
      </c>
      <c r="W68" s="16">
        <f>IF(ISNA(VLOOKUP(A68,'Données projet'!$A$35:$I$55,5,0)),0%,VLOOKUP(A68,'Données projet'!$A$35:$I$55,5,0)*VLOOKUP('Données projet'!$B$9,Paramètres!$A$1:$I$89,7,0))</f>
        <v>0.17200000000000001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13.437743412699543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13.437743412699543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229</v>
      </c>
      <c r="AG68" s="12">
        <f>VLOOKUP(A68,'Données projet'!$A$61:$I$81,9,0)</f>
        <v>7.2</v>
      </c>
      <c r="AH68" s="12">
        <f t="array" ref="AH68">INDEX(AG:AG,MIN(IF(ISNUMBER(AG68:AG264),ROW(AG68:AG264),"")))</f>
        <v>7.2</v>
      </c>
      <c r="AI68" s="13">
        <f>IF('Données projet'!$A$62&gt;35,AI67+AH68-AQ67,IF(A68&lt;'Données projet'!$A$62,$AF$205^A68,IF(A68='Données projet'!$A$62,'Données projet'!$B$62,AI67+AH68-AQ67)))</f>
        <v>228.99999999999991</v>
      </c>
      <c r="AJ68" s="13">
        <f>AI68*VLOOKUP('Données projet'!$B$10,Paramètres!$A$1:$I$89,3,0)*VLOOKUP('Données projet'!$B$10,Paramètres!$A$1:$I$89,5,0)</f>
        <v>232.2059999999999</v>
      </c>
      <c r="AK68" s="13">
        <f t="shared" si="35"/>
        <v>56.759404991217522</v>
      </c>
      <c r="AL68" s="20">
        <f t="shared" ref="AL68:AL131" si="58">(AJ68+AK68)*0.475*44/12</f>
        <v>503.281413693037</v>
      </c>
      <c r="AM68" s="59">
        <f t="shared" ref="AM68:AM131" si="59">AL68+(AD68+AE68)*44/12</f>
        <v>796.61474702637031</v>
      </c>
      <c r="AN68" s="59">
        <f ca="1">AVERAGE(OFFSET($AM$3,0,0,'Données projet'!$E$10+1,1))-AVERAGE(OFFSET($H$3,0,0,'Données projet'!$E$10+1,1))</f>
        <v>413.81510455446738</v>
      </c>
      <c r="AO68" s="59">
        <f t="shared" si="36"/>
        <v>254.25036207346602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21</v>
      </c>
      <c r="AR68" s="16">
        <f>IF(ISNA(VLOOKUP(A68,'Données projet'!$A$61:$I$81,5,0)),0%,VLOOKUP(A68,'Données projet'!$A$61:$I$81,5,0)*VLOOKUP('Données projet'!$B$10,Paramètres!$A$1:$I$89,7,0))</f>
        <v>0.17200000000000001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15.059540031473627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15.059540031473627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229</v>
      </c>
      <c r="BB68" s="12">
        <f>VLOOKUP(A68,'Données projet'!$A$87:$I$107,9,0)</f>
        <v>7.2</v>
      </c>
      <c r="BC68" s="12">
        <f t="array" ref="BC68">INDEX(BB:BB,MIN(IF(ISNUMBER(BB68:BB264),ROW(BB68:BB264),"")))</f>
        <v>7.2</v>
      </c>
      <c r="BD68" s="12">
        <f>IF('Données projet'!$A$88&gt;35,BD67+BC68-BL67,IF(A68&lt;'Données projet'!$A$88,$BA$205^A68,IF(A68='Données projet'!$A$88,'Données projet'!$B$88,BD67+BC68-BL67)))</f>
        <v>228.99999999999991</v>
      </c>
      <c r="BE68" s="13">
        <f>BD68*VLOOKUP('Données projet'!$B$11,Paramètres!$A$1:$I$89,3,0)*VLOOKUP('Données projet'!$B$11,Paramètres!$A$1:$I$89,5,0)</f>
        <v>221.48879999999991</v>
      </c>
      <c r="BF68" s="13">
        <f t="shared" si="37"/>
        <v>54.43834191952984</v>
      </c>
      <c r="BG68" s="20">
        <f t="shared" ref="BG68:BG131" si="61">(BE68+BF68)*0.475*44/12</f>
        <v>480.57310550984766</v>
      </c>
      <c r="BH68" s="59">
        <f t="shared" ref="BH68:BH131" si="62">BG68+(AY68+AZ68)*44/12</f>
        <v>773.90643884318092</v>
      </c>
      <c r="BI68" s="59">
        <f ca="1">AVERAGE(OFFSET($BH$3,0,0,'Données projet'!$E$11+1,1))-AVERAGE(OFFSET($H$3,0,0,'Données projet'!$E$11+1,1))</f>
        <v>295.35565287134125</v>
      </c>
      <c r="BJ68" s="59">
        <f t="shared" si="38"/>
        <v>244.451492444461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21</v>
      </c>
      <c r="BM68" s="16">
        <f>IF(ISNA(VLOOKUP(A68,'Données projet'!$A$87:$I$107,5,0)),0%,VLOOKUP(A68,'Données projet'!$A$87:$I$107,5,0)*VLOOKUP('Données projet'!$B$11,Paramètres!$A$1:$I$89,7,0))</f>
        <v>0.17200000000000001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14.364484337713305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14.364484337713305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229</v>
      </c>
      <c r="BW68" s="12">
        <f>VLOOKUP(A68,'Données projet'!$A$113:$I$133,9,0)</f>
        <v>7.2</v>
      </c>
      <c r="BX68" s="12">
        <f t="array" ref="BX68">INDEX(BW:BW,MIN(IF(ISNUMBER(BW68:BW264),ROW(BW68:BW264),"")))</f>
        <v>7.2</v>
      </c>
      <c r="BY68" s="12">
        <f>IF('Données projet'!$A$114&gt;35,BY67+BX68-CG67,IF(A68&lt;'Données projet'!$A$114,$BV$205^A68,IF(A68='Données projet'!$A$114,'Données projet'!$B$114,BY67+BX68-CG67)))</f>
        <v>228.99999999999991</v>
      </c>
      <c r="BZ68" s="13">
        <f>BY68*VLOOKUP('Données projet'!$B$12,Paramètres!$A$1:$I$89,3,0)*VLOOKUP('Données projet'!$B$12,Paramètres!$A$1:$I$89,5,0)</f>
        <v>246.49559999999991</v>
      </c>
      <c r="CA68" s="13">
        <f t="shared" si="39"/>
        <v>59.834910912017278</v>
      </c>
      <c r="CB68" s="20">
        <f t="shared" ref="CB68:CB131" si="64">(BZ68+CA68)*0.475*44/12</f>
        <v>533.52563983842992</v>
      </c>
      <c r="CC68" s="59">
        <f t="shared" ref="CC68:CC131" si="65">CB68+(BT68+BU68)*44/12</f>
        <v>826.85897317176318</v>
      </c>
      <c r="CD68" s="59">
        <f ca="1">AVERAGE(OFFSET($CC$3,0,0,'Données projet'!$E$12+1,1))-AVERAGE(OFFSET($H$3,0,0,'Données projet'!$E$12+1,1))</f>
        <v>324.61094137855798</v>
      </c>
      <c r="CE68" s="59">
        <f t="shared" si="40"/>
        <v>267.2998309535638</v>
      </c>
      <c r="CF68" s="15">
        <f>IF(ISNA(VLOOKUP(A68,'Données projet'!$A$113:$I$133,3,0)),0,VLOOKUP(A68,'Données projet'!$A$113:$I$133,3,0))</f>
        <v>10</v>
      </c>
      <c r="CG68" s="15">
        <f>IF(ISNA(VLOOKUP(A68,'Données projet'!$A$113:$I$133,4,0)),0,VLOOKUP(A68,'Données projet'!$A$113:$I$133,4,0))</f>
        <v>21</v>
      </c>
      <c r="CH68" s="16">
        <f>IF(ISNA(VLOOKUP(A68,'Données projet'!$A$113:$I$133,5,0)),0%,VLOOKUP(A68,'Données projet'!$A$113:$I$133,5,0)*VLOOKUP('Données projet'!$B$12,Paramètres!$A$1:$I$89,7,0))</f>
        <v>0.17200000000000001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15.986280956487384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15.986280956487384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2.8421709430404007E-13</v>
      </c>
      <c r="CU68" s="17">
        <f>CT68*VLOOKUP('Données projet'!$B$13,Paramètres!$A$1:$I$89,3,0)*VLOOKUP('Données projet'!$B$13,Paramètres!$A$1:$I$89,5,0)</f>
        <v>1.69961822393816E-13</v>
      </c>
      <c r="CV68" s="13">
        <f t="shared" si="41"/>
        <v>2.4004382776176369E-12</v>
      </c>
      <c r="CW68" s="20">
        <f t="shared" ref="CW68:CW131" si="67">(CU68+CV68)*0.475*44/12</f>
        <v>4.4767801741866136E-12</v>
      </c>
      <c r="CX68" s="59">
        <f t="shared" ref="CX68:CX131" si="68">CW68+(CO68+CP68)*44/12</f>
        <v>293.33333333333781</v>
      </c>
      <c r="CY68" s="59">
        <f ca="1">AVERAGE(OFFSET($CX$3,0,0,'Données projet'!$E$13+1,1))-AVERAGE(OFFSET($H$3,0,0,'Données projet'!$E$13+1,1))</f>
        <v>319.9010109022521</v>
      </c>
      <c r="CZ68" s="59">
        <f t="shared" si="42"/>
        <v>441.82647565372287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109.79881046438675</v>
      </c>
      <c r="DG68" s="21">
        <f>EXP(-LN(2)/25)*DG67+(1-EXP(-LN(2)/25))/(LN(2)/25)*Calculateur!DB68*Calculateur!DD68*VLOOKUP('Données projet'!$B$13,Paramètres!$A$1:$I$89,3,0)*0.475*44/12</f>
        <v>45.374679887340001</v>
      </c>
      <c r="DH68" s="21">
        <f>EXP(-LN(2)/2)*DH67+(1-EXP(-LN(2)/2))/(LN(2)/2)*DB68*DE68*VLOOKUP('Données projet'!$B$13,Paramètres!$A$1:$I$89,3,0)*0.475*44/12</f>
        <v>0.35345195094203946</v>
      </c>
      <c r="DI68" s="22">
        <f t="shared" ref="DI68:DI131" si="69">SUM(DF68:DH68)</f>
        <v>155.52694230266877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>
        <f>DO68*VLOOKUP('Données projet'!$B$14,Paramètres!$A$1:$I$89,3,0)*VLOOKUP('Données projet'!$B$14,Paramètres!$A$1:$I$89,5,0)</f>
        <v>0</v>
      </c>
      <c r="DQ68" s="13" t="e">
        <f t="shared" si="43"/>
        <v>#NUM!</v>
      </c>
      <c r="DR68" s="20" t="e">
        <f t="shared" ref="DR68:DR131" si="70">(DP68+DQ68)*0.475*44/12</f>
        <v>#NUM!</v>
      </c>
      <c r="DS68" s="59" t="e">
        <f t="shared" ref="DS68:DS131" si="71">DR68+(DJ68+DK68)*44/12</f>
        <v>#NUM!</v>
      </c>
      <c r="DT68" s="59">
        <f ca="1">AVERAGE(OFFSET($DS$3,0,0,'Données projet'!$E$14+1,1))-AVERAGE(OFFSET($H$3,0,0,'Données projet'!$E$14+1,1))</f>
        <v>229.61973863654862</v>
      </c>
      <c r="DU68" s="59">
        <f t="shared" si="44"/>
        <v>254.08208375594052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97.11624182781199</v>
      </c>
      <c r="EB68" s="21">
        <f>EXP(-LN(2)/25)*EB67+(1-EXP(-LN(2)/25))/(LN(2)/25)*Calculateur!DW68*Calculateur!DY68*VLOOKUP('Données projet'!$B$14,Paramètres!$A$1:$I$89,3,0)*0.475*44/12</f>
        <v>43.542478169477079</v>
      </c>
      <c r="EC68" s="21">
        <f>EXP(-LN(2)/2)*EC67+(1-EXP(-LN(2)/2))/(LN(2)/2)*DW68*DZ68*VLOOKUP('Données projet'!$B$14,Paramètres!$A$1:$I$89,3,0)*0.475*44/12</f>
        <v>7.9641127713212327</v>
      </c>
      <c r="ED68" s="22">
        <f t="shared" ref="ED68:ED131" si="72">SUM(EA68:EC68)</f>
        <v>148.62283276861029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6.8</v>
      </c>
      <c r="N69" s="13">
        <f>IF('Données projet'!$A$36&gt;35,N68+M69-V68,IF(A69&lt;'Données projet'!$A$36,$K$205^A69,IF(A69='Données projet'!$A$36,'Données projet'!$B$36,N68+M69-V68)))</f>
        <v>214.79999999999993</v>
      </c>
      <c r="O69" s="13">
        <f>N69*VLOOKUP('Données projet'!$B$9,Paramètres!$A$1:$I$89,3,0)*VLOOKUP('Données projet'!$B$9,Paramètres!$A$1:$I$89,5,0)</f>
        <v>194.35103999999993</v>
      </c>
      <c r="P69" s="13">
        <f t="shared" ref="P69:P132" si="87">EXP(-1.0587+0.8836*LN(O69)+0.284)</f>
        <v>48.500634729810159</v>
      </c>
      <c r="Q69" s="20">
        <f t="shared" si="54"/>
        <v>422.96666682108594</v>
      </c>
      <c r="R69" s="59">
        <f t="shared" si="55"/>
        <v>716.30000015441919</v>
      </c>
      <c r="S69" s="59">
        <f ca="1">AVERAGE(OFFSET($R$3,0,0,'Données projet'!$E$9+1,1))-AVERAGE(OFFSET($H$3,0,0,'Données projet'!$E$9+1,1))</f>
        <v>373.59295497283125</v>
      </c>
      <c r="T69" s="59">
        <f t="shared" ref="T69:T132" si="88">$T$3</f>
        <v>231.36959598460686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13.174237460590678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13.174237460590678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6.8</v>
      </c>
      <c r="AI69" s="13">
        <f>IF('Données projet'!$A$62&gt;35,AI68+AH69-AQ68,IF(A69&lt;'Données projet'!$A$62,$AF$205^A69,IF(A69='Données projet'!$A$62,'Données projet'!$B$62,AI68+AH69-AQ68)))</f>
        <v>214.79999999999993</v>
      </c>
      <c r="AJ69" s="13">
        <f>AI69*VLOOKUP('Données projet'!$B$10,Paramètres!$A$1:$I$89,3,0)*VLOOKUP('Données projet'!$B$10,Paramètres!$A$1:$I$89,5,0)</f>
        <v>217.80719999999994</v>
      </c>
      <c r="AK69" s="13">
        <f t="shared" ref="AK69:AK132" si="89">EXP(-1.0587+0.8836*LN(AJ69)+0.284)</f>
        <v>53.638013973813976</v>
      </c>
      <c r="AL69" s="20">
        <f t="shared" si="58"/>
        <v>472.76708100439259</v>
      </c>
      <c r="AM69" s="59">
        <f t="shared" si="59"/>
        <v>766.10041433772585</v>
      </c>
      <c r="AN69" s="59">
        <f ca="1">AVERAGE(OFFSET($AM$3,0,0,'Données projet'!$E$10+1,1))-AVERAGE(OFFSET($H$3,0,0,'Données projet'!$E$10+1,1))</f>
        <v>413.81510455446738</v>
      </c>
      <c r="AO69" s="59">
        <f t="shared" ref="AO69:AO132" si="90">$AO$3</f>
        <v>254.25036207346602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14.764231636868864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14.764231636868864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6.8</v>
      </c>
      <c r="BD69" s="12">
        <f>IF('Données projet'!$A$88&gt;35,BD68+BC69-BL68,IF(A69&lt;'Données projet'!$A$88,$BA$205^A69,IF(A69='Données projet'!$A$88,'Données projet'!$B$88,BD68+BC69-BL68)))</f>
        <v>214.79999999999993</v>
      </c>
      <c r="BE69" s="13">
        <f>BD69*VLOOKUP('Données projet'!$B$11,Paramètres!$A$1:$I$89,3,0)*VLOOKUP('Données projet'!$B$11,Paramètres!$A$1:$I$89,5,0)</f>
        <v>207.75455999999994</v>
      </c>
      <c r="BF69" s="13">
        <f t="shared" ref="BF69:BF132" si="91">EXP(-1.0587+0.8836*LN(BE69)+0.284)</f>
        <v>51.444593984782131</v>
      </c>
      <c r="BG69" s="20">
        <f t="shared" si="61"/>
        <v>451.43852652349545</v>
      </c>
      <c r="BH69" s="59">
        <f t="shared" si="62"/>
        <v>744.77185985682877</v>
      </c>
      <c r="BI69" s="59">
        <f ca="1">AVERAGE(OFFSET($BH$3,0,0,'Données projet'!$E$11+1,1))-AVERAGE(OFFSET($H$3,0,0,'Données projet'!$E$11+1,1))</f>
        <v>295.35565287134125</v>
      </c>
      <c r="BJ69" s="59">
        <f t="shared" ref="BJ69:BJ132" si="92">$BJ$3</f>
        <v>244.451492444461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14.08280556132107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14.08280556132107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6.8</v>
      </c>
      <c r="BY69" s="12">
        <f>IF('Données projet'!$A$114&gt;35,BY68+BX69-CG68,IF(A69&lt;'Données projet'!$A$114,$BV$205^A69,IF(A69='Données projet'!$A$114,'Données projet'!$B$114,BY68+BX69-CG68)))</f>
        <v>214.79999999999993</v>
      </c>
      <c r="BZ69" s="13">
        <f>BY69*VLOOKUP('Données projet'!$B$12,Paramètres!$A$1:$I$89,3,0)*VLOOKUP('Données projet'!$B$12,Paramètres!$A$1:$I$89,5,0)</f>
        <v>231.2107199999999</v>
      </c>
      <c r="CA69" s="13">
        <f t="shared" ref="CA69:CA132" si="93">EXP(-1.0587+0.8836*LN(BZ69)+0.284)</f>
        <v>56.544387456445222</v>
      </c>
      <c r="CB69" s="20">
        <f t="shared" si="64"/>
        <v>501.17347881997517</v>
      </c>
      <c r="CC69" s="59">
        <f t="shared" si="65"/>
        <v>794.50681215330849</v>
      </c>
      <c r="CD69" s="59">
        <f ca="1">AVERAGE(OFFSET($CC$3,0,0,'Données projet'!$E$12+1,1))-AVERAGE(OFFSET($H$3,0,0,'Données projet'!$E$12+1,1))</f>
        <v>324.61094137855798</v>
      </c>
      <c r="CE69" s="59">
        <f t="shared" ref="CE69:CE132" si="94">$CE$3</f>
        <v>267.2998309535638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15.672799737599252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15.672799737599252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2.8421709430404007E-13</v>
      </c>
      <c r="CU69" s="17">
        <f>CT69*VLOOKUP('Données projet'!$B$13,Paramètres!$A$1:$I$89,3,0)*VLOOKUP('Données projet'!$B$13,Paramètres!$A$1:$I$89,5,0)</f>
        <v>1.69961822393816E-13</v>
      </c>
      <c r="CV69" s="13">
        <f t="shared" ref="CV69:CV132" si="95">EXP(-1.0587+0.8836*LN(CU69)+0.284)</f>
        <v>2.4004382776176369E-12</v>
      </c>
      <c r="CW69" s="20">
        <f t="shared" si="67"/>
        <v>4.4767801741866136E-12</v>
      </c>
      <c r="CX69" s="59">
        <f t="shared" si="68"/>
        <v>293.33333333333781</v>
      </c>
      <c r="CY69" s="59">
        <f ca="1">AVERAGE(OFFSET($CX$3,0,0,'Données projet'!$E$13+1,1))-AVERAGE(OFFSET($H$3,0,0,'Données projet'!$E$13+1,1))</f>
        <v>319.9010109022521</v>
      </c>
      <c r="CZ69" s="59">
        <f t="shared" ref="CZ69:CZ132" si="96">$CZ$3</f>
        <v>441.82647565372287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107.6457227618417</v>
      </c>
      <c r="DG69" s="21">
        <f>EXP(-LN(2)/25)*DG68+(1-EXP(-LN(2)/25))/(LN(2)/25)*Calculateur!DB69*Calculateur!DD69*VLOOKUP('Données projet'!$B$13,Paramètres!$A$1:$I$89,3,0)*0.475*44/12</f>
        <v>44.133906879669979</v>
      </c>
      <c r="DH69" s="21">
        <f>EXP(-LN(2)/2)*DH68+(1-EXP(-LN(2)/2))/(LN(2)/2)*DB69*DE69*VLOOKUP('Données projet'!$B$13,Paramètres!$A$1:$I$89,3,0)*0.475*44/12</f>
        <v>0.24992827133473106</v>
      </c>
      <c r="DI69" s="22">
        <f t="shared" si="69"/>
        <v>152.02955791284643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>
        <f>DO69*VLOOKUP('Données projet'!$B$14,Paramètres!$A$1:$I$89,3,0)*VLOOKUP('Données projet'!$B$14,Paramètres!$A$1:$I$89,5,0)</f>
        <v>0</v>
      </c>
      <c r="DQ69" s="13" t="e">
        <f t="shared" ref="DQ69:DQ132" si="97">EXP(-1.0587+0.8836*LN(DP69)+0.284)</f>
        <v>#NUM!</v>
      </c>
      <c r="DR69" s="20" t="e">
        <f t="shared" si="70"/>
        <v>#NUM!</v>
      </c>
      <c r="DS69" s="59" t="e">
        <f t="shared" si="71"/>
        <v>#NUM!</v>
      </c>
      <c r="DT69" s="59">
        <f ca="1">AVERAGE(OFFSET($DS$3,0,0,'Données projet'!$E$14+1,1))-AVERAGE(OFFSET($H$3,0,0,'Données projet'!$E$14+1,1))</f>
        <v>229.61973863654862</v>
      </c>
      <c r="DU69" s="59">
        <f t="shared" ref="DU69:DU132" si="98">$DU$3</f>
        <v>254.08208375594052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95.211851560627139</v>
      </c>
      <c r="EB69" s="21">
        <f>EXP(-LN(2)/25)*EB68+(1-EXP(-LN(2)/25))/(LN(2)/25)*Calculateur!DW69*Calculateur!DY69*VLOOKUP('Données projet'!$B$14,Paramètres!$A$1:$I$89,3,0)*0.475*44/12</f>
        <v>42.351806814133319</v>
      </c>
      <c r="EC69" s="21">
        <f>EXP(-LN(2)/2)*EC68+(1-EXP(-LN(2)/2))/(LN(2)/2)*DW69*DZ69*VLOOKUP('Données projet'!$B$14,Paramètres!$A$1:$I$89,3,0)*0.475*44/12</f>
        <v>5.6314781467356321</v>
      </c>
      <c r="ED69" s="22">
        <f t="shared" si="72"/>
        <v>143.1951365214961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6.8</v>
      </c>
      <c r="N70" s="13">
        <f>IF('Données projet'!$A$36&gt;35,N69+M70-V69,IF(A70&lt;'Données projet'!$A$36,$K$205^A70,IF(A70='Données projet'!$A$36,'Données projet'!$B$36,N69+M70-V69)))</f>
        <v>221.59999999999994</v>
      </c>
      <c r="O70" s="13">
        <f>N70*VLOOKUP('Données projet'!$B$9,Paramètres!$A$1:$I$89,3,0)*VLOOKUP('Données projet'!$B$9,Paramètres!$A$1:$I$89,5,0)</f>
        <v>200.50367999999995</v>
      </c>
      <c r="P70" s="13">
        <f t="shared" si="87"/>
        <v>49.854845135229887</v>
      </c>
      <c r="Q70" s="20">
        <f t="shared" si="54"/>
        <v>436.04109794385857</v>
      </c>
      <c r="R70" s="59">
        <f t="shared" si="55"/>
        <v>729.37443127719189</v>
      </c>
      <c r="S70" s="59">
        <f ca="1">AVERAGE(OFFSET($R$3,0,0,'Données projet'!$E$9+1,1))-AVERAGE(OFFSET($H$3,0,0,'Données projet'!$E$9+1,1))</f>
        <v>373.59295497283125</v>
      </c>
      <c r="T70" s="59">
        <f t="shared" si="88"/>
        <v>231.36959598460686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12.915898699479907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12.915898699479907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6.8</v>
      </c>
      <c r="AI70" s="13">
        <f>IF('Données projet'!$A$62&gt;35,AI69+AH70-AQ69,IF(A70&lt;'Données projet'!$A$62,$AF$205^A70,IF(A70='Données projet'!$A$62,'Données projet'!$B$62,AI69+AH70-AQ69)))</f>
        <v>221.59999999999994</v>
      </c>
      <c r="AJ70" s="13">
        <f>AI70*VLOOKUP('Données projet'!$B$10,Paramètres!$A$1:$I$89,3,0)*VLOOKUP('Données projet'!$B$10,Paramètres!$A$1:$I$89,5,0)</f>
        <v>224.70239999999995</v>
      </c>
      <c r="AK70" s="13">
        <f t="shared" si="89"/>
        <v>55.135667706678262</v>
      </c>
      <c r="AL70" s="20">
        <f t="shared" si="58"/>
        <v>487.38463458913128</v>
      </c>
      <c r="AM70" s="59">
        <f t="shared" si="59"/>
        <v>780.7179679224646</v>
      </c>
      <c r="AN70" s="59">
        <f ca="1">AVERAGE(OFFSET($AM$3,0,0,'Données projet'!$E$10+1,1))-AVERAGE(OFFSET($H$3,0,0,'Données projet'!$E$10+1,1))</f>
        <v>413.81510455446738</v>
      </c>
      <c r="AO70" s="59">
        <f t="shared" si="90"/>
        <v>254.25036207346602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14.474714059761965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14.474714059761965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6.8</v>
      </c>
      <c r="BD70" s="12">
        <f>IF('Données projet'!$A$88&gt;35,BD69+BC70-BL69,IF(A70&lt;'Données projet'!$A$88,$BA$205^A70,IF(A70='Données projet'!$A$88,'Données projet'!$B$88,BD69+BC70-BL69)))</f>
        <v>221.59999999999994</v>
      </c>
      <c r="BE70" s="13">
        <f>BD70*VLOOKUP('Données projet'!$B$11,Paramètres!$A$1:$I$89,3,0)*VLOOKUP('Données projet'!$B$11,Paramètres!$A$1:$I$89,5,0)</f>
        <v>214.33151999999995</v>
      </c>
      <c r="BF70" s="13">
        <f t="shared" si="91"/>
        <v>52.881004144461244</v>
      </c>
      <c r="BG70" s="20">
        <f t="shared" si="61"/>
        <v>465.39514621826993</v>
      </c>
      <c r="BH70" s="59">
        <f t="shared" si="62"/>
        <v>758.72847955160319</v>
      </c>
      <c r="BI70" s="59">
        <f ca="1">AVERAGE(OFFSET($BH$3,0,0,'Données projet'!$E$11+1,1))-AVERAGE(OFFSET($H$3,0,0,'Données projet'!$E$11+1,1))</f>
        <v>295.35565287134125</v>
      </c>
      <c r="BJ70" s="59">
        <f t="shared" si="92"/>
        <v>244.451492444461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13.806650333926797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13.806650333926797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6.8</v>
      </c>
      <c r="BY70" s="12">
        <f>IF('Données projet'!$A$114&gt;35,BY69+BX70-CG69,IF(A70&lt;'Données projet'!$A$114,$BV$205^A70,IF(A70='Données projet'!$A$114,'Données projet'!$B$114,BY69+BX70-CG69)))</f>
        <v>221.59999999999994</v>
      </c>
      <c r="BZ70" s="13">
        <f>BY70*VLOOKUP('Données projet'!$B$12,Paramètres!$A$1:$I$89,3,0)*VLOOKUP('Données projet'!$B$12,Paramètres!$A$1:$I$89,5,0)</f>
        <v>238.53023999999991</v>
      </c>
      <c r="CA70" s="13">
        <f t="shared" si="93"/>
        <v>58.123191492478547</v>
      </c>
      <c r="CB70" s="20">
        <f t="shared" si="64"/>
        <v>516.67139318273325</v>
      </c>
      <c r="CC70" s="59">
        <f t="shared" si="65"/>
        <v>810.00472651606651</v>
      </c>
      <c r="CD70" s="59">
        <f ca="1">AVERAGE(OFFSET($CC$3,0,0,'Données projet'!$E$12+1,1))-AVERAGE(OFFSET($H$3,0,0,'Données projet'!$E$12+1,1))</f>
        <v>324.61094137855798</v>
      </c>
      <c r="CE70" s="59">
        <f t="shared" si="94"/>
        <v>267.2998309535638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15.365465694208853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15.365465694208853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2.8421709430404007E-13</v>
      </c>
      <c r="CU70" s="17">
        <f>CT70*VLOOKUP('Données projet'!$B$13,Paramètres!$A$1:$I$89,3,0)*VLOOKUP('Données projet'!$B$13,Paramètres!$A$1:$I$89,5,0)</f>
        <v>1.69961822393816E-13</v>
      </c>
      <c r="CV70" s="13">
        <f t="shared" si="95"/>
        <v>2.4004382776176369E-12</v>
      </c>
      <c r="CW70" s="20">
        <f t="shared" si="67"/>
        <v>4.4767801741866136E-12</v>
      </c>
      <c r="CX70" s="59">
        <f t="shared" si="68"/>
        <v>293.33333333333781</v>
      </c>
      <c r="CY70" s="59">
        <f ca="1">AVERAGE(OFFSET($CX$3,0,0,'Données projet'!$E$13+1,1))-AVERAGE(OFFSET($H$3,0,0,'Données projet'!$E$13+1,1))</f>
        <v>319.9010109022521</v>
      </c>
      <c r="CZ70" s="59">
        <f t="shared" si="96"/>
        <v>441.82647565372287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105.53485579588974</v>
      </c>
      <c r="DG70" s="21">
        <f>EXP(-LN(2)/25)*DG69+(1-EXP(-LN(2)/25))/(LN(2)/25)*Calculateur!DB70*Calculateur!DD70*VLOOKUP('Données projet'!$B$13,Paramètres!$A$1:$I$89,3,0)*0.475*44/12</f>
        <v>42.927062875144109</v>
      </c>
      <c r="DH70" s="21">
        <f>EXP(-LN(2)/2)*DH69+(1-EXP(-LN(2)/2))/(LN(2)/2)*DB70*DE70*VLOOKUP('Données projet'!$B$13,Paramètres!$A$1:$I$89,3,0)*0.475*44/12</f>
        <v>0.17672597547101976</v>
      </c>
      <c r="DI70" s="22">
        <f t="shared" si="69"/>
        <v>148.63864464650487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>
        <f>DO70*VLOOKUP('Données projet'!$B$14,Paramètres!$A$1:$I$89,3,0)*VLOOKUP('Données projet'!$B$14,Paramètres!$A$1:$I$89,5,0)</f>
        <v>0</v>
      </c>
      <c r="DQ70" s="13" t="e">
        <f t="shared" si="97"/>
        <v>#NUM!</v>
      </c>
      <c r="DR70" s="20" t="e">
        <f t="shared" si="70"/>
        <v>#NUM!</v>
      </c>
      <c r="DS70" s="59" t="e">
        <f t="shared" si="71"/>
        <v>#NUM!</v>
      </c>
      <c r="DT70" s="59">
        <f ca="1">AVERAGE(OFFSET($DS$3,0,0,'Données projet'!$E$14+1,1))-AVERAGE(OFFSET($H$3,0,0,'Données projet'!$E$14+1,1))</f>
        <v>229.61973863654862</v>
      </c>
      <c r="DU70" s="59">
        <f t="shared" si="98"/>
        <v>254.08208375594052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93.344805225018405</v>
      </c>
      <c r="EB70" s="21">
        <f>EXP(-LN(2)/25)*EB69+(1-EXP(-LN(2)/25))/(LN(2)/25)*Calculateur!DW70*Calculateur!DY70*VLOOKUP('Données projet'!$B$14,Paramètres!$A$1:$I$89,3,0)*0.475*44/12</f>
        <v>41.193694429616116</v>
      </c>
      <c r="EC70" s="21">
        <f>EXP(-LN(2)/2)*EC69+(1-EXP(-LN(2)/2))/(LN(2)/2)*DW70*DZ70*VLOOKUP('Données projet'!$B$14,Paramètres!$A$1:$I$89,3,0)*0.475*44/12</f>
        <v>3.9820563856606168</v>
      </c>
      <c r="ED70" s="22">
        <f t="shared" si="72"/>
        <v>138.52055604029513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6.8</v>
      </c>
      <c r="N71" s="13">
        <f>IF('Données projet'!$A$36&gt;35,N70+M71-V70,IF(A71&lt;'Données projet'!$A$36,$K$205^A71,IF(A71='Données projet'!$A$36,'Données projet'!$B$36,N70+M71-V70)))</f>
        <v>228.39999999999995</v>
      </c>
      <c r="O71" s="13">
        <f>N71*VLOOKUP('Données projet'!$B$9,Paramètres!$A$1:$I$89,3,0)*VLOOKUP('Données projet'!$B$9,Paramètres!$A$1:$I$89,5,0)</f>
        <v>206.65631999999994</v>
      </c>
      <c r="P71" s="13">
        <f t="shared" si="87"/>
        <v>51.20422634371338</v>
      </c>
      <c r="Q71" s="20">
        <f t="shared" si="54"/>
        <v>449.10711821530072</v>
      </c>
      <c r="R71" s="59">
        <f t="shared" si="55"/>
        <v>742.44045154863397</v>
      </c>
      <c r="S71" s="59">
        <f ca="1">AVERAGE(OFFSET($R$3,0,0,'Données projet'!$E$9+1,1))-AVERAGE(OFFSET($H$3,0,0,'Données projet'!$E$9+1,1))</f>
        <v>373.59295497283125</v>
      </c>
      <c r="T71" s="59">
        <f t="shared" si="88"/>
        <v>231.36959598460686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12.662625803903433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12.662625803903433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6.8</v>
      </c>
      <c r="AI71" s="13">
        <f>IF('Données projet'!$A$62&gt;35,AI70+AH71-AQ70,IF(A71&lt;'Données projet'!$A$62,$AF$205^A71,IF(A71='Données projet'!$A$62,'Données projet'!$B$62,AI70+AH71-AQ70)))</f>
        <v>228.39999999999995</v>
      </c>
      <c r="AJ71" s="13">
        <f>AI71*VLOOKUP('Données projet'!$B$10,Paramètres!$A$1:$I$89,3,0)*VLOOKUP('Données projet'!$B$10,Paramètres!$A$1:$I$89,5,0)</f>
        <v>231.59759999999997</v>
      </c>
      <c r="AK71" s="13">
        <f t="shared" si="89"/>
        <v>56.627980714948151</v>
      </c>
      <c r="AL71" s="20">
        <f t="shared" si="58"/>
        <v>501.99288641186791</v>
      </c>
      <c r="AM71" s="59">
        <f t="shared" si="59"/>
        <v>795.32621974520123</v>
      </c>
      <c r="AN71" s="59">
        <f ca="1">AVERAGE(OFFSET($AM$3,0,0,'Données projet'!$E$10+1,1))-AVERAGE(OFFSET($H$3,0,0,'Données projet'!$E$10+1,1))</f>
        <v>413.81510455446738</v>
      </c>
      <c r="AO71" s="59">
        <f t="shared" si="90"/>
        <v>254.25036207346602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14.190873745753848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14.190873745753848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6.8</v>
      </c>
      <c r="BD71" s="12">
        <f>IF('Données projet'!$A$88&gt;35,BD70+BC71-BL70,IF(A71&lt;'Données projet'!$A$88,$BA$205^A71,IF(A71='Données projet'!$A$88,'Données projet'!$B$88,BD70+BC71-BL70)))</f>
        <v>228.39999999999995</v>
      </c>
      <c r="BE71" s="13">
        <f>BD71*VLOOKUP('Données projet'!$B$11,Paramètres!$A$1:$I$89,3,0)*VLOOKUP('Données projet'!$B$11,Paramètres!$A$1:$I$89,5,0)</f>
        <v>220.90847999999997</v>
      </c>
      <c r="BF71" s="13">
        <f t="shared" si="91"/>
        <v>54.312291977864817</v>
      </c>
      <c r="BG71" s="20">
        <f t="shared" si="61"/>
        <v>479.34284452811448</v>
      </c>
      <c r="BH71" s="59">
        <f t="shared" si="62"/>
        <v>772.67617786144774</v>
      </c>
      <c r="BI71" s="59">
        <f ca="1">AVERAGE(OFFSET($BH$3,0,0,'Données projet'!$E$11+1,1))-AVERAGE(OFFSET($H$3,0,0,'Données projet'!$E$11+1,1))</f>
        <v>295.35565287134125</v>
      </c>
      <c r="BJ71" s="59">
        <f t="shared" si="92"/>
        <v>244.451492444461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13.535910342103669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13.535910342103669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6.8</v>
      </c>
      <c r="BY71" s="12">
        <f>IF('Données projet'!$A$114&gt;35,BY70+BX71-CG70,IF(A71&lt;'Données projet'!$A$114,$BV$205^A71,IF(A71='Données projet'!$A$114,'Données projet'!$B$114,BY70+BX71-CG70)))</f>
        <v>228.39999999999995</v>
      </c>
      <c r="BZ71" s="13">
        <f>BY71*VLOOKUP('Données projet'!$B$12,Paramètres!$A$1:$I$89,3,0)*VLOOKUP('Données projet'!$B$12,Paramètres!$A$1:$I$89,5,0)</f>
        <v>245.84975999999992</v>
      </c>
      <c r="CA71" s="13">
        <f t="shared" si="93"/>
        <v>59.696365416984804</v>
      </c>
      <c r="CB71" s="20">
        <f t="shared" si="64"/>
        <v>532.15950176791512</v>
      </c>
      <c r="CC71" s="59">
        <f t="shared" si="65"/>
        <v>825.49283510124837</v>
      </c>
      <c r="CD71" s="59">
        <f ca="1">AVERAGE(OFFSET($CC$3,0,0,'Données projet'!$E$12+1,1))-AVERAGE(OFFSET($H$3,0,0,'Données projet'!$E$12+1,1))</f>
        <v>324.61094137855798</v>
      </c>
      <c r="CE71" s="59">
        <f t="shared" si="94"/>
        <v>267.2998309535638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15.064158283954081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15.064158283954081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2.8421709430404007E-13</v>
      </c>
      <c r="CU71" s="17">
        <f>CT71*VLOOKUP('Données projet'!$B$13,Paramètres!$A$1:$I$89,3,0)*VLOOKUP('Données projet'!$B$13,Paramètres!$A$1:$I$89,5,0)</f>
        <v>1.69961822393816E-13</v>
      </c>
      <c r="CV71" s="13">
        <f t="shared" si="95"/>
        <v>2.4004382776176369E-12</v>
      </c>
      <c r="CW71" s="20">
        <f t="shared" si="67"/>
        <v>4.4767801741866136E-12</v>
      </c>
      <c r="CX71" s="59">
        <f t="shared" si="68"/>
        <v>293.33333333333781</v>
      </c>
      <c r="CY71" s="59">
        <f ca="1">AVERAGE(OFFSET($CX$3,0,0,'Données projet'!$E$13+1,1))-AVERAGE(OFFSET($H$3,0,0,'Données projet'!$E$13+1,1))</f>
        <v>319.9010109022521</v>
      </c>
      <c r="CZ71" s="59">
        <f t="shared" si="96"/>
        <v>441.82647565372287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103.46538164363838</v>
      </c>
      <c r="DG71" s="21">
        <f>EXP(-LN(2)/25)*DG70+(1-EXP(-LN(2)/25))/(LN(2)/25)*Calculateur!DB71*Calculateur!DD71*VLOOKUP('Données projet'!$B$13,Paramètres!$A$1:$I$89,3,0)*0.475*44/12</f>
        <v>41.75322008338717</v>
      </c>
      <c r="DH71" s="21">
        <f>EXP(-LN(2)/2)*DH70+(1-EXP(-LN(2)/2))/(LN(2)/2)*DB71*DE71*VLOOKUP('Données projet'!$B$13,Paramètres!$A$1:$I$89,3,0)*0.475*44/12</f>
        <v>0.12496413566736554</v>
      </c>
      <c r="DI71" s="22">
        <f t="shared" si="69"/>
        <v>145.34356586269291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>
        <f>DO71*VLOOKUP('Données projet'!$B$14,Paramètres!$A$1:$I$89,3,0)*VLOOKUP('Données projet'!$B$14,Paramètres!$A$1:$I$89,5,0)</f>
        <v>0</v>
      </c>
      <c r="DQ71" s="13" t="e">
        <f t="shared" si="97"/>
        <v>#NUM!</v>
      </c>
      <c r="DR71" s="20" t="e">
        <f t="shared" si="70"/>
        <v>#NUM!</v>
      </c>
      <c r="DS71" s="59" t="e">
        <f t="shared" si="71"/>
        <v>#NUM!</v>
      </c>
      <c r="DT71" s="59">
        <f ca="1">AVERAGE(OFFSET($DS$3,0,0,'Données projet'!$E$14+1,1))-AVERAGE(OFFSET($H$3,0,0,'Données projet'!$E$14+1,1))</f>
        <v>229.61973863654862</v>
      </c>
      <c r="DU71" s="59">
        <f t="shared" si="98"/>
        <v>254.08208375594052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91.51437052926515</v>
      </c>
      <c r="EB71" s="21">
        <f>EXP(-LN(2)/25)*EB70+(1-EXP(-LN(2)/25))/(LN(2)/25)*Calculateur!DW71*Calculateur!DY71*VLOOKUP('Données projet'!$B$14,Paramètres!$A$1:$I$89,3,0)*0.475*44/12</f>
        <v>40.067250689156026</v>
      </c>
      <c r="EC71" s="21">
        <f>EXP(-LN(2)/2)*EC70+(1-EXP(-LN(2)/2))/(LN(2)/2)*DW71*DZ71*VLOOKUP('Données projet'!$B$14,Paramètres!$A$1:$I$89,3,0)*0.475*44/12</f>
        <v>2.8157390733678165</v>
      </c>
      <c r="ED71" s="22">
        <f t="shared" si="72"/>
        <v>134.39736029178897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6.8</v>
      </c>
      <c r="N72" s="13">
        <f>IF('Données projet'!$A$36&gt;35,N71+M72-V71,IF(A72&lt;'Données projet'!$A$36,$K$205^A72,IF(A72='Données projet'!$A$36,'Données projet'!$B$36,N71+M72-V71)))</f>
        <v>235.19999999999996</v>
      </c>
      <c r="O72" s="13">
        <f>N72*VLOOKUP('Données projet'!$B$9,Paramètres!$A$1:$I$89,3,0)*VLOOKUP('Données projet'!$B$9,Paramètres!$A$1:$I$89,5,0)</f>
        <v>212.80895999999996</v>
      </c>
      <c r="P72" s="13">
        <f t="shared" si="87"/>
        <v>52.548938637485847</v>
      </c>
      <c r="Q72" s="20">
        <f t="shared" si="54"/>
        <v>462.16500679362099</v>
      </c>
      <c r="R72" s="59">
        <f t="shared" si="55"/>
        <v>755.4983401269543</v>
      </c>
      <c r="S72" s="59">
        <f ca="1">AVERAGE(OFFSET($R$3,0,0,'Données projet'!$E$9+1,1))-AVERAGE(OFFSET($H$3,0,0,'Données projet'!$E$9+1,1))</f>
        <v>373.59295497283125</v>
      </c>
      <c r="T72" s="59">
        <f t="shared" si="88"/>
        <v>231.36959598460686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12.414319435328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12.414319435328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6.8</v>
      </c>
      <c r="AI72" s="13">
        <f>IF('Données projet'!$A$62&gt;35,AI71+AH72-AQ71,IF(A72&lt;'Données projet'!$A$62,$AF$205^A72,IF(A72='Données projet'!$A$62,'Données projet'!$B$62,AI71+AH72-AQ71)))</f>
        <v>235.19999999999996</v>
      </c>
      <c r="AJ72" s="13">
        <f>AI72*VLOOKUP('Données projet'!$B$10,Paramètres!$A$1:$I$89,3,0)*VLOOKUP('Données projet'!$B$10,Paramètres!$A$1:$I$89,5,0)</f>
        <v>238.49279999999996</v>
      </c>
      <c r="AK72" s="13">
        <f t="shared" si="89"/>
        <v>58.115130258576542</v>
      </c>
      <c r="AL72" s="20">
        <f t="shared" si="58"/>
        <v>516.59214520035414</v>
      </c>
      <c r="AM72" s="59">
        <f t="shared" si="59"/>
        <v>809.92547853368751</v>
      </c>
      <c r="AN72" s="59">
        <f ca="1">AVERAGE(OFFSET($AM$3,0,0,'Données projet'!$E$10+1,1))-AVERAGE(OFFSET($H$3,0,0,'Données projet'!$E$10+1,1))</f>
        <v>413.81510455446738</v>
      </c>
      <c r="AO72" s="59">
        <f t="shared" si="90"/>
        <v>254.25036207346602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13.912599367177933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13.912599367177933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6.8</v>
      </c>
      <c r="BD72" s="12">
        <f>IF('Données projet'!$A$88&gt;35,BD71+BC72-BL71,IF(A72&lt;'Données projet'!$A$88,$BA$205^A72,IF(A72='Données projet'!$A$88,'Données projet'!$B$88,BD71+BC72-BL71)))</f>
        <v>235.19999999999996</v>
      </c>
      <c r="BE72" s="13">
        <f>BD72*VLOOKUP('Données projet'!$B$11,Paramètres!$A$1:$I$89,3,0)*VLOOKUP('Données projet'!$B$11,Paramètres!$A$1:$I$89,5,0)</f>
        <v>227.48543999999998</v>
      </c>
      <c r="BF72" s="13">
        <f t="shared" si="91"/>
        <v>55.738627496252377</v>
      </c>
      <c r="BG72" s="20">
        <f t="shared" si="61"/>
        <v>493.28191755597277</v>
      </c>
      <c r="BH72" s="59">
        <f t="shared" si="62"/>
        <v>786.61525088930603</v>
      </c>
      <c r="BI72" s="59">
        <f ca="1">AVERAGE(OFFSET($BH$3,0,0,'Données projet'!$E$11+1,1))-AVERAGE(OFFSET($H$3,0,0,'Données projet'!$E$11+1,1))</f>
        <v>295.35565287134125</v>
      </c>
      <c r="BJ72" s="59">
        <f t="shared" si="92"/>
        <v>244.451492444461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13.270479396385104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13.270479396385104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6.8</v>
      </c>
      <c r="BY72" s="12">
        <f>IF('Données projet'!$A$114&gt;35,BY71+BX72-CG71,IF(A72&lt;'Données projet'!$A$114,$BV$205^A72,IF(A72='Données projet'!$A$114,'Données projet'!$B$114,BY71+BX72-CG71)))</f>
        <v>235.19999999999996</v>
      </c>
      <c r="BZ72" s="13">
        <f>BY72*VLOOKUP('Données projet'!$B$12,Paramètres!$A$1:$I$89,3,0)*VLOOKUP('Données projet'!$B$12,Paramètres!$A$1:$I$89,5,0)</f>
        <v>253.16927999999993</v>
      </c>
      <c r="CA72" s="13">
        <f t="shared" si="93"/>
        <v>61.264096094739799</v>
      </c>
      <c r="CB72" s="20">
        <f t="shared" si="64"/>
        <v>547.63813003167172</v>
      </c>
      <c r="CC72" s="59">
        <f t="shared" si="65"/>
        <v>840.97146336500509</v>
      </c>
      <c r="CD72" s="59">
        <f ca="1">AVERAGE(OFFSET($CC$3,0,0,'Données projet'!$E$12+1,1))-AVERAGE(OFFSET($H$3,0,0,'Données projet'!$E$12+1,1))</f>
        <v>324.61094137855798</v>
      </c>
      <c r="CE72" s="59">
        <f t="shared" si="94"/>
        <v>267.2998309535638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14.768759328235031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14.768759328235031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2.8421709430404007E-13</v>
      </c>
      <c r="CU72" s="17">
        <f>CT72*VLOOKUP('Données projet'!$B$13,Paramètres!$A$1:$I$89,3,0)*VLOOKUP('Données projet'!$B$13,Paramètres!$A$1:$I$89,5,0)</f>
        <v>1.69961822393816E-13</v>
      </c>
      <c r="CV72" s="13">
        <f t="shared" si="95"/>
        <v>2.4004382776176369E-12</v>
      </c>
      <c r="CW72" s="20">
        <f t="shared" si="67"/>
        <v>4.4767801741866136E-12</v>
      </c>
      <c r="CX72" s="59">
        <f t="shared" si="68"/>
        <v>293.33333333333781</v>
      </c>
      <c r="CY72" s="59">
        <f ca="1">AVERAGE(OFFSET($CX$3,0,0,'Données projet'!$E$13+1,1))-AVERAGE(OFFSET($H$3,0,0,'Données projet'!$E$13+1,1))</f>
        <v>319.9010109022521</v>
      </c>
      <c r="CZ72" s="59">
        <f t="shared" si="96"/>
        <v>441.82647565372287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101.43648861725808</v>
      </c>
      <c r="DG72" s="21">
        <f>EXP(-LN(2)/25)*DG71+(1-EXP(-LN(2)/25))/(LN(2)/25)*Calculateur!DB72*Calculateur!DD72*VLOOKUP('Données projet'!$B$13,Paramètres!$A$1:$I$89,3,0)*0.475*44/12</f>
        <v>40.611476084500531</v>
      </c>
      <c r="DH72" s="21">
        <f>EXP(-LN(2)/2)*DH71+(1-EXP(-LN(2)/2))/(LN(2)/2)*DB72*DE72*VLOOKUP('Données projet'!$B$13,Paramètres!$A$1:$I$89,3,0)*0.475*44/12</f>
        <v>8.8362987735509893E-2</v>
      </c>
      <c r="DI72" s="22">
        <f t="shared" si="69"/>
        <v>142.13632768949412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>
        <f>DO72*VLOOKUP('Données projet'!$B$14,Paramètres!$A$1:$I$89,3,0)*VLOOKUP('Données projet'!$B$14,Paramètres!$A$1:$I$89,5,0)</f>
        <v>0</v>
      </c>
      <c r="DQ72" s="13" t="e">
        <f t="shared" si="97"/>
        <v>#NUM!</v>
      </c>
      <c r="DR72" s="20" t="e">
        <f t="shared" si="70"/>
        <v>#NUM!</v>
      </c>
      <c r="DS72" s="59" t="e">
        <f t="shared" si="71"/>
        <v>#NUM!</v>
      </c>
      <c r="DT72" s="59">
        <f ca="1">AVERAGE(OFFSET($DS$3,0,0,'Données projet'!$E$14+1,1))-AVERAGE(OFFSET($H$3,0,0,'Données projet'!$E$14+1,1))</f>
        <v>229.61973863654862</v>
      </c>
      <c r="DU72" s="59">
        <f t="shared" si="98"/>
        <v>254.08208375594052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89.719829541440689</v>
      </c>
      <c r="EB72" s="21">
        <f>EXP(-LN(2)/25)*EB71+(1-EXP(-LN(2)/25))/(LN(2)/25)*Calculateur!DW72*Calculateur!DY72*VLOOKUP('Données projet'!$B$14,Paramètres!$A$1:$I$89,3,0)*0.475*44/12</f>
        <v>38.971609612015918</v>
      </c>
      <c r="EC72" s="21">
        <f>EXP(-LN(2)/2)*EC71+(1-EXP(-LN(2)/2))/(LN(2)/2)*DW72*DZ72*VLOOKUP('Données projet'!$B$14,Paramètres!$A$1:$I$89,3,0)*0.475*44/12</f>
        <v>1.9910281928303089</v>
      </c>
      <c r="ED72" s="22">
        <f t="shared" si="72"/>
        <v>130.6824673462869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242</v>
      </c>
      <c r="L73" s="12">
        <f>VLOOKUP(A73,'Données projet'!$A$35:$I$55,9,0)</f>
        <v>6.8</v>
      </c>
      <c r="M73" s="12">
        <f t="array" ref="M73">INDEX(L:L,MIN(IF(ISNUMBER(L73:L269),ROW(L73:L269),"")))</f>
        <v>6.8</v>
      </c>
      <c r="N73" s="13">
        <f>IF('Données projet'!$A$36&gt;35,N72+M73-V72,IF(A73&lt;'Données projet'!$A$36,$K$205^A73,IF(A73='Données projet'!$A$36,'Données projet'!$B$36,N72+M73-V72)))</f>
        <v>241.99999999999997</v>
      </c>
      <c r="O73" s="13">
        <f>N73*VLOOKUP('Données projet'!$B$9,Paramètres!$A$1:$I$89,3,0)*VLOOKUP('Données projet'!$B$9,Paramètres!$A$1:$I$89,5,0)</f>
        <v>218.96159999999998</v>
      </c>
      <c r="P73" s="13">
        <f t="shared" si="87"/>
        <v>53.88913250370743</v>
      </c>
      <c r="Q73" s="20">
        <f t="shared" si="54"/>
        <v>475.21502577729035</v>
      </c>
      <c r="R73" s="59">
        <f t="shared" si="55"/>
        <v>768.54835911062366</v>
      </c>
      <c r="S73" s="59">
        <f ca="1">AVERAGE(OFFSET($R$3,0,0,'Données projet'!$E$9+1,1))-AVERAGE(OFFSET($H$3,0,0,'Données projet'!$E$9+1,1))</f>
        <v>373.59295497283125</v>
      </c>
      <c r="T73" s="59">
        <f t="shared" si="88"/>
        <v>231.36959598460686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21</v>
      </c>
      <c r="W73" s="16">
        <f>IF(ISNA(VLOOKUP(A73,'Données projet'!$A$35:$I$55,5,0)),0%,VLOOKUP(A73,'Données projet'!$A$35:$I$55,5,0)*VLOOKUP('Données projet'!$B$9,Paramètres!$A$1:$I$89,7,0))</f>
        <v>0.215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16.686918844485781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16.686918844485781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242</v>
      </c>
      <c r="AG73" s="12">
        <f>VLOOKUP(A73,'Données projet'!$A$61:$I$81,9,0)</f>
        <v>6.8</v>
      </c>
      <c r="AH73" s="12">
        <f t="array" ref="AH73">INDEX(AG:AG,MIN(IF(ISNUMBER(AG73:AG269),ROW(AG73:AG269),"")))</f>
        <v>6.8</v>
      </c>
      <c r="AI73" s="13">
        <f>IF('Données projet'!$A$62&gt;35,AI72+AH73-AQ72,IF(A73&lt;'Données projet'!$A$62,$AF$205^A73,IF(A73='Données projet'!$A$62,'Données projet'!$B$62,AI72+AH73-AQ72)))</f>
        <v>241.99999999999997</v>
      </c>
      <c r="AJ73" s="13">
        <f>AI73*VLOOKUP('Données projet'!$B$10,Paramètres!$A$1:$I$89,3,0)*VLOOKUP('Données projet'!$B$10,Paramètres!$A$1:$I$89,5,0)</f>
        <v>245.38799999999998</v>
      </c>
      <c r="AK73" s="13">
        <f t="shared" si="89"/>
        <v>59.597282764919569</v>
      </c>
      <c r="AL73" s="20">
        <f t="shared" si="58"/>
        <v>531.18270081556818</v>
      </c>
      <c r="AM73" s="59">
        <f t="shared" si="59"/>
        <v>824.51603414890155</v>
      </c>
      <c r="AN73" s="59">
        <f ca="1">AVERAGE(OFFSET($AM$3,0,0,'Données projet'!$E$10+1,1))-AVERAGE(OFFSET($H$3,0,0,'Données projet'!$E$10+1,1))</f>
        <v>413.81510455446738</v>
      </c>
      <c r="AO73" s="59">
        <f t="shared" si="90"/>
        <v>254.25036207346602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21</v>
      </c>
      <c r="AR73" s="16">
        <f>IF(ISNA(VLOOKUP(A73,'Données projet'!$A$61:$I$81,5,0)),0%,VLOOKUP(A73,'Données projet'!$A$61:$I$81,5,0)*VLOOKUP('Données projet'!$B$10,Paramètres!$A$1:$I$89,7,0))</f>
        <v>0.215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18.700857325716829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18.700857325716829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242</v>
      </c>
      <c r="BB73" s="12">
        <f>VLOOKUP(A73,'Données projet'!$A$87:$I$107,9,0)</f>
        <v>6.8</v>
      </c>
      <c r="BC73" s="12">
        <f t="array" ref="BC73">INDEX(BB:BB,MIN(IF(ISNUMBER(BB73:BB269),ROW(BB73:BB269),"")))</f>
        <v>6.8</v>
      </c>
      <c r="BD73" s="12">
        <f>IF('Données projet'!$A$88&gt;35,BD72+BC73-BL72,IF(A73&lt;'Données projet'!$A$88,$BA$205^A73,IF(A73='Données projet'!$A$88,'Données projet'!$B$88,BD72+BC73-BL72)))</f>
        <v>241.99999999999997</v>
      </c>
      <c r="BE73" s="13">
        <f>BD73*VLOOKUP('Données projet'!$B$11,Paramètres!$A$1:$I$89,3,0)*VLOOKUP('Données projet'!$B$11,Paramètres!$A$1:$I$89,5,0)</f>
        <v>234.0624</v>
      </c>
      <c r="BF73" s="13">
        <f t="shared" si="91"/>
        <v>57.16017032126387</v>
      </c>
      <c r="BG73" s="20">
        <f t="shared" si="61"/>
        <v>507.21264330953454</v>
      </c>
      <c r="BH73" s="59">
        <f t="shared" si="62"/>
        <v>800.5459766428678</v>
      </c>
      <c r="BI73" s="59">
        <f ca="1">AVERAGE(OFFSET($BH$3,0,0,'Données projet'!$E$11+1,1))-AVERAGE(OFFSET($H$3,0,0,'Données projet'!$E$11+1,1))</f>
        <v>295.35565287134125</v>
      </c>
      <c r="BJ73" s="59">
        <f t="shared" si="92"/>
        <v>244.451492444461</v>
      </c>
      <c r="BK73" s="15">
        <f>IF(ISNA(VLOOKUP(A73,'Données projet'!$A$87:$I$107,3,0)),0,VLOOKUP(A73,'Données projet'!$A$87:$I$107,3,0))</f>
        <v>11</v>
      </c>
      <c r="BL73" s="15">
        <f>IF(ISNA(VLOOKUP(A73,'Données projet'!$A$87:$I$107,4,0)),0,VLOOKUP(A73,'Données projet'!$A$87:$I$107,4,0))</f>
        <v>21</v>
      </c>
      <c r="BM73" s="16">
        <f>IF(ISNA(VLOOKUP(A73,'Données projet'!$A$87:$I$107,5,0)),0%,VLOOKUP(A73,'Données projet'!$A$87:$I$107,5,0)*VLOOKUP('Données projet'!$B$11,Paramètres!$A$1:$I$89,7,0))</f>
        <v>0.215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17.837740833760666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17.837740833760666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242</v>
      </c>
      <c r="BW73" s="12">
        <f>VLOOKUP(A73,'Données projet'!$A$113:$I$133,9,0)</f>
        <v>6.8</v>
      </c>
      <c r="BX73" s="12">
        <f t="array" ref="BX73">INDEX(BW:BW,MIN(IF(ISNUMBER(BW73:BW269),ROW(BW73:BW269),"")))</f>
        <v>6.8</v>
      </c>
      <c r="BY73" s="12">
        <f>IF('Données projet'!$A$114&gt;35,BY72+BX73-CG72,IF(A73&lt;'Données projet'!$A$114,$BV$205^A73,IF(A73='Données projet'!$A$114,'Données projet'!$B$114,BY72+BX73-CG72)))</f>
        <v>241.99999999999997</v>
      </c>
      <c r="BZ73" s="13">
        <f>BY73*VLOOKUP('Données projet'!$B$12,Paramètres!$A$1:$I$89,3,0)*VLOOKUP('Données projet'!$B$12,Paramètres!$A$1:$I$89,5,0)</f>
        <v>260.48879999999997</v>
      </c>
      <c r="CA73" s="13">
        <f t="shared" si="93"/>
        <v>62.826558970958821</v>
      </c>
      <c r="CB73" s="20">
        <f t="shared" si="64"/>
        <v>563.10758354108657</v>
      </c>
      <c r="CC73" s="59">
        <f t="shared" si="65"/>
        <v>856.44091687441983</v>
      </c>
      <c r="CD73" s="59">
        <f ca="1">AVERAGE(OFFSET($CC$3,0,0,'Données projet'!$E$12+1,1))-AVERAGE(OFFSET($H$3,0,0,'Données projet'!$E$12+1,1))</f>
        <v>324.61094137855798</v>
      </c>
      <c r="CE73" s="59">
        <f t="shared" si="94"/>
        <v>267.2998309535638</v>
      </c>
      <c r="CF73" s="15">
        <f>IF(ISNA(VLOOKUP(A73,'Données projet'!$A$113:$I$133,3,0)),0,VLOOKUP(A73,'Données projet'!$A$113:$I$133,3,0))</f>
        <v>11</v>
      </c>
      <c r="CG73" s="15">
        <f>IF(ISNA(VLOOKUP(A73,'Données projet'!$A$113:$I$133,4,0)),0,VLOOKUP(A73,'Données projet'!$A$113:$I$133,4,0))</f>
        <v>21</v>
      </c>
      <c r="CH73" s="16">
        <f>IF(ISNA(VLOOKUP(A73,'Données projet'!$A$113:$I$133,5,0)),0%,VLOOKUP(A73,'Données projet'!$A$113:$I$133,5,0)*VLOOKUP('Données projet'!$B$12,Paramètres!$A$1:$I$89,7,0))</f>
        <v>0.215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19.851679314991706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19.851679314991706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2.8421709430404007E-13</v>
      </c>
      <c r="CU73" s="17">
        <f>CT73*VLOOKUP('Données projet'!$B$13,Paramètres!$A$1:$I$89,3,0)*VLOOKUP('Données projet'!$B$13,Paramètres!$A$1:$I$89,5,0)</f>
        <v>1.69961822393816E-13</v>
      </c>
      <c r="CV73" s="13">
        <f t="shared" si="95"/>
        <v>2.4004382776176369E-12</v>
      </c>
      <c r="CW73" s="20">
        <f t="shared" si="67"/>
        <v>4.4767801741866136E-12</v>
      </c>
      <c r="CX73" s="59">
        <f t="shared" si="68"/>
        <v>293.33333333333781</v>
      </c>
      <c r="CY73" s="59">
        <f ca="1">AVERAGE(OFFSET($CX$3,0,0,'Données projet'!$E$13+1,1))-AVERAGE(OFFSET($H$3,0,0,'Données projet'!$E$13+1,1))</f>
        <v>319.9010109022521</v>
      </c>
      <c r="CZ73" s="59">
        <f t="shared" si="96"/>
        <v>441.82647565372287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99.447380945622541</v>
      </c>
      <c r="DG73" s="21">
        <f>EXP(-LN(2)/25)*DG72+(1-EXP(-LN(2)/25))/(LN(2)/25)*Calculateur!DB73*Calculateur!DD73*VLOOKUP('Données projet'!$B$13,Paramètres!$A$1:$I$89,3,0)*0.475*44/12</f>
        <v>39.500953135305153</v>
      </c>
      <c r="DH73" s="21">
        <f>EXP(-LN(2)/2)*DH72+(1-EXP(-LN(2)/2))/(LN(2)/2)*DB73*DE73*VLOOKUP('Données projet'!$B$13,Paramètres!$A$1:$I$89,3,0)*0.475*44/12</f>
        <v>6.2482067833682778E-2</v>
      </c>
      <c r="DI73" s="22">
        <f t="shared" si="69"/>
        <v>139.01081614876136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>
        <f>DO73*VLOOKUP('Données projet'!$B$14,Paramètres!$A$1:$I$89,3,0)*VLOOKUP('Données projet'!$B$14,Paramètres!$A$1:$I$89,5,0)</f>
        <v>0</v>
      </c>
      <c r="DQ73" s="13" t="e">
        <f t="shared" si="97"/>
        <v>#NUM!</v>
      </c>
      <c r="DR73" s="20" t="e">
        <f t="shared" si="70"/>
        <v>#NUM!</v>
      </c>
      <c r="DS73" s="59" t="e">
        <f t="shared" si="71"/>
        <v>#NUM!</v>
      </c>
      <c r="DT73" s="59">
        <f ca="1">AVERAGE(OFFSET($DS$3,0,0,'Données projet'!$E$14+1,1))-AVERAGE(OFFSET($H$3,0,0,'Données projet'!$E$14+1,1))</f>
        <v>229.61973863654862</v>
      </c>
      <c r="DU73" s="59">
        <f t="shared" si="98"/>
        <v>254.08208375594052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87.960478407825548</v>
      </c>
      <c r="EB73" s="21">
        <f>EXP(-LN(2)/25)*EB72+(1-EXP(-LN(2)/25))/(LN(2)/25)*Calculateur!DW73*Calculateur!DY73*VLOOKUP('Données projet'!$B$14,Paramètres!$A$1:$I$89,3,0)*0.475*44/12</f>
        <v>37.905928897747465</v>
      </c>
      <c r="EC73" s="21">
        <f>EXP(-LN(2)/2)*EC72+(1-EXP(-LN(2)/2))/(LN(2)/2)*DW73*DZ73*VLOOKUP('Données projet'!$B$14,Paramètres!$A$1:$I$89,3,0)*0.475*44/12</f>
        <v>1.4078695366839085</v>
      </c>
      <c r="ED73" s="22">
        <f t="shared" si="72"/>
        <v>127.27427684225691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6.2</v>
      </c>
      <c r="N74" s="13">
        <f>IF('Données projet'!$A$36&gt;35,N73+M74-V73,IF(A74&lt;'Données projet'!$A$36,$K$205^A74,IF(A74='Données projet'!$A$36,'Données projet'!$B$36,N73+M74-V73)))</f>
        <v>227.19999999999996</v>
      </c>
      <c r="O74" s="13">
        <f>N74*VLOOKUP('Données projet'!$B$9,Paramètres!$A$1:$I$89,3,0)*VLOOKUP('Données projet'!$B$9,Paramètres!$A$1:$I$89,5,0)</f>
        <v>205.57055999999997</v>
      </c>
      <c r="P74" s="13">
        <f t="shared" si="87"/>
        <v>50.966443946767392</v>
      </c>
      <c r="Q74" s="20">
        <f t="shared" si="54"/>
        <v>446.80194854061978</v>
      </c>
      <c r="R74" s="59">
        <f t="shared" si="55"/>
        <v>740.13528187395309</v>
      </c>
      <c r="S74" s="59">
        <f ca="1">AVERAGE(OFFSET($R$3,0,0,'Données projet'!$E$9+1,1))-AVERAGE(OFFSET($H$3,0,0,'Données projet'!$E$9+1,1))</f>
        <v>373.59295497283125</v>
      </c>
      <c r="T74" s="59">
        <f t="shared" si="88"/>
        <v>231.36959598460686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16.359698543960913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16.359698543960913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6.2</v>
      </c>
      <c r="AI74" s="13">
        <f>IF('Données projet'!$A$62&gt;35,AI73+AH74-AQ73,IF(A74&lt;'Données projet'!$A$62,$AF$205^A74,IF(A74='Données projet'!$A$62,'Données projet'!$B$62,AI73+AH74-AQ73)))</f>
        <v>227.19999999999996</v>
      </c>
      <c r="AJ74" s="13">
        <f>AI74*VLOOKUP('Données projet'!$B$10,Paramètres!$A$1:$I$89,3,0)*VLOOKUP('Données projet'!$B$10,Paramètres!$A$1:$I$89,5,0)</f>
        <v>230.38079999999997</v>
      </c>
      <c r="AK74" s="13">
        <f t="shared" si="89"/>
        <v>56.365011465139979</v>
      </c>
      <c r="AL74" s="20">
        <f t="shared" si="58"/>
        <v>499.41562163511867</v>
      </c>
      <c r="AM74" s="59">
        <f t="shared" si="59"/>
        <v>792.74895496845193</v>
      </c>
      <c r="AN74" s="59">
        <f ca="1">AVERAGE(OFFSET($AM$3,0,0,'Données projet'!$E$10+1,1))-AVERAGE(OFFSET($H$3,0,0,'Données projet'!$E$10+1,1))</f>
        <v>413.81510455446738</v>
      </c>
      <c r="AO74" s="59">
        <f t="shared" si="90"/>
        <v>254.25036207346602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18.334144919956202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18.334144919956202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6.2</v>
      </c>
      <c r="BD74" s="12">
        <f>IF('Données projet'!$A$88&gt;35,BD73+BC74-BL73,IF(A74&lt;'Données projet'!$A$88,$BA$205^A74,IF(A74='Données projet'!$A$88,'Données projet'!$B$88,BD73+BC74-BL73)))</f>
        <v>227.19999999999996</v>
      </c>
      <c r="BE74" s="13">
        <f>BD74*VLOOKUP('Données projet'!$B$11,Paramètres!$A$1:$I$89,3,0)*VLOOKUP('Données projet'!$B$11,Paramètres!$A$1:$I$89,5,0)</f>
        <v>219.74783999999997</v>
      </c>
      <c r="BF74" s="13">
        <f t="shared" si="91"/>
        <v>54.060076332940561</v>
      </c>
      <c r="BG74" s="20">
        <f t="shared" si="61"/>
        <v>476.88212094653812</v>
      </c>
      <c r="BH74" s="59">
        <f t="shared" si="62"/>
        <v>770.21545427987144</v>
      </c>
      <c r="BI74" s="59">
        <f ca="1">AVERAGE(OFFSET($BH$3,0,0,'Données projet'!$E$11+1,1))-AVERAGE(OFFSET($H$3,0,0,'Données projet'!$E$11+1,1))</f>
        <v>295.35565287134125</v>
      </c>
      <c r="BJ74" s="59">
        <f t="shared" si="92"/>
        <v>244.451492444461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17.487953615958222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17.487953615958222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6.2</v>
      </c>
      <c r="BY74" s="12">
        <f>IF('Données projet'!$A$114&gt;35,BY73+BX74-CG73,IF(A74&lt;'Données projet'!$A$114,$BV$205^A74,IF(A74='Données projet'!$A$114,'Données projet'!$B$114,BY73+BX74-CG73)))</f>
        <v>227.19999999999996</v>
      </c>
      <c r="BZ74" s="13">
        <f>BY74*VLOOKUP('Données projet'!$B$12,Paramètres!$A$1:$I$89,3,0)*VLOOKUP('Données projet'!$B$12,Paramètres!$A$1:$I$89,5,0)</f>
        <v>244.55807999999996</v>
      </c>
      <c r="CA74" s="13">
        <f t="shared" si="93"/>
        <v>59.419147189674156</v>
      </c>
      <c r="CB74" s="20">
        <f t="shared" si="64"/>
        <v>529.42700402201569</v>
      </c>
      <c r="CC74" s="59">
        <f t="shared" si="65"/>
        <v>822.76033735534907</v>
      </c>
      <c r="CD74" s="59">
        <f ca="1">AVERAGE(OFFSET($CC$3,0,0,'Données projet'!$E$12+1,1))-AVERAGE(OFFSET($H$3,0,0,'Données projet'!$E$12+1,1))</f>
        <v>324.61094137855798</v>
      </c>
      <c r="CE74" s="59">
        <f t="shared" si="94"/>
        <v>267.2998309535638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19.462399991953504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19.462399991953504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2.8421709430404007E-13</v>
      </c>
      <c r="CU74" s="17">
        <f>CT74*VLOOKUP('Données projet'!$B$13,Paramètres!$A$1:$I$89,3,0)*VLOOKUP('Données projet'!$B$13,Paramètres!$A$1:$I$89,5,0)</f>
        <v>1.69961822393816E-13</v>
      </c>
      <c r="CV74" s="13">
        <f t="shared" si="95"/>
        <v>2.4004382776176369E-12</v>
      </c>
      <c r="CW74" s="20">
        <f t="shared" si="67"/>
        <v>4.4767801741866136E-12</v>
      </c>
      <c r="CX74" s="59">
        <f t="shared" si="68"/>
        <v>293.33333333333781</v>
      </c>
      <c r="CY74" s="59">
        <f ca="1">AVERAGE(OFFSET($CX$3,0,0,'Données projet'!$E$13+1,1))-AVERAGE(OFFSET($H$3,0,0,'Données projet'!$E$13+1,1))</f>
        <v>319.9010109022521</v>
      </c>
      <c r="CZ74" s="59">
        <f t="shared" si="96"/>
        <v>441.82647565372287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97.497278462191886</v>
      </c>
      <c r="DG74" s="21">
        <f>EXP(-LN(2)/25)*DG73+(1-EXP(-LN(2)/25))/(LN(2)/25)*Calculateur!DB74*Calculateur!DD74*VLOOKUP('Données projet'!$B$13,Paramètres!$A$1:$I$89,3,0)*0.475*44/12</f>
        <v>38.420797494555387</v>
      </c>
      <c r="DH74" s="21">
        <f>EXP(-LN(2)/2)*DH73+(1-EXP(-LN(2)/2))/(LN(2)/2)*DB74*DE74*VLOOKUP('Données projet'!$B$13,Paramètres!$A$1:$I$89,3,0)*0.475*44/12</f>
        <v>4.4181493867754953E-2</v>
      </c>
      <c r="DI74" s="22">
        <f t="shared" si="69"/>
        <v>135.96225745061503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>
        <f>DO74*VLOOKUP('Données projet'!$B$14,Paramètres!$A$1:$I$89,3,0)*VLOOKUP('Données projet'!$B$14,Paramètres!$A$1:$I$89,5,0)</f>
        <v>0</v>
      </c>
      <c r="DQ74" s="13" t="e">
        <f t="shared" si="97"/>
        <v>#NUM!</v>
      </c>
      <c r="DR74" s="20" t="e">
        <f t="shared" si="70"/>
        <v>#NUM!</v>
      </c>
      <c r="DS74" s="59" t="e">
        <f t="shared" si="71"/>
        <v>#NUM!</v>
      </c>
      <c r="DT74" s="59">
        <f ca="1">AVERAGE(OFFSET($DS$3,0,0,'Données projet'!$E$14+1,1))-AVERAGE(OFFSET($H$3,0,0,'Données projet'!$E$14+1,1))</f>
        <v>229.61973863654862</v>
      </c>
      <c r="DU74" s="59">
        <f t="shared" si="98"/>
        <v>254.08208375594052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86.235627076842363</v>
      </c>
      <c r="EB74" s="21">
        <f>EXP(-LN(2)/25)*EB73+(1-EXP(-LN(2)/25))/(LN(2)/25)*Calculateur!DW74*Calculateur!DY74*VLOOKUP('Données projet'!$B$14,Paramètres!$A$1:$I$89,3,0)*0.475*44/12</f>
        <v>36.869389278652392</v>
      </c>
      <c r="EC74" s="21">
        <f>EXP(-LN(2)/2)*EC73+(1-EXP(-LN(2)/2))/(LN(2)/2)*DW74*DZ74*VLOOKUP('Données projet'!$B$14,Paramètres!$A$1:$I$89,3,0)*0.475*44/12</f>
        <v>0.99551409641515454</v>
      </c>
      <c r="ED74" s="22">
        <f t="shared" si="72"/>
        <v>124.1005304519099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6.2</v>
      </c>
      <c r="N75" s="13">
        <f>IF('Données projet'!$A$36&gt;35,N74+M75-V74,IF(A75&lt;'Données projet'!$A$36,$K$205^A75,IF(A75='Données projet'!$A$36,'Données projet'!$B$36,N74+M75-V74)))</f>
        <v>233.39999999999995</v>
      </c>
      <c r="O75" s="13">
        <f>N75*VLOOKUP('Données projet'!$B$9,Paramètres!$A$1:$I$89,3,0)*VLOOKUP('Données projet'!$B$9,Paramètres!$A$1:$I$89,5,0)</f>
        <v>211.18031999999994</v>
      </c>
      <c r="P75" s="13">
        <f t="shared" si="87"/>
        <v>52.193431117443019</v>
      </c>
      <c r="Q75" s="20">
        <f t="shared" si="54"/>
        <v>458.70928319621316</v>
      </c>
      <c r="R75" s="59">
        <f t="shared" si="55"/>
        <v>752.04261652954642</v>
      </c>
      <c r="S75" s="59">
        <f ca="1">AVERAGE(OFFSET($R$3,0,0,'Données projet'!$E$9+1,1))-AVERAGE(OFFSET($H$3,0,0,'Données projet'!$E$9+1,1))</f>
        <v>373.59295497283125</v>
      </c>
      <c r="T75" s="59">
        <f t="shared" si="88"/>
        <v>231.36959598460686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16.038894833944664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16.038894833944664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6.2</v>
      </c>
      <c r="AI75" s="13">
        <f>IF('Données projet'!$A$62&gt;35,AI74+AH75-AQ74,IF(A75&lt;'Données projet'!$A$62,$AF$205^A75,IF(A75='Données projet'!$A$62,'Données projet'!$B$62,AI74+AH75-AQ74)))</f>
        <v>233.39999999999995</v>
      </c>
      <c r="AJ75" s="13">
        <f>AI75*VLOOKUP('Données projet'!$B$10,Paramètres!$A$1:$I$89,3,0)*VLOOKUP('Données projet'!$B$10,Paramètres!$A$1:$I$89,5,0)</f>
        <v>236.66759999999996</v>
      </c>
      <c r="AK75" s="13">
        <f t="shared" si="89"/>
        <v>57.721965974560838</v>
      </c>
      <c r="AL75" s="20">
        <f t="shared" si="58"/>
        <v>512.72849407236004</v>
      </c>
      <c r="AM75" s="59">
        <f t="shared" si="59"/>
        <v>806.06182740569329</v>
      </c>
      <c r="AN75" s="59">
        <f ca="1">AVERAGE(OFFSET($AM$3,0,0,'Données projet'!$E$10+1,1))-AVERAGE(OFFSET($H$3,0,0,'Données projet'!$E$10+1,1))</f>
        <v>413.81510455446738</v>
      </c>
      <c r="AO75" s="59">
        <f t="shared" si="90"/>
        <v>254.25036207346602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17.974623520800058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17.974623520800058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6.2</v>
      </c>
      <c r="BD75" s="12">
        <f>IF('Données projet'!$A$88&gt;35,BD74+BC75-BL74,IF(A75&lt;'Données projet'!$A$88,$BA$205^A75,IF(A75='Données projet'!$A$88,'Données projet'!$B$88,BD74+BC75-BL74)))</f>
        <v>233.39999999999995</v>
      </c>
      <c r="BE75" s="13">
        <f>BD75*VLOOKUP('Données projet'!$B$11,Paramètres!$A$1:$I$89,3,0)*VLOOKUP('Données projet'!$B$11,Paramètres!$A$1:$I$89,5,0)</f>
        <v>225.74447999999995</v>
      </c>
      <c r="BF75" s="13">
        <f t="shared" si="91"/>
        <v>55.36154088431374</v>
      </c>
      <c r="BG75" s="20">
        <f t="shared" si="61"/>
        <v>489.59298637351299</v>
      </c>
      <c r="BH75" s="59">
        <f t="shared" si="62"/>
        <v>782.92631970684624</v>
      </c>
      <c r="BI75" s="59">
        <f ca="1">AVERAGE(OFFSET($BH$3,0,0,'Données projet'!$E$11+1,1))-AVERAGE(OFFSET($H$3,0,0,'Données projet'!$E$11+1,1))</f>
        <v>295.35565287134125</v>
      </c>
      <c r="BJ75" s="59">
        <f t="shared" si="92"/>
        <v>244.451492444461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17.145025512147747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17.145025512147747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6.2</v>
      </c>
      <c r="BY75" s="12">
        <f>IF('Données projet'!$A$114&gt;35,BY74+BX75-CG74,IF(A75&lt;'Données projet'!$A$114,$BV$205^A75,IF(A75='Données projet'!$A$114,'Données projet'!$B$114,BY74+BX75-CG74)))</f>
        <v>233.39999999999995</v>
      </c>
      <c r="BZ75" s="13">
        <f>BY75*VLOOKUP('Données projet'!$B$12,Paramètres!$A$1:$I$89,3,0)*VLOOKUP('Données projet'!$B$12,Paramètres!$A$1:$I$89,5,0)</f>
        <v>251.23175999999995</v>
      </c>
      <c r="CA75" s="13">
        <f t="shared" si="93"/>
        <v>60.849628220886935</v>
      </c>
      <c r="CB75" s="20">
        <f t="shared" si="64"/>
        <v>543.54175115137798</v>
      </c>
      <c r="CC75" s="59">
        <f t="shared" si="65"/>
        <v>836.87508448471135</v>
      </c>
      <c r="CD75" s="59">
        <f ca="1">AVERAGE(OFFSET($CC$3,0,0,'Données projet'!$E$12+1,1))-AVERAGE(OFFSET($H$3,0,0,'Données projet'!$E$12+1,1))</f>
        <v>324.61094137855798</v>
      </c>
      <c r="CE75" s="59">
        <f t="shared" si="94"/>
        <v>267.2998309535638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19.080754199003138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19.080754199003138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2.8421709430404007E-13</v>
      </c>
      <c r="CU75" s="17">
        <f>CT75*VLOOKUP('Données projet'!$B$13,Paramètres!$A$1:$I$89,3,0)*VLOOKUP('Données projet'!$B$13,Paramètres!$A$1:$I$89,5,0)</f>
        <v>1.69961822393816E-13</v>
      </c>
      <c r="CV75" s="13">
        <f t="shared" si="95"/>
        <v>2.4004382776176369E-12</v>
      </c>
      <c r="CW75" s="20">
        <f t="shared" si="67"/>
        <v>4.4767801741866136E-12</v>
      </c>
      <c r="CX75" s="59">
        <f t="shared" si="68"/>
        <v>293.33333333333781</v>
      </c>
      <c r="CY75" s="59">
        <f ca="1">AVERAGE(OFFSET($CX$3,0,0,'Données projet'!$E$13+1,1))-AVERAGE(OFFSET($H$3,0,0,'Données projet'!$E$13+1,1))</f>
        <v>319.9010109022521</v>
      </c>
      <c r="CZ75" s="59">
        <f t="shared" si="96"/>
        <v>441.82647565372287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95.585416299016245</v>
      </c>
      <c r="DG75" s="21">
        <f>EXP(-LN(2)/25)*DG74+(1-EXP(-LN(2)/25))/(LN(2)/25)*Calculateur!DB75*Calculateur!DD75*VLOOKUP('Données projet'!$B$13,Paramètres!$A$1:$I$89,3,0)*0.475*44/12</f>
        <v>37.370178766604845</v>
      </c>
      <c r="DH75" s="21">
        <f>EXP(-LN(2)/2)*DH74+(1-EXP(-LN(2)/2))/(LN(2)/2)*DB75*DE75*VLOOKUP('Données projet'!$B$13,Paramètres!$A$1:$I$89,3,0)*0.475*44/12</f>
        <v>3.1241033916841396E-2</v>
      </c>
      <c r="DI75" s="22">
        <f t="shared" si="69"/>
        <v>132.98683609953792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>
        <f>DO75*VLOOKUP('Données projet'!$B$14,Paramètres!$A$1:$I$89,3,0)*VLOOKUP('Données projet'!$B$14,Paramètres!$A$1:$I$89,5,0)</f>
        <v>0</v>
      </c>
      <c r="DQ75" s="13" t="e">
        <f t="shared" si="97"/>
        <v>#NUM!</v>
      </c>
      <c r="DR75" s="20" t="e">
        <f t="shared" si="70"/>
        <v>#NUM!</v>
      </c>
      <c r="DS75" s="59" t="e">
        <f t="shared" si="71"/>
        <v>#NUM!</v>
      </c>
      <c r="DT75" s="59">
        <f ca="1">AVERAGE(OFFSET($DS$3,0,0,'Données projet'!$E$14+1,1))-AVERAGE(OFFSET($H$3,0,0,'Données projet'!$E$14+1,1))</f>
        <v>229.61973863654862</v>
      </c>
      <c r="DU75" s="59">
        <f t="shared" si="98"/>
        <v>254.08208375594052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84.544599028404321</v>
      </c>
      <c r="EB75" s="21">
        <f>EXP(-LN(2)/25)*EB74+(1-EXP(-LN(2)/25))/(LN(2)/25)*Calculateur!DW75*Calculateur!DY75*VLOOKUP('Données projet'!$B$14,Paramètres!$A$1:$I$89,3,0)*0.475*44/12</f>
        <v>35.861193889950727</v>
      </c>
      <c r="EC75" s="21">
        <f>EXP(-LN(2)/2)*EC74+(1-EXP(-LN(2)/2))/(LN(2)/2)*DW75*DZ75*VLOOKUP('Données projet'!$B$14,Paramètres!$A$1:$I$89,3,0)*0.475*44/12</f>
        <v>0.70393476834195434</v>
      </c>
      <c r="ED75" s="22">
        <f t="shared" si="72"/>
        <v>121.109727686697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6.2</v>
      </c>
      <c r="N76" s="13">
        <f>IF('Données projet'!$A$36&gt;35,N75+M76-V75,IF(A76&lt;'Données projet'!$A$36,$K$205^A76,IF(A76='Données projet'!$A$36,'Données projet'!$B$36,N75+M76-V75)))</f>
        <v>239.59999999999994</v>
      </c>
      <c r="O76" s="13">
        <f>N76*VLOOKUP('Données projet'!$B$9,Paramètres!$A$1:$I$89,3,0)*VLOOKUP('Données projet'!$B$9,Paramètres!$A$1:$I$89,5,0)</f>
        <v>216.79007999999996</v>
      </c>
      <c r="P76" s="13">
        <f t="shared" si="87"/>
        <v>53.416629794462551</v>
      </c>
      <c r="Q76" s="20">
        <f t="shared" si="54"/>
        <v>470.61001955868886</v>
      </c>
      <c r="R76" s="59">
        <f t="shared" si="55"/>
        <v>763.94335289202218</v>
      </c>
      <c r="S76" s="59">
        <f ca="1">AVERAGE(OFFSET($R$3,0,0,'Données projet'!$E$9+1,1))-AVERAGE(OFFSET($H$3,0,0,'Données projet'!$E$9+1,1))</f>
        <v>373.59295497283125</v>
      </c>
      <c r="T76" s="59">
        <f t="shared" si="88"/>
        <v>231.36959598460686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15.724381889010891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15.724381889010891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6.2</v>
      </c>
      <c r="AI76" s="13">
        <f>IF('Données projet'!$A$62&gt;35,AI75+AH76-AQ75,IF(A76&lt;'Données projet'!$A$62,$AF$205^A76,IF(A76='Données projet'!$A$62,'Données projet'!$B$62,AI75+AH76-AQ75)))</f>
        <v>239.59999999999994</v>
      </c>
      <c r="AJ76" s="13">
        <f>AI76*VLOOKUP('Données projet'!$B$10,Paramètres!$A$1:$I$89,3,0)*VLOOKUP('Données projet'!$B$10,Paramètres!$A$1:$I$89,5,0)</f>
        <v>242.95439999999994</v>
      </c>
      <c r="AK76" s="13">
        <f t="shared" si="89"/>
        <v>59.074730698078945</v>
      </c>
      <c r="AL76" s="20">
        <f t="shared" si="58"/>
        <v>526.034069299154</v>
      </c>
      <c r="AM76" s="59">
        <f t="shared" si="59"/>
        <v>819.36740263248726</v>
      </c>
      <c r="AN76" s="59">
        <f ca="1">AVERAGE(OFFSET($AM$3,0,0,'Données projet'!$E$10+1,1))-AVERAGE(OFFSET($H$3,0,0,'Données projet'!$E$10+1,1))</f>
        <v>413.81510455446738</v>
      </c>
      <c r="AO76" s="59">
        <f t="shared" si="90"/>
        <v>254.25036207346602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17.622152116994968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17.622152116994968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6.2</v>
      </c>
      <c r="BD76" s="12">
        <f>IF('Données projet'!$A$88&gt;35,BD75+BC76-BL75,IF(A76&lt;'Données projet'!$A$88,$BA$205^A76,IF(A76='Données projet'!$A$88,'Données projet'!$B$88,BD75+BC76-BL75)))</f>
        <v>239.59999999999994</v>
      </c>
      <c r="BE76" s="13">
        <f>BD76*VLOOKUP('Données projet'!$B$11,Paramètres!$A$1:$I$89,3,0)*VLOOKUP('Données projet'!$B$11,Paramètres!$A$1:$I$89,5,0)</f>
        <v>231.74111999999994</v>
      </c>
      <c r="BF76" s="13">
        <f t="shared" si="91"/>
        <v>56.658986982752438</v>
      </c>
      <c r="BG76" s="20">
        <f t="shared" si="61"/>
        <v>502.29685299496037</v>
      </c>
      <c r="BH76" s="59">
        <f t="shared" si="62"/>
        <v>795.63018632829369</v>
      </c>
      <c r="BI76" s="59">
        <f ca="1">AVERAGE(OFFSET($BH$3,0,0,'Données projet'!$E$11+1,1))-AVERAGE(OFFSET($H$3,0,0,'Données projet'!$E$11+1,1))</f>
        <v>295.35565287134125</v>
      </c>
      <c r="BJ76" s="59">
        <f t="shared" si="92"/>
        <v>244.451492444461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16.808822019287508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16.808822019287508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6.2</v>
      </c>
      <c r="BY76" s="12">
        <f>IF('Données projet'!$A$114&gt;35,BY75+BX76-CG75,IF(A76&lt;'Données projet'!$A$114,$BV$205^A76,IF(A76='Données projet'!$A$114,'Données projet'!$B$114,BY75+BX76-CG75)))</f>
        <v>239.59999999999994</v>
      </c>
      <c r="BZ76" s="13">
        <f>BY76*VLOOKUP('Données projet'!$B$12,Paramètres!$A$1:$I$89,3,0)*VLOOKUP('Données projet'!$B$12,Paramètres!$A$1:$I$89,5,0)</f>
        <v>257.90543999999994</v>
      </c>
      <c r="CA76" s="13">
        <f t="shared" si="93"/>
        <v>62.275692442827719</v>
      </c>
      <c r="CB76" s="20">
        <f t="shared" si="64"/>
        <v>557.64880567125817</v>
      </c>
      <c r="CC76" s="59">
        <f t="shared" si="65"/>
        <v>850.98213900459155</v>
      </c>
      <c r="CD76" s="59">
        <f ca="1">AVERAGE(OFFSET($CC$3,0,0,'Données projet'!$E$12+1,1))-AVERAGE(OFFSET($H$3,0,0,'Données projet'!$E$12+1,1))</f>
        <v>324.61094137855798</v>
      </c>
      <c r="CE76" s="59">
        <f t="shared" si="94"/>
        <v>267.2998309535638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18.70659224727158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18.70659224727158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2.8421709430404007E-13</v>
      </c>
      <c r="CU76" s="17">
        <f>CT76*VLOOKUP('Données projet'!$B$13,Paramètres!$A$1:$I$89,3,0)*VLOOKUP('Données projet'!$B$13,Paramètres!$A$1:$I$89,5,0)</f>
        <v>1.69961822393816E-13</v>
      </c>
      <c r="CV76" s="13">
        <f t="shared" si="95"/>
        <v>2.4004382776176369E-12</v>
      </c>
      <c r="CW76" s="20">
        <f t="shared" si="67"/>
        <v>4.4767801741866136E-12</v>
      </c>
      <c r="CX76" s="59">
        <f t="shared" si="68"/>
        <v>293.33333333333781</v>
      </c>
      <c r="CY76" s="59">
        <f ca="1">AVERAGE(OFFSET($CX$3,0,0,'Données projet'!$E$13+1,1))-AVERAGE(OFFSET($H$3,0,0,'Données projet'!$E$13+1,1))</f>
        <v>319.9010109022521</v>
      </c>
      <c r="CZ76" s="59">
        <f t="shared" si="96"/>
        <v>441.82647565372287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93.711044586739703</v>
      </c>
      <c r="DG76" s="21">
        <f>EXP(-LN(2)/25)*DG75+(1-EXP(-LN(2)/25))/(LN(2)/25)*Calculateur!DB76*Calculateur!DD76*VLOOKUP('Données projet'!$B$13,Paramètres!$A$1:$I$89,3,0)*0.475*44/12</f>
        <v>36.348289263019744</v>
      </c>
      <c r="DH76" s="21">
        <f>EXP(-LN(2)/2)*DH75+(1-EXP(-LN(2)/2))/(LN(2)/2)*DB76*DE76*VLOOKUP('Données projet'!$B$13,Paramètres!$A$1:$I$89,3,0)*0.475*44/12</f>
        <v>2.209074693387748E-2</v>
      </c>
      <c r="DI76" s="22">
        <f t="shared" si="69"/>
        <v>130.08142459669332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>
        <f>DO76*VLOOKUP('Données projet'!$B$14,Paramètres!$A$1:$I$89,3,0)*VLOOKUP('Données projet'!$B$14,Paramètres!$A$1:$I$89,5,0)</f>
        <v>0</v>
      </c>
      <c r="DQ76" s="13" t="e">
        <f t="shared" si="97"/>
        <v>#NUM!</v>
      </c>
      <c r="DR76" s="20" t="e">
        <f t="shared" si="70"/>
        <v>#NUM!</v>
      </c>
      <c r="DS76" s="59" t="e">
        <f t="shared" si="71"/>
        <v>#NUM!</v>
      </c>
      <c r="DT76" s="59">
        <f ca="1">AVERAGE(OFFSET($DS$3,0,0,'Données projet'!$E$14+1,1))-AVERAGE(OFFSET($H$3,0,0,'Données projet'!$E$14+1,1))</f>
        <v>229.61973863654862</v>
      </c>
      <c r="DU76" s="59">
        <f t="shared" si="98"/>
        <v>254.08208375594052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82.886731008570891</v>
      </c>
      <c r="EB76" s="21">
        <f>EXP(-LN(2)/25)*EB75+(1-EXP(-LN(2)/25))/(LN(2)/25)*Calculateur!DW76*Calculateur!DY76*VLOOKUP('Données projet'!$B$14,Paramètres!$A$1:$I$89,3,0)*0.475*44/12</f>
        <v>34.880567657171802</v>
      </c>
      <c r="EC76" s="21">
        <f>EXP(-LN(2)/2)*EC75+(1-EXP(-LN(2)/2))/(LN(2)/2)*DW76*DZ76*VLOOKUP('Données projet'!$B$14,Paramètres!$A$1:$I$89,3,0)*0.475*44/12</f>
        <v>0.49775704820757738</v>
      </c>
      <c r="ED76" s="22">
        <f t="shared" si="72"/>
        <v>118.26505571395026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6.2</v>
      </c>
      <c r="N77" s="13">
        <f>IF('Données projet'!$A$36&gt;35,N76+M77-V76,IF(A77&lt;'Données projet'!$A$36,$K$205^A77,IF(A77='Données projet'!$A$36,'Données projet'!$B$36,N76+M77-V76)))</f>
        <v>245.79999999999993</v>
      </c>
      <c r="O77" s="13">
        <f>N77*VLOOKUP('Données projet'!$B$9,Paramètres!$A$1:$I$89,3,0)*VLOOKUP('Données projet'!$B$9,Paramètres!$A$1:$I$89,5,0)</f>
        <v>222.3998399999999</v>
      </c>
      <c r="P77" s="13">
        <f t="shared" si="87"/>
        <v>54.636149281681448</v>
      </c>
      <c r="Q77" s="20">
        <f t="shared" si="54"/>
        <v>482.50434799892832</v>
      </c>
      <c r="R77" s="59">
        <f t="shared" si="55"/>
        <v>775.83768133226158</v>
      </c>
      <c r="S77" s="59">
        <f ca="1">AVERAGE(OFFSET($R$3,0,0,'Données projet'!$E$9+1,1))-AVERAGE(OFFSET($H$3,0,0,'Données projet'!$E$9+1,1))</f>
        <v>373.59295497283125</v>
      </c>
      <c r="T77" s="59">
        <f t="shared" si="88"/>
        <v>231.36959598460686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15.416036351093314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15.416036351093314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6.2</v>
      </c>
      <c r="AI77" s="13">
        <f>IF('Données projet'!$A$62&gt;35,AI76+AH77-AQ76,IF(A77&lt;'Données projet'!$A$62,$AF$205^A77,IF(A77='Données projet'!$A$62,'Données projet'!$B$62,AI76+AH77-AQ76)))</f>
        <v>245.79999999999993</v>
      </c>
      <c r="AJ77" s="13">
        <f>AI77*VLOOKUP('Données projet'!$B$10,Paramètres!$A$1:$I$89,3,0)*VLOOKUP('Données projet'!$B$10,Paramètres!$A$1:$I$89,5,0)</f>
        <v>249.24119999999994</v>
      </c>
      <c r="AK77" s="13">
        <f t="shared" si="89"/>
        <v>60.42342651744692</v>
      </c>
      <c r="AL77" s="20">
        <f t="shared" si="58"/>
        <v>539.33255785121992</v>
      </c>
      <c r="AM77" s="59">
        <f t="shared" si="59"/>
        <v>832.66589118455317</v>
      </c>
      <c r="AN77" s="59">
        <f ca="1">AVERAGE(OFFSET($AM$3,0,0,'Données projet'!$E$10+1,1))-AVERAGE(OFFSET($H$3,0,0,'Données projet'!$E$10+1,1))</f>
        <v>413.81510455446738</v>
      </c>
      <c r="AO77" s="59">
        <f t="shared" si="90"/>
        <v>254.25036207346602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17.276592462432166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17.276592462432166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6.2</v>
      </c>
      <c r="BD77" s="12">
        <f>IF('Données projet'!$A$88&gt;35,BD76+BC77-BL76,IF(A77&lt;'Données projet'!$A$88,$BA$205^A77,IF(A77='Données projet'!$A$88,'Données projet'!$B$88,BD76+BC77-BL76)))</f>
        <v>245.79999999999993</v>
      </c>
      <c r="BE77" s="13">
        <f>BD77*VLOOKUP('Données projet'!$B$11,Paramètres!$A$1:$I$89,3,0)*VLOOKUP('Données projet'!$B$11,Paramètres!$A$1:$I$89,5,0)</f>
        <v>237.73775999999995</v>
      </c>
      <c r="BF77" s="13">
        <f t="shared" si="91"/>
        <v>57.952530566790166</v>
      </c>
      <c r="BG77" s="20">
        <f t="shared" si="61"/>
        <v>514.99392273715944</v>
      </c>
      <c r="BH77" s="59">
        <f t="shared" si="62"/>
        <v>808.32725607049269</v>
      </c>
      <c r="BI77" s="59">
        <f ca="1">AVERAGE(OFFSET($BH$3,0,0,'Données projet'!$E$11+1,1))-AVERAGE(OFFSET($H$3,0,0,'Données projet'!$E$11+1,1))</f>
        <v>295.35565287134125</v>
      </c>
      <c r="BJ77" s="59">
        <f t="shared" si="92"/>
        <v>244.451492444461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16.479211271858375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16.479211271858375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6.2</v>
      </c>
      <c r="BY77" s="12">
        <f>IF('Données projet'!$A$114&gt;35,BY76+BX77-CG76,IF(A77&lt;'Données projet'!$A$114,$BV$205^A77,IF(A77='Données projet'!$A$114,'Données projet'!$B$114,BY76+BX77-CG76)))</f>
        <v>245.79999999999993</v>
      </c>
      <c r="BZ77" s="13">
        <f>BY77*VLOOKUP('Données projet'!$B$12,Paramètres!$A$1:$I$89,3,0)*VLOOKUP('Données projet'!$B$12,Paramètres!$A$1:$I$89,5,0)</f>
        <v>264.57911999999993</v>
      </c>
      <c r="CA77" s="13">
        <f t="shared" si="93"/>
        <v>63.697467287221869</v>
      </c>
      <c r="CB77" s="20">
        <f t="shared" si="64"/>
        <v>571.74838952524453</v>
      </c>
      <c r="CC77" s="59">
        <f t="shared" si="65"/>
        <v>865.0817228585779</v>
      </c>
      <c r="CD77" s="59">
        <f ca="1">AVERAGE(OFFSET($CC$3,0,0,'Données projet'!$E$12+1,1))-AVERAGE(OFFSET($H$3,0,0,'Données projet'!$E$12+1,1))</f>
        <v>324.61094137855798</v>
      </c>
      <c r="CE77" s="59">
        <f t="shared" si="94"/>
        <v>267.2998309535638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18.33976738319722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18.33976738319722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2.8421709430404007E-13</v>
      </c>
      <c r="CU77" s="17">
        <f>CT77*VLOOKUP('Données projet'!$B$13,Paramètres!$A$1:$I$89,3,0)*VLOOKUP('Données projet'!$B$13,Paramètres!$A$1:$I$89,5,0)</f>
        <v>1.69961822393816E-13</v>
      </c>
      <c r="CV77" s="13">
        <f t="shared" si="95"/>
        <v>2.4004382776176369E-12</v>
      </c>
      <c r="CW77" s="20">
        <f t="shared" si="67"/>
        <v>4.4767801741866136E-12</v>
      </c>
      <c r="CX77" s="59">
        <f t="shared" si="68"/>
        <v>293.33333333333781</v>
      </c>
      <c r="CY77" s="59">
        <f ca="1">AVERAGE(OFFSET($CX$3,0,0,'Données projet'!$E$13+1,1))-AVERAGE(OFFSET($H$3,0,0,'Données projet'!$E$13+1,1))</f>
        <v>319.9010109022521</v>
      </c>
      <c r="CZ77" s="59">
        <f t="shared" si="96"/>
        <v>441.82647565372287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91.873428160487038</v>
      </c>
      <c r="DG77" s="21">
        <f>EXP(-LN(2)/25)*DG76+(1-EXP(-LN(2)/25))/(LN(2)/25)*Calculateur!DB77*Calculateur!DD77*VLOOKUP('Données projet'!$B$13,Paramètres!$A$1:$I$89,3,0)*0.475*44/12</f>
        <v>35.354343381649009</v>
      </c>
      <c r="DH77" s="21">
        <f>EXP(-LN(2)/2)*DH76+(1-EXP(-LN(2)/2))/(LN(2)/2)*DB77*DE77*VLOOKUP('Données projet'!$B$13,Paramètres!$A$1:$I$89,3,0)*0.475*44/12</f>
        <v>1.56205169584207E-2</v>
      </c>
      <c r="DI77" s="22">
        <f t="shared" si="69"/>
        <v>127.24339205909448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>
        <f>DO77*VLOOKUP('Données projet'!$B$14,Paramètres!$A$1:$I$89,3,0)*VLOOKUP('Données projet'!$B$14,Paramètres!$A$1:$I$89,5,0)</f>
        <v>0</v>
      </c>
      <c r="DQ77" s="13" t="e">
        <f t="shared" si="97"/>
        <v>#NUM!</v>
      </c>
      <c r="DR77" s="20" t="e">
        <f t="shared" si="70"/>
        <v>#NUM!</v>
      </c>
      <c r="DS77" s="59" t="e">
        <f t="shared" si="71"/>
        <v>#NUM!</v>
      </c>
      <c r="DT77" s="59">
        <f ca="1">AVERAGE(OFFSET($DS$3,0,0,'Données projet'!$E$14+1,1))-AVERAGE(OFFSET($H$3,0,0,'Données projet'!$E$14+1,1))</f>
        <v>229.61973863654862</v>
      </c>
      <c r="DU77" s="59">
        <f t="shared" si="98"/>
        <v>254.08208375594052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81.261372769406748</v>
      </c>
      <c r="EB77" s="21">
        <f>EXP(-LN(2)/25)*EB76+(1-EXP(-LN(2)/25))/(LN(2)/25)*Calculateur!DW77*Calculateur!DY77*VLOOKUP('Données projet'!$B$14,Paramètres!$A$1:$I$89,3,0)*0.475*44/12</f>
        <v>33.926756700297105</v>
      </c>
      <c r="EC77" s="21">
        <f>EXP(-LN(2)/2)*EC76+(1-EXP(-LN(2)/2))/(LN(2)/2)*DW77*DZ77*VLOOKUP('Données projet'!$B$14,Paramètres!$A$1:$I$89,3,0)*0.475*44/12</f>
        <v>0.35196738417097723</v>
      </c>
      <c r="ED77" s="22">
        <f t="shared" si="72"/>
        <v>115.54009685387483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252</v>
      </c>
      <c r="L78" s="12">
        <f>VLOOKUP(A78,'Données projet'!$A$35:$I$55,9,0)</f>
        <v>6.2</v>
      </c>
      <c r="M78" s="12">
        <f t="array" ref="M78">INDEX(L:L,MIN(IF(ISNUMBER(L78:L274),ROW(L78:L274),"")))</f>
        <v>6.2</v>
      </c>
      <c r="N78" s="13">
        <f>IF('Données projet'!$A$36&gt;35,N77+M78-V77,IF(A78&lt;'Données projet'!$A$36,$K$205^A78,IF(A78='Données projet'!$A$36,'Données projet'!$B$36,N77+M78-V77)))</f>
        <v>251.99999999999991</v>
      </c>
      <c r="O78" s="13">
        <f>N78*VLOOKUP('Données projet'!$B$9,Paramètres!$A$1:$I$89,3,0)*VLOOKUP('Données projet'!$B$9,Paramètres!$A$1:$I$89,5,0)</f>
        <v>228.00959999999992</v>
      </c>
      <c r="P78" s="13">
        <f t="shared" si="87"/>
        <v>55.852093054619829</v>
      </c>
      <c r="Q78" s="20">
        <f t="shared" si="54"/>
        <v>494.3924487367961</v>
      </c>
      <c r="R78" s="59">
        <f t="shared" si="55"/>
        <v>787.72578207012941</v>
      </c>
      <c r="S78" s="59">
        <f ca="1">AVERAGE(OFFSET($R$3,0,0,'Données projet'!$E$9+1,1))-AVERAGE(OFFSET($H$3,0,0,'Données projet'!$E$9+1,1))</f>
        <v>373.59295497283125</v>
      </c>
      <c r="T78" s="59">
        <f t="shared" si="88"/>
        <v>231.36959598460686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21</v>
      </c>
      <c r="W78" s="16">
        <f>IF(ISNA(VLOOKUP(A78,'Données projet'!$A$35:$I$55,5,0)),0%,VLOOKUP(A78,'Données projet'!$A$35:$I$55,5,0)*VLOOKUP('Données projet'!$B$9,Paramètres!$A$1:$I$89,7,0))</f>
        <v>0.215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19.629773922399476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19.629773922399476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252</v>
      </c>
      <c r="AG78" s="12">
        <f>VLOOKUP(A78,'Données projet'!$A$61:$I$81,9,0)</f>
        <v>6.2</v>
      </c>
      <c r="AH78" s="12">
        <f t="array" ref="AH78">INDEX(AG:AG,MIN(IF(ISNUMBER(AG78:AG274),ROW(AG78:AG274),"")))</f>
        <v>6.2</v>
      </c>
      <c r="AI78" s="13">
        <f>IF('Données projet'!$A$62&gt;35,AI77+AH78-AQ77,IF(A78&lt;'Données projet'!$A$62,$AF$205^A78,IF(A78='Données projet'!$A$62,'Données projet'!$B$62,AI77+AH78-AQ77)))</f>
        <v>251.99999999999991</v>
      </c>
      <c r="AJ78" s="13">
        <f>AI78*VLOOKUP('Données projet'!$B$10,Paramètres!$A$1:$I$89,3,0)*VLOOKUP('Données projet'!$B$10,Paramètres!$A$1:$I$89,5,0)</f>
        <v>255.52799999999993</v>
      </c>
      <c r="AK78" s="13">
        <f t="shared" si="89"/>
        <v>61.768167868721477</v>
      </c>
      <c r="AL78" s="20">
        <f t="shared" si="58"/>
        <v>552.62415903802309</v>
      </c>
      <c r="AM78" s="59">
        <f t="shared" si="59"/>
        <v>845.95749237135647</v>
      </c>
      <c r="AN78" s="59">
        <f ca="1">AVERAGE(OFFSET($AM$3,0,0,'Données projet'!$E$10+1,1))-AVERAGE(OFFSET($H$3,0,0,'Données projet'!$E$10+1,1))</f>
        <v>413.81510455446738</v>
      </c>
      <c r="AO78" s="59">
        <f t="shared" si="90"/>
        <v>254.25036207346602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21</v>
      </c>
      <c r="AR78" s="16">
        <f>IF(ISNA(VLOOKUP(A78,'Données projet'!$A$61:$I$81,5,0)),0%,VLOOKUP(A78,'Données projet'!$A$61:$I$81,5,0)*VLOOKUP('Données projet'!$B$10,Paramètres!$A$1:$I$89,7,0))</f>
        <v>0.215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21.998884568206311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21.998884568206311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252</v>
      </c>
      <c r="BB78" s="12">
        <f>VLOOKUP(A78,'Données projet'!$A$87:$I$107,9,0)</f>
        <v>6.2</v>
      </c>
      <c r="BC78" s="12">
        <f t="array" ref="BC78">INDEX(BB:BB,MIN(IF(ISNUMBER(BB78:BB274),ROW(BB78:BB274),"")))</f>
        <v>6.2</v>
      </c>
      <c r="BD78" s="12">
        <f>IF('Données projet'!$A$88&gt;35,BD77+BC78-BL77,IF(A78&lt;'Données projet'!$A$88,$BA$205^A78,IF(A78='Données projet'!$A$88,'Données projet'!$B$88,BD77+BC78-BL77)))</f>
        <v>251.99999999999991</v>
      </c>
      <c r="BE78" s="13">
        <f>BD78*VLOOKUP('Données projet'!$B$11,Paramètres!$A$1:$I$89,3,0)*VLOOKUP('Données projet'!$B$11,Paramètres!$A$1:$I$89,5,0)</f>
        <v>243.73439999999994</v>
      </c>
      <c r="BF78" s="13">
        <f t="shared" si="91"/>
        <v>59.242281392848767</v>
      </c>
      <c r="BG78" s="20">
        <f t="shared" si="61"/>
        <v>527.68438675921141</v>
      </c>
      <c r="BH78" s="59">
        <f t="shared" si="62"/>
        <v>821.01772009254478</v>
      </c>
      <c r="BI78" s="59">
        <f ca="1">AVERAGE(OFFSET($BH$3,0,0,'Données projet'!$E$11+1,1))-AVERAGE(OFFSET($H$3,0,0,'Données projet'!$E$11+1,1))</f>
        <v>295.35565287134125</v>
      </c>
      <c r="BJ78" s="59">
        <f t="shared" si="92"/>
        <v>244.451492444461</v>
      </c>
      <c r="BK78" s="15">
        <f>IF(ISNA(VLOOKUP(A78,'Données projet'!$A$87:$I$107,3,0)),0,VLOOKUP(A78,'Données projet'!$A$87:$I$107,3,0))</f>
        <v>12</v>
      </c>
      <c r="BL78" s="15">
        <f>IF(ISNA(VLOOKUP(A78,'Données projet'!$A$87:$I$107,4,0)),0,VLOOKUP(A78,'Données projet'!$A$87:$I$107,4,0))</f>
        <v>21</v>
      </c>
      <c r="BM78" s="16">
        <f>IF(ISNA(VLOOKUP(A78,'Données projet'!$A$87:$I$107,5,0)),0%,VLOOKUP(A78,'Données projet'!$A$87:$I$107,5,0)*VLOOKUP('Données projet'!$B$11,Paramètres!$A$1:$I$89,7,0))</f>
        <v>0.215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20.983551434289097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20.983551434289097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252</v>
      </c>
      <c r="BW78" s="12">
        <f>VLOOKUP(A78,'Données projet'!$A$113:$I$133,9,0)</f>
        <v>6.2</v>
      </c>
      <c r="BX78" s="12">
        <f t="array" ref="BX78">INDEX(BW:BW,MIN(IF(ISNUMBER(BW78:BW274),ROW(BW78:BW274),"")))</f>
        <v>6.2</v>
      </c>
      <c r="BY78" s="12">
        <f>IF('Données projet'!$A$114&gt;35,BY77+BX78-CG77,IF(A78&lt;'Données projet'!$A$114,$BV$205^A78,IF(A78='Données projet'!$A$114,'Données projet'!$B$114,BY77+BX78-CG77)))</f>
        <v>251.99999999999991</v>
      </c>
      <c r="BZ78" s="13">
        <f>BY78*VLOOKUP('Données projet'!$B$12,Paramètres!$A$1:$I$89,3,0)*VLOOKUP('Données projet'!$B$12,Paramètres!$A$1:$I$89,5,0)</f>
        <v>271.25279999999992</v>
      </c>
      <c r="CA78" s="13">
        <f t="shared" si="93"/>
        <v>65.115073390838859</v>
      </c>
      <c r="CB78" s="20">
        <f t="shared" si="64"/>
        <v>585.84071282237755</v>
      </c>
      <c r="CC78" s="59">
        <f t="shared" si="65"/>
        <v>879.17404615571081</v>
      </c>
      <c r="CD78" s="59">
        <f ca="1">AVERAGE(OFFSET($CC$3,0,0,'Données projet'!$E$12+1,1))-AVERAGE(OFFSET($H$3,0,0,'Données projet'!$E$12+1,1))</f>
        <v>324.61094137855798</v>
      </c>
      <c r="CE78" s="59">
        <f t="shared" si="94"/>
        <v>267.2998309535638</v>
      </c>
      <c r="CF78" s="15">
        <f>IF(ISNA(VLOOKUP(A78,'Données projet'!$A$113:$I$133,3,0)),0,VLOOKUP(A78,'Données projet'!$A$113:$I$133,3,0))</f>
        <v>12</v>
      </c>
      <c r="CG78" s="15">
        <f>IF(ISNA(VLOOKUP(A78,'Données projet'!$A$113:$I$133,4,0)),0,VLOOKUP(A78,'Données projet'!$A$113:$I$133,4,0))</f>
        <v>21</v>
      </c>
      <c r="CH78" s="16">
        <f>IF(ISNA(VLOOKUP(A78,'Données projet'!$A$113:$I$133,5,0)),0%,VLOOKUP(A78,'Données projet'!$A$113:$I$133,5,0)*VLOOKUP('Données projet'!$B$12,Paramètres!$A$1:$I$89,7,0))</f>
        <v>0.215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23.352662080095929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23.352662080095929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2.8421709430404007E-13</v>
      </c>
      <c r="CU78" s="17">
        <f>CT78*VLOOKUP('Données projet'!$B$13,Paramètres!$A$1:$I$89,3,0)*VLOOKUP('Données projet'!$B$13,Paramètres!$A$1:$I$89,5,0)</f>
        <v>1.69961822393816E-13</v>
      </c>
      <c r="CV78" s="13">
        <f t="shared" si="95"/>
        <v>2.4004382776176369E-12</v>
      </c>
      <c r="CW78" s="20">
        <f t="shared" si="67"/>
        <v>4.4767801741866136E-12</v>
      </c>
      <c r="CX78" s="59">
        <f t="shared" si="68"/>
        <v>293.33333333333781</v>
      </c>
      <c r="CY78" s="59">
        <f ca="1">AVERAGE(OFFSET($CX$3,0,0,'Données projet'!$E$13+1,1))-AVERAGE(OFFSET($H$3,0,0,'Données projet'!$E$13+1,1))</f>
        <v>319.9010109022521</v>
      </c>
      <c r="CZ78" s="59">
        <f t="shared" si="96"/>
        <v>441.82647565372287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90.071846271517842</v>
      </c>
      <c r="DG78" s="21">
        <f>EXP(-LN(2)/25)*DG77+(1-EXP(-LN(2)/25))/(LN(2)/25)*Calculateur!DB78*Calculateur!DD78*VLOOKUP('Données projet'!$B$13,Paramètres!$A$1:$I$89,3,0)*0.475*44/12</f>
        <v>34.387577002673702</v>
      </c>
      <c r="DH78" s="21">
        <f>EXP(-LN(2)/2)*DH77+(1-EXP(-LN(2)/2))/(LN(2)/2)*DB78*DE78*VLOOKUP('Données projet'!$B$13,Paramètres!$A$1:$I$89,3,0)*0.475*44/12</f>
        <v>1.1045373466938742E-2</v>
      </c>
      <c r="DI78" s="22">
        <f t="shared" si="69"/>
        <v>124.47046864765849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>
        <f>DO78*VLOOKUP('Données projet'!$B$14,Paramètres!$A$1:$I$89,3,0)*VLOOKUP('Données projet'!$B$14,Paramètres!$A$1:$I$89,5,0)</f>
        <v>0</v>
      </c>
      <c r="DQ78" s="13" t="e">
        <f t="shared" si="97"/>
        <v>#NUM!</v>
      </c>
      <c r="DR78" s="20" t="e">
        <f t="shared" si="70"/>
        <v>#NUM!</v>
      </c>
      <c r="DS78" s="59" t="e">
        <f t="shared" si="71"/>
        <v>#NUM!</v>
      </c>
      <c r="DT78" s="59">
        <f ca="1">AVERAGE(OFFSET($DS$3,0,0,'Données projet'!$E$14+1,1))-AVERAGE(OFFSET($H$3,0,0,'Données projet'!$E$14+1,1))</f>
        <v>229.61973863654862</v>
      </c>
      <c r="DU78" s="59">
        <f t="shared" si="98"/>
        <v>254.08208375594052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79.667886813941976</v>
      </c>
      <c r="EB78" s="21">
        <f>EXP(-LN(2)/25)*EB77+(1-EXP(-LN(2)/25))/(LN(2)/25)*Calculateur!DW78*Calculateur!DY78*VLOOKUP('Données projet'!$B$14,Paramètres!$A$1:$I$89,3,0)*0.475*44/12</f>
        <v>32.999027754196888</v>
      </c>
      <c r="EC78" s="21">
        <f>EXP(-LN(2)/2)*EC77+(1-EXP(-LN(2)/2))/(LN(2)/2)*DW78*DZ78*VLOOKUP('Données projet'!$B$14,Paramètres!$A$1:$I$89,3,0)*0.475*44/12</f>
        <v>0.24887852410378872</v>
      </c>
      <c r="ED78" s="22">
        <f t="shared" si="72"/>
        <v>112.91579309224265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6</v>
      </c>
      <c r="N79" s="13">
        <f>IF('Données projet'!$A$36&gt;35,N78+M79-V78,IF(A79&lt;'Données projet'!$A$36,$K$205^A79,IF(A79='Données projet'!$A$36,'Données projet'!$B$36,N78+M79-V78)))</f>
        <v>236.99999999999989</v>
      </c>
      <c r="O79" s="13">
        <f>N79*VLOOKUP('Données projet'!$B$9,Paramètres!$A$1:$I$89,3,0)*VLOOKUP('Données projet'!$B$9,Paramètres!$A$1:$I$89,5,0)</f>
        <v>214.43759999999989</v>
      </c>
      <c r="P79" s="13">
        <f t="shared" si="87"/>
        <v>52.904129603372375</v>
      </c>
      <c r="Q79" s="20">
        <f t="shared" si="54"/>
        <v>465.62017905920658</v>
      </c>
      <c r="R79" s="59">
        <f t="shared" si="55"/>
        <v>758.95351239253989</v>
      </c>
      <c r="S79" s="59">
        <f ca="1">AVERAGE(OFFSET($R$3,0,0,'Données projet'!$E$9+1,1))-AVERAGE(OFFSET($H$3,0,0,'Données projet'!$E$9+1,1))</f>
        <v>373.59295497283125</v>
      </c>
      <c r="T79" s="59">
        <f t="shared" si="88"/>
        <v>231.36959598460686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19.244846028761081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19.244846028761081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</v>
      </c>
      <c r="AI79" s="13">
        <f>IF('Données projet'!$A$62&gt;35,AI78+AH79-AQ78,IF(A79&lt;'Données projet'!$A$62,$AF$205^A79,IF(A79='Données projet'!$A$62,'Données projet'!$B$62,AI78+AH79-AQ78)))</f>
        <v>236.99999999999989</v>
      </c>
      <c r="AJ79" s="13">
        <f>AI79*VLOOKUP('Données projet'!$B$10,Paramètres!$A$1:$I$89,3,0)*VLOOKUP('Données projet'!$B$10,Paramètres!$A$1:$I$89,5,0)</f>
        <v>240.3179999999999</v>
      </c>
      <c r="AK79" s="13">
        <f t="shared" si="89"/>
        <v>58.507944457766484</v>
      </c>
      <c r="AL79" s="20">
        <f t="shared" si="58"/>
        <v>520.45518659727634</v>
      </c>
      <c r="AM79" s="59">
        <f t="shared" si="59"/>
        <v>813.78851993060971</v>
      </c>
      <c r="AN79" s="59">
        <f ca="1">AVERAGE(OFFSET($AM$3,0,0,'Données projet'!$E$10+1,1))-AVERAGE(OFFSET($H$3,0,0,'Données projet'!$E$10+1,1))</f>
        <v>413.81510455446738</v>
      </c>
      <c r="AO79" s="59">
        <f t="shared" si="90"/>
        <v>254.25036207346602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21.567499859818454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21.567499859818454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6</v>
      </c>
      <c r="BD79" s="12">
        <f>IF('Données projet'!$A$88&gt;35,BD78+BC79-BL78,IF(A79&lt;'Données projet'!$A$88,$BA$205^A79,IF(A79='Données projet'!$A$88,'Données projet'!$B$88,BD78+BC79-BL78)))</f>
        <v>236.99999999999989</v>
      </c>
      <c r="BE79" s="13">
        <f>BD79*VLOOKUP('Données projet'!$B$11,Paramètres!$A$1:$I$89,3,0)*VLOOKUP('Données projet'!$B$11,Paramètres!$A$1:$I$89,5,0)</f>
        <v>229.22639999999993</v>
      </c>
      <c r="BF79" s="13">
        <f t="shared" si="91"/>
        <v>56.115378339388542</v>
      </c>
      <c r="BG79" s="20">
        <f t="shared" si="61"/>
        <v>496.97026394110162</v>
      </c>
      <c r="BH79" s="59">
        <f t="shared" si="62"/>
        <v>790.30359727443488</v>
      </c>
      <c r="BI79" s="59">
        <f ca="1">AVERAGE(OFFSET($BH$3,0,0,'Données projet'!$E$11+1,1))-AVERAGE(OFFSET($H$3,0,0,'Données projet'!$E$11+1,1))</f>
        <v>295.35565287134125</v>
      </c>
      <c r="BJ79" s="59">
        <f t="shared" si="92"/>
        <v>244.451492444461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20.572076789365298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20.572076789365298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6</v>
      </c>
      <c r="BY79" s="12">
        <f>IF('Données projet'!$A$114&gt;35,BY78+BX79-CG78,IF(A79&lt;'Données projet'!$A$114,$BV$205^A79,IF(A79='Données projet'!$A$114,'Données projet'!$B$114,BY78+BX79-CG78)))</f>
        <v>236.99999999999989</v>
      </c>
      <c r="BZ79" s="13">
        <f>BY79*VLOOKUP('Données projet'!$B$12,Paramètres!$A$1:$I$89,3,0)*VLOOKUP('Données projet'!$B$12,Paramètres!$A$1:$I$89,5,0)</f>
        <v>255.10679999999988</v>
      </c>
      <c r="CA79" s="13">
        <f t="shared" si="93"/>
        <v>61.678194914435764</v>
      </c>
      <c r="CB79" s="20">
        <f t="shared" si="64"/>
        <v>551.733866142642</v>
      </c>
      <c r="CC79" s="59">
        <f t="shared" si="65"/>
        <v>845.06719947597526</v>
      </c>
      <c r="CD79" s="59">
        <f ca="1">AVERAGE(OFFSET($CC$3,0,0,'Données projet'!$E$12+1,1))-AVERAGE(OFFSET($H$3,0,0,'Données projet'!$E$12+1,1))</f>
        <v>324.61094137855798</v>
      </c>
      <c r="CE79" s="59">
        <f t="shared" si="94"/>
        <v>267.2998309535638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22.894730620422667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22.894730620422667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2.8421709430404007E-13</v>
      </c>
      <c r="CU79" s="17">
        <f>CT79*VLOOKUP('Données projet'!$B$13,Paramètres!$A$1:$I$89,3,0)*VLOOKUP('Données projet'!$B$13,Paramètres!$A$1:$I$89,5,0)</f>
        <v>1.69961822393816E-13</v>
      </c>
      <c r="CV79" s="13">
        <f t="shared" si="95"/>
        <v>2.4004382776176369E-12</v>
      </c>
      <c r="CW79" s="20">
        <f t="shared" si="67"/>
        <v>4.4767801741866136E-12</v>
      </c>
      <c r="CX79" s="59">
        <f t="shared" si="68"/>
        <v>293.33333333333781</v>
      </c>
      <c r="CY79" s="59">
        <f ca="1">AVERAGE(OFFSET($CX$3,0,0,'Données projet'!$E$13+1,1))-AVERAGE(OFFSET($H$3,0,0,'Données projet'!$E$13+1,1))</f>
        <v>319.9010109022521</v>
      </c>
      <c r="CZ79" s="59">
        <f t="shared" si="96"/>
        <v>441.82647565372287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88.305592304534883</v>
      </c>
      <c r="DG79" s="21">
        <f>EXP(-LN(2)/25)*DG78+(1-EXP(-LN(2)/25))/(LN(2)/25)*Calculateur!DB79*Calculateur!DD79*VLOOKUP('Données projet'!$B$13,Paramètres!$A$1:$I$89,3,0)*0.475*44/12</f>
        <v>33.447246901171511</v>
      </c>
      <c r="DH79" s="21">
        <f>EXP(-LN(2)/2)*DH78+(1-EXP(-LN(2)/2))/(LN(2)/2)*DB79*DE79*VLOOKUP('Données projet'!$B$13,Paramètres!$A$1:$I$89,3,0)*0.475*44/12</f>
        <v>7.8102584792103516E-3</v>
      </c>
      <c r="DI79" s="22">
        <f t="shared" si="69"/>
        <v>121.7606494641856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>
        <f>DO79*VLOOKUP('Données projet'!$B$14,Paramètres!$A$1:$I$89,3,0)*VLOOKUP('Données projet'!$B$14,Paramètres!$A$1:$I$89,5,0)</f>
        <v>0</v>
      </c>
      <c r="DQ79" s="13" t="e">
        <f t="shared" si="97"/>
        <v>#NUM!</v>
      </c>
      <c r="DR79" s="20" t="e">
        <f t="shared" si="70"/>
        <v>#NUM!</v>
      </c>
      <c r="DS79" s="59" t="e">
        <f t="shared" si="71"/>
        <v>#NUM!</v>
      </c>
      <c r="DT79" s="59">
        <f ca="1">AVERAGE(OFFSET($DS$3,0,0,'Données projet'!$E$14+1,1))-AVERAGE(OFFSET($H$3,0,0,'Données projet'!$E$14+1,1))</f>
        <v>229.61973863654862</v>
      </c>
      <c r="DU79" s="59">
        <f t="shared" si="98"/>
        <v>254.08208375594052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78.105648146133404</v>
      </c>
      <c r="EB79" s="21">
        <f>EXP(-LN(2)/25)*EB78+(1-EXP(-LN(2)/25))/(LN(2)/25)*Calculateur!DW79*Calculateur!DY79*VLOOKUP('Données projet'!$B$14,Paramètres!$A$1:$I$89,3,0)*0.475*44/12</f>
        <v>32.096667604914927</v>
      </c>
      <c r="EC79" s="21">
        <f>EXP(-LN(2)/2)*EC78+(1-EXP(-LN(2)/2))/(LN(2)/2)*DW79*DZ79*VLOOKUP('Données projet'!$B$14,Paramètres!$A$1:$I$89,3,0)*0.475*44/12</f>
        <v>0.17598369208548864</v>
      </c>
      <c r="ED79" s="22">
        <f t="shared" si="72"/>
        <v>110.37829944313383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6</v>
      </c>
      <c r="N80" s="13">
        <f>IF('Données projet'!$A$36&gt;35,N79+M80-V79,IF(A80&lt;'Données projet'!$A$36,$K$205^A80,IF(A80='Données projet'!$A$36,'Données projet'!$B$36,N79+M80-V79)))</f>
        <v>242.99999999999989</v>
      </c>
      <c r="O80" s="13">
        <f>N80*VLOOKUP('Données projet'!$B$9,Paramètres!$A$1:$I$89,3,0)*VLOOKUP('Données projet'!$B$9,Paramètres!$A$1:$I$89,5,0)</f>
        <v>219.86639999999989</v>
      </c>
      <c r="P80" s="13">
        <f t="shared" si="87"/>
        <v>54.085847394182416</v>
      </c>
      <c r="Q80" s="20">
        <f t="shared" si="54"/>
        <v>477.13349754486745</v>
      </c>
      <c r="R80" s="59">
        <f t="shared" si="55"/>
        <v>770.46683087820077</v>
      </c>
      <c r="S80" s="59">
        <f ca="1">AVERAGE(OFFSET($R$3,0,0,'Données projet'!$E$9+1,1))-AVERAGE(OFFSET($H$3,0,0,'Données projet'!$E$9+1,1))</f>
        <v>373.59295497283125</v>
      </c>
      <c r="T80" s="59">
        <f t="shared" si="88"/>
        <v>231.36959598460686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18.867466336334104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18.867466336334104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</v>
      </c>
      <c r="AI80" s="13">
        <f>IF('Données projet'!$A$62&gt;35,AI79+AH80-AQ79,IF(A80&lt;'Données projet'!$A$62,$AF$205^A80,IF(A80='Données projet'!$A$62,'Données projet'!$B$62,AI79+AH80-AQ79)))</f>
        <v>242.99999999999989</v>
      </c>
      <c r="AJ80" s="13">
        <f>AI80*VLOOKUP('Données projet'!$B$10,Paramètres!$A$1:$I$89,3,0)*VLOOKUP('Données projet'!$B$10,Paramètres!$A$1:$I$89,5,0)</f>
        <v>246.4019999999999</v>
      </c>
      <c r="AK80" s="13">
        <f t="shared" si="89"/>
        <v>59.814834475385474</v>
      </c>
      <c r="AL80" s="20">
        <f t="shared" si="58"/>
        <v>533.32765337796286</v>
      </c>
      <c r="AM80" s="59">
        <f t="shared" si="59"/>
        <v>826.66098671129612</v>
      </c>
      <c r="AN80" s="59">
        <f ca="1">AVERAGE(OFFSET($AM$3,0,0,'Données projet'!$E$10+1,1))-AVERAGE(OFFSET($H$3,0,0,'Données projet'!$E$10+1,1))</f>
        <v>413.81510455446738</v>
      </c>
      <c r="AO80" s="59">
        <f t="shared" si="90"/>
        <v>254.25036207346602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21.144574342443391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21.144574342443391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6</v>
      </c>
      <c r="BD80" s="12">
        <f>IF('Données projet'!$A$88&gt;35,BD79+BC80-BL79,IF(A80&lt;'Données projet'!$A$88,$BA$205^A80,IF(A80='Données projet'!$A$88,'Données projet'!$B$88,BD79+BC80-BL79)))</f>
        <v>242.99999999999989</v>
      </c>
      <c r="BE80" s="13">
        <f>BD80*VLOOKUP('Données projet'!$B$11,Paramètres!$A$1:$I$89,3,0)*VLOOKUP('Données projet'!$B$11,Paramètres!$A$1:$I$89,5,0)</f>
        <v>235.0295999999999</v>
      </c>
      <c r="BF80" s="13">
        <f t="shared" si="91"/>
        <v>57.368825686861157</v>
      </c>
      <c r="BG80" s="20">
        <f t="shared" si="61"/>
        <v>509.26059140461626</v>
      </c>
      <c r="BH80" s="59">
        <f t="shared" si="62"/>
        <v>802.59392473794958</v>
      </c>
      <c r="BI80" s="59">
        <f ca="1">AVERAGE(OFFSET($BH$3,0,0,'Données projet'!$E$11+1,1))-AVERAGE(OFFSET($H$3,0,0,'Données projet'!$E$11+1,1))</f>
        <v>295.35565287134125</v>
      </c>
      <c r="BJ80" s="59">
        <f t="shared" si="92"/>
        <v>244.451492444461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20.168670911253699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20.168670911253699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6</v>
      </c>
      <c r="BY80" s="12">
        <f>IF('Données projet'!$A$114&gt;35,BY79+BX80-CG79,IF(A80&lt;'Données projet'!$A$114,$BV$205^A80,IF(A80='Données projet'!$A$114,'Données projet'!$B$114,BY79+BX80-CG79)))</f>
        <v>242.99999999999989</v>
      </c>
      <c r="BZ80" s="13">
        <f>BY80*VLOOKUP('Données projet'!$B$12,Paramètres!$A$1:$I$89,3,0)*VLOOKUP('Données projet'!$B$12,Paramètres!$A$1:$I$89,5,0)</f>
        <v>261.56519999999983</v>
      </c>
      <c r="CA80" s="13">
        <f t="shared" si="93"/>
        <v>63.055898711509279</v>
      </c>
      <c r="CB80" s="20">
        <f t="shared" si="64"/>
        <v>565.38174692254495</v>
      </c>
      <c r="CC80" s="59">
        <f t="shared" si="65"/>
        <v>858.71508025587832</v>
      </c>
      <c r="CD80" s="59">
        <f ca="1">AVERAGE(OFFSET($CC$3,0,0,'Données projet'!$E$12+1,1))-AVERAGE(OFFSET($H$3,0,0,'Données projet'!$E$12+1,1))</f>
        <v>324.61094137855798</v>
      </c>
      <c r="CE80" s="59">
        <f t="shared" si="94"/>
        <v>267.2998309535638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22.445778917362986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22.445778917362986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2.8421709430404007E-13</v>
      </c>
      <c r="CU80" s="17">
        <f>CT80*VLOOKUP('Données projet'!$B$13,Paramètres!$A$1:$I$89,3,0)*VLOOKUP('Données projet'!$B$13,Paramètres!$A$1:$I$89,5,0)</f>
        <v>1.69961822393816E-13</v>
      </c>
      <c r="CV80" s="13">
        <f t="shared" si="95"/>
        <v>2.4004382776176369E-12</v>
      </c>
      <c r="CW80" s="20">
        <f t="shared" si="67"/>
        <v>4.4767801741866136E-12</v>
      </c>
      <c r="CX80" s="59">
        <f t="shared" si="68"/>
        <v>293.33333333333781</v>
      </c>
      <c r="CY80" s="59">
        <f ca="1">AVERAGE(OFFSET($CX$3,0,0,'Données projet'!$E$13+1,1))-AVERAGE(OFFSET($H$3,0,0,'Données projet'!$E$13+1,1))</f>
        <v>319.9010109022521</v>
      </c>
      <c r="CZ80" s="59">
        <f t="shared" si="96"/>
        <v>441.82647565372287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86.573973500535914</v>
      </c>
      <c r="DG80" s="21">
        <f>EXP(-LN(2)/25)*DG79+(1-EXP(-LN(2)/25))/(LN(2)/25)*Calculateur!DB80*Calculateur!DD80*VLOOKUP('Données projet'!$B$13,Paramètres!$A$1:$I$89,3,0)*0.475*44/12</f>
        <v>32.532630175744707</v>
      </c>
      <c r="DH80" s="21">
        <f>EXP(-LN(2)/2)*DH79+(1-EXP(-LN(2)/2))/(LN(2)/2)*DB80*DE80*VLOOKUP('Données projet'!$B$13,Paramètres!$A$1:$I$89,3,0)*0.475*44/12</f>
        <v>5.5226867334693718E-3</v>
      </c>
      <c r="DI80" s="22">
        <f t="shared" si="69"/>
        <v>119.1121263630141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>
        <f>DO80*VLOOKUP('Données projet'!$B$14,Paramètres!$A$1:$I$89,3,0)*VLOOKUP('Données projet'!$B$14,Paramètres!$A$1:$I$89,5,0)</f>
        <v>0</v>
      </c>
      <c r="DQ80" s="13" t="e">
        <f t="shared" si="97"/>
        <v>#NUM!</v>
      </c>
      <c r="DR80" s="20" t="e">
        <f t="shared" si="70"/>
        <v>#NUM!</v>
      </c>
      <c r="DS80" s="59" t="e">
        <f t="shared" si="71"/>
        <v>#NUM!</v>
      </c>
      <c r="DT80" s="59">
        <f ca="1">AVERAGE(OFFSET($DS$3,0,0,'Données projet'!$E$14+1,1))-AVERAGE(OFFSET($H$3,0,0,'Données projet'!$E$14+1,1))</f>
        <v>229.61973863654862</v>
      </c>
      <c r="DU80" s="59">
        <f t="shared" si="98"/>
        <v>254.08208375594052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76.574044025729066</v>
      </c>
      <c r="EB80" s="21">
        <f>EXP(-LN(2)/25)*EB79+(1-EXP(-LN(2)/25))/(LN(2)/25)*Calculateur!DW80*Calculateur!DY80*VLOOKUP('Données projet'!$B$14,Paramètres!$A$1:$I$89,3,0)*0.475*44/12</f>
        <v>31.218982541368138</v>
      </c>
      <c r="EC80" s="21">
        <f>EXP(-LN(2)/2)*EC79+(1-EXP(-LN(2)/2))/(LN(2)/2)*DW80*DZ80*VLOOKUP('Données projet'!$B$14,Paramètres!$A$1:$I$89,3,0)*0.475*44/12</f>
        <v>0.12443926205189439</v>
      </c>
      <c r="ED80" s="22">
        <f t="shared" si="72"/>
        <v>107.91746582914909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6</v>
      </c>
      <c r="N81" s="13">
        <f>IF('Données projet'!$A$36&gt;35,N80+M81-V80,IF(A81&lt;'Données projet'!$A$36,$K$205^A81,IF(A81='Données projet'!$A$36,'Données projet'!$B$36,N80+M81-V80)))</f>
        <v>248.99999999999989</v>
      </c>
      <c r="O81" s="13">
        <f>N81*VLOOKUP('Données projet'!$B$9,Paramètres!$A$1:$I$89,3,0)*VLOOKUP('Données projet'!$B$9,Paramètres!$A$1:$I$89,5,0)</f>
        <v>225.29519999999991</v>
      </c>
      <c r="P81" s="13">
        <f t="shared" si="87"/>
        <v>55.264173352293078</v>
      </c>
      <c r="Q81" s="20">
        <f t="shared" si="54"/>
        <v>488.64090858857691</v>
      </c>
      <c r="R81" s="59">
        <f t="shared" si="55"/>
        <v>781.97424192191022</v>
      </c>
      <c r="S81" s="59">
        <f ca="1">AVERAGE(OFFSET($R$3,0,0,'Données projet'!$E$9+1,1))-AVERAGE(OFFSET($H$3,0,0,'Données projet'!$E$9+1,1))</f>
        <v>373.59295497283125</v>
      </c>
      <c r="T81" s="59">
        <f t="shared" si="88"/>
        <v>231.36959598460686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18.497486829496737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18.497486829496737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</v>
      </c>
      <c r="AI81" s="13">
        <f>IF('Données projet'!$A$62&gt;35,AI80+AH81-AQ80,IF(A81&lt;'Données projet'!$A$62,$AF$205^A81,IF(A81='Données projet'!$A$62,'Données projet'!$B$62,AI80+AH81-AQ80)))</f>
        <v>248.99999999999989</v>
      </c>
      <c r="AJ81" s="13">
        <f>AI81*VLOOKUP('Données projet'!$B$10,Paramètres!$A$1:$I$89,3,0)*VLOOKUP('Données projet'!$B$10,Paramètres!$A$1:$I$89,5,0)</f>
        <v>252.4859999999999</v>
      </c>
      <c r="AK81" s="13">
        <f t="shared" si="89"/>
        <v>61.117973383957384</v>
      </c>
      <c r="AL81" s="20">
        <f t="shared" si="58"/>
        <v>546.193586977059</v>
      </c>
      <c r="AM81" s="59">
        <f t="shared" si="59"/>
        <v>839.52692031039237</v>
      </c>
      <c r="AN81" s="59">
        <f ca="1">AVERAGE(OFFSET($AM$3,0,0,'Données projet'!$E$10+1,1))-AVERAGE(OFFSET($H$3,0,0,'Données projet'!$E$10+1,1))</f>
        <v>413.81510455446738</v>
      </c>
      <c r="AO81" s="59">
        <f t="shared" si="90"/>
        <v>254.25036207346602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20.72994213650496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20.72994213650496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6</v>
      </c>
      <c r="BD81" s="12">
        <f>IF('Données projet'!$A$88&gt;35,BD80+BC81-BL80,IF(A81&lt;'Données projet'!$A$88,$BA$205^A81,IF(A81='Données projet'!$A$88,'Données projet'!$B$88,BD80+BC81-BL80)))</f>
        <v>248.99999999999989</v>
      </c>
      <c r="BE81" s="13">
        <f>BD81*VLOOKUP('Données projet'!$B$11,Paramètres!$A$1:$I$89,3,0)*VLOOKUP('Données projet'!$B$11,Paramètres!$A$1:$I$89,5,0)</f>
        <v>240.83279999999991</v>
      </c>
      <c r="BF81" s="13">
        <f t="shared" si="91"/>
        <v>58.618675319436669</v>
      </c>
      <c r="BG81" s="20">
        <f t="shared" si="61"/>
        <v>521.5446528480187</v>
      </c>
      <c r="BH81" s="59">
        <f t="shared" si="62"/>
        <v>814.87798618135207</v>
      </c>
      <c r="BI81" s="59">
        <f ca="1">AVERAGE(OFFSET($BH$3,0,0,'Données projet'!$E$11+1,1))-AVERAGE(OFFSET($H$3,0,0,'Données projet'!$E$11+1,1))</f>
        <v>295.35565287134125</v>
      </c>
      <c r="BJ81" s="59">
        <f t="shared" si="92"/>
        <v>244.451492444461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19.773175576358579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19.773175576358579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6</v>
      </c>
      <c r="BY81" s="12">
        <f>IF('Données projet'!$A$114&gt;35,BY80+BX81-CG80,IF(A81&lt;'Données projet'!$A$114,$BV$205^A81,IF(A81='Données projet'!$A$114,'Données projet'!$B$114,BY80+BX81-CG80)))</f>
        <v>248.99999999999989</v>
      </c>
      <c r="BZ81" s="13">
        <f>BY81*VLOOKUP('Données projet'!$B$12,Paramètres!$A$1:$I$89,3,0)*VLOOKUP('Données projet'!$B$12,Paramètres!$A$1:$I$89,5,0)</f>
        <v>268.02359999999987</v>
      </c>
      <c r="CA81" s="13">
        <f t="shared" si="93"/>
        <v>64.429648145853221</v>
      </c>
      <c r="CB81" s="20">
        <f t="shared" si="64"/>
        <v>579.02274052069401</v>
      </c>
      <c r="CC81" s="59">
        <f t="shared" si="65"/>
        <v>872.35607385402727</v>
      </c>
      <c r="CD81" s="59">
        <f ca="1">AVERAGE(OFFSET($CC$3,0,0,'Données projet'!$E$12+1,1))-AVERAGE(OFFSET($H$3,0,0,'Données projet'!$E$12+1,1))</f>
        <v>324.61094137855798</v>
      </c>
      <c r="CE81" s="59">
        <f t="shared" si="94"/>
        <v>267.2998309535638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22.005630883366806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22.005630883366806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2.8421709430404007E-13</v>
      </c>
      <c r="CU81" s="17">
        <f>CT81*VLOOKUP('Données projet'!$B$13,Paramètres!$A$1:$I$89,3,0)*VLOOKUP('Données projet'!$B$13,Paramètres!$A$1:$I$89,5,0)</f>
        <v>1.69961822393816E-13</v>
      </c>
      <c r="CV81" s="13">
        <f t="shared" si="95"/>
        <v>2.4004382776176369E-12</v>
      </c>
      <c r="CW81" s="20">
        <f t="shared" si="67"/>
        <v>4.4767801741866136E-12</v>
      </c>
      <c r="CX81" s="59">
        <f t="shared" si="68"/>
        <v>293.33333333333781</v>
      </c>
      <c r="CY81" s="59">
        <f ca="1">AVERAGE(OFFSET($CX$3,0,0,'Données projet'!$E$13+1,1))-AVERAGE(OFFSET($H$3,0,0,'Données projet'!$E$13+1,1))</f>
        <v>319.9010109022521</v>
      </c>
      <c r="CZ81" s="59">
        <f t="shared" si="96"/>
        <v>441.82647565372287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84.876310685100194</v>
      </c>
      <c r="DG81" s="21">
        <f>EXP(-LN(2)/25)*DG80+(1-EXP(-LN(2)/25))/(LN(2)/25)*Calculateur!DB81*Calculateur!DD81*VLOOKUP('Données projet'!$B$13,Paramètres!$A$1:$I$89,3,0)*0.475*44/12</f>
        <v>31.643023692772303</v>
      </c>
      <c r="DH81" s="21">
        <f>EXP(-LN(2)/2)*DH80+(1-EXP(-LN(2)/2))/(LN(2)/2)*DB81*DE81*VLOOKUP('Données projet'!$B$13,Paramètres!$A$1:$I$89,3,0)*0.475*44/12</f>
        <v>3.9051292396051762E-3</v>
      </c>
      <c r="DI81" s="22">
        <f t="shared" si="69"/>
        <v>116.52323950711209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>
        <f>DO81*VLOOKUP('Données projet'!$B$14,Paramètres!$A$1:$I$89,3,0)*VLOOKUP('Données projet'!$B$14,Paramètres!$A$1:$I$89,5,0)</f>
        <v>0</v>
      </c>
      <c r="DQ81" s="13" t="e">
        <f t="shared" si="97"/>
        <v>#NUM!</v>
      </c>
      <c r="DR81" s="20" t="e">
        <f t="shared" si="70"/>
        <v>#NUM!</v>
      </c>
      <c r="DS81" s="59" t="e">
        <f t="shared" si="71"/>
        <v>#NUM!</v>
      </c>
      <c r="DT81" s="59">
        <f ca="1">AVERAGE(OFFSET($DS$3,0,0,'Données projet'!$E$14+1,1))-AVERAGE(OFFSET($H$3,0,0,'Données projet'!$E$14+1,1))</f>
        <v>229.61973863654862</v>
      </c>
      <c r="DU81" s="59">
        <f t="shared" si="98"/>
        <v>254.08208375594052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75.072473727939581</v>
      </c>
      <c r="EB81" s="21">
        <f>EXP(-LN(2)/25)*EB80+(1-EXP(-LN(2)/25))/(LN(2)/25)*Calculateur!DW81*Calculateur!DY81*VLOOKUP('Données projet'!$B$14,Paramètres!$A$1:$I$89,3,0)*0.475*44/12</f>
        <v>30.365297822039487</v>
      </c>
      <c r="EC81" s="21">
        <f>EXP(-LN(2)/2)*EC80+(1-EXP(-LN(2)/2))/(LN(2)/2)*DW81*DZ81*VLOOKUP('Données projet'!$B$14,Paramètres!$A$1:$I$89,3,0)*0.475*44/12</f>
        <v>8.7991846042744334E-2</v>
      </c>
      <c r="ED81" s="22">
        <f t="shared" si="72"/>
        <v>105.5257633960218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6</v>
      </c>
      <c r="N82" s="13">
        <f>IF('Données projet'!$A$36&gt;35,N81+M82-V81,IF(A82&lt;'Données projet'!$A$36,$K$205^A82,IF(A82='Données projet'!$A$36,'Données projet'!$B$36,N81+M82-V81)))</f>
        <v>254.99999999999989</v>
      </c>
      <c r="O82" s="13">
        <f>N82*VLOOKUP('Données projet'!$B$9,Paramètres!$A$1:$I$89,3,0)*VLOOKUP('Données projet'!$B$9,Paramètres!$A$1:$I$89,5,0)</f>
        <v>230.72399999999988</v>
      </c>
      <c r="P82" s="13">
        <f t="shared" si="87"/>
        <v>56.439198612082045</v>
      </c>
      <c r="Q82" s="20">
        <f t="shared" si="54"/>
        <v>500.14257091604264</v>
      </c>
      <c r="R82" s="59">
        <f t="shared" si="55"/>
        <v>793.47590424937596</v>
      </c>
      <c r="S82" s="59">
        <f ca="1">AVERAGE(OFFSET($R$3,0,0,'Données projet'!$E$9+1,1))-AVERAGE(OFFSET($H$3,0,0,'Données projet'!$E$9+1,1))</f>
        <v>373.59295497283125</v>
      </c>
      <c r="T82" s="59">
        <f t="shared" si="88"/>
        <v>231.36959598460686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18.134762395123232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18.134762395123232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</v>
      </c>
      <c r="AI82" s="13">
        <f>IF('Données projet'!$A$62&gt;35,AI81+AH82-AQ81,IF(A82&lt;'Données projet'!$A$62,$AF$205^A82,IF(A82='Données projet'!$A$62,'Données projet'!$B$62,AI81+AH82-AQ81)))</f>
        <v>254.99999999999989</v>
      </c>
      <c r="AJ82" s="13">
        <f>AI82*VLOOKUP('Données projet'!$B$10,Paramètres!$A$1:$I$89,3,0)*VLOOKUP('Données projet'!$B$10,Paramètres!$A$1:$I$89,5,0)</f>
        <v>258.56999999999994</v>
      </c>
      <c r="AK82" s="13">
        <f t="shared" si="89"/>
        <v>62.417461971173843</v>
      </c>
      <c r="AL82" s="20">
        <f t="shared" si="58"/>
        <v>559.05316293312762</v>
      </c>
      <c r="AM82" s="59">
        <f t="shared" si="59"/>
        <v>852.38649626646088</v>
      </c>
      <c r="AN82" s="59">
        <f ca="1">AVERAGE(OFFSET($AM$3,0,0,'Données projet'!$E$10+1,1))-AVERAGE(OFFSET($H$3,0,0,'Données projet'!$E$10+1,1))</f>
        <v>413.81510455446738</v>
      </c>
      <c r="AO82" s="59">
        <f t="shared" si="90"/>
        <v>254.25036207346602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20.323440615224307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20.323440615224307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6</v>
      </c>
      <c r="BD82" s="12">
        <f>IF('Données projet'!$A$88&gt;35,BD81+BC82-BL81,IF(A82&lt;'Données projet'!$A$88,$BA$205^A82,IF(A82='Données projet'!$A$88,'Données projet'!$B$88,BD81+BC82-BL81)))</f>
        <v>254.99999999999989</v>
      </c>
      <c r="BE82" s="13">
        <f>BD82*VLOOKUP('Données projet'!$B$11,Paramètres!$A$1:$I$89,3,0)*VLOOKUP('Données projet'!$B$11,Paramètres!$A$1:$I$89,5,0)</f>
        <v>246.63599999999991</v>
      </c>
      <c r="BF82" s="13">
        <f t="shared" si="91"/>
        <v>59.865023903294535</v>
      </c>
      <c r="BG82" s="20">
        <f t="shared" si="61"/>
        <v>533.82261663157112</v>
      </c>
      <c r="BH82" s="59">
        <f t="shared" si="62"/>
        <v>827.15594996490449</v>
      </c>
      <c r="BI82" s="59">
        <f ca="1">AVERAGE(OFFSET($BH$3,0,0,'Données projet'!$E$11+1,1))-AVERAGE(OFFSET($H$3,0,0,'Données projet'!$E$11+1,1))</f>
        <v>295.35565287134125</v>
      </c>
      <c r="BJ82" s="59">
        <f t="shared" si="92"/>
        <v>244.451492444461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19.385435663752418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19.385435663752418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6</v>
      </c>
      <c r="BY82" s="12">
        <f>IF('Données projet'!$A$114&gt;35,BY81+BX82-CG81,IF(A82&lt;'Données projet'!$A$114,$BV$205^A82,IF(A82='Données projet'!$A$114,'Données projet'!$B$114,BY81+BX82-CG81)))</f>
        <v>254.99999999999989</v>
      </c>
      <c r="BZ82" s="13">
        <f>BY82*VLOOKUP('Données projet'!$B$12,Paramètres!$A$1:$I$89,3,0)*VLOOKUP('Données projet'!$B$12,Paramètres!$A$1:$I$89,5,0)</f>
        <v>274.48199999999986</v>
      </c>
      <c r="CA82" s="13">
        <f t="shared" si="93"/>
        <v>65.79954946633589</v>
      </c>
      <c r="CB82" s="20">
        <f t="shared" si="64"/>
        <v>592.65703198720132</v>
      </c>
      <c r="CC82" s="59">
        <f t="shared" si="65"/>
        <v>885.99036532053469</v>
      </c>
      <c r="CD82" s="59">
        <f ca="1">AVERAGE(OFFSET($CC$3,0,0,'Données projet'!$E$12+1,1))-AVERAGE(OFFSET($H$3,0,0,'Données projet'!$E$12+1,1))</f>
        <v>324.61094137855798</v>
      </c>
      <c r="CE82" s="59">
        <f t="shared" si="94"/>
        <v>267.2998309535638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21.574113883853499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21.574113883853499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2.8421709430404007E-13</v>
      </c>
      <c r="CU82" s="17">
        <f>CT82*VLOOKUP('Données projet'!$B$13,Paramètres!$A$1:$I$89,3,0)*VLOOKUP('Données projet'!$B$13,Paramètres!$A$1:$I$89,5,0)</f>
        <v>1.69961822393816E-13</v>
      </c>
      <c r="CV82" s="13">
        <f t="shared" si="95"/>
        <v>2.4004382776176369E-12</v>
      </c>
      <c r="CW82" s="20">
        <f t="shared" si="67"/>
        <v>4.4767801741866136E-12</v>
      </c>
      <c r="CX82" s="59">
        <f t="shared" si="68"/>
        <v>293.33333333333781</v>
      </c>
      <c r="CY82" s="59">
        <f ca="1">AVERAGE(OFFSET($CX$3,0,0,'Données projet'!$E$13+1,1))-AVERAGE(OFFSET($H$3,0,0,'Données projet'!$E$13+1,1))</f>
        <v>319.9010109022521</v>
      </c>
      <c r="CZ82" s="59">
        <f t="shared" si="96"/>
        <v>441.82647565372287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83.211938002003095</v>
      </c>
      <c r="DG82" s="21">
        <f>EXP(-LN(2)/25)*DG81+(1-EXP(-LN(2)/25))/(LN(2)/25)*Calculateur!DB82*Calculateur!DD82*VLOOKUP('Données projet'!$B$13,Paramètres!$A$1:$I$89,3,0)*0.475*44/12</f>
        <v>30.777743545859149</v>
      </c>
      <c r="DH82" s="21">
        <f>EXP(-LN(2)/2)*DH81+(1-EXP(-LN(2)/2))/(LN(2)/2)*DB82*DE82*VLOOKUP('Données projet'!$B$13,Paramètres!$A$1:$I$89,3,0)*0.475*44/12</f>
        <v>2.7613433667346863E-3</v>
      </c>
      <c r="DI82" s="22">
        <f t="shared" si="69"/>
        <v>113.99244289122898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>
        <f>DO82*VLOOKUP('Données projet'!$B$14,Paramètres!$A$1:$I$89,3,0)*VLOOKUP('Données projet'!$B$14,Paramètres!$A$1:$I$89,5,0)</f>
        <v>0</v>
      </c>
      <c r="DQ82" s="13" t="e">
        <f t="shared" si="97"/>
        <v>#NUM!</v>
      </c>
      <c r="DR82" s="20" t="e">
        <f t="shared" si="70"/>
        <v>#NUM!</v>
      </c>
      <c r="DS82" s="59" t="e">
        <f t="shared" si="71"/>
        <v>#NUM!</v>
      </c>
      <c r="DT82" s="59">
        <f ca="1">AVERAGE(OFFSET($DS$3,0,0,'Données projet'!$E$14+1,1))-AVERAGE(OFFSET($H$3,0,0,'Données projet'!$E$14+1,1))</f>
        <v>229.61973863654862</v>
      </c>
      <c r="DU82" s="59">
        <f t="shared" si="98"/>
        <v>254.08208375594052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73.600348307822301</v>
      </c>
      <c r="EB82" s="21">
        <f>EXP(-LN(2)/25)*EB81+(1-EXP(-LN(2)/25))/(LN(2)/25)*Calculateur!DW82*Calculateur!DY82*VLOOKUP('Données projet'!$B$14,Paramètres!$A$1:$I$89,3,0)*0.475*44/12</f>
        <v>29.534957156254205</v>
      </c>
      <c r="EC82" s="21">
        <f>EXP(-LN(2)/2)*EC81+(1-EXP(-LN(2)/2))/(LN(2)/2)*DW82*DZ82*VLOOKUP('Données projet'!$B$14,Paramètres!$A$1:$I$89,3,0)*0.475*44/12</f>
        <v>6.22196310259472E-2</v>
      </c>
      <c r="ED82" s="22">
        <f t="shared" si="72"/>
        <v>103.19752509510246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261</v>
      </c>
      <c r="L83" s="12">
        <f>VLOOKUP(A83,'Données projet'!$A$35:$I$55,9,0)</f>
        <v>6</v>
      </c>
      <c r="M83" s="12">
        <f t="array" ref="M83">INDEX(L:L,MIN(IF(ISNUMBER(L83:L279),ROW(L83:L279),"")))</f>
        <v>6</v>
      </c>
      <c r="N83" s="13">
        <f>IF('Données projet'!$A$36&gt;35,N82+M83-V82,IF(A83&lt;'Données projet'!$A$36,$K$205^A83,IF(A83='Données projet'!$A$36,'Données projet'!$B$36,N82+M83-V82)))</f>
        <v>260.99999999999989</v>
      </c>
      <c r="O83" s="13">
        <f>N83*VLOOKUP('Données projet'!$B$9,Paramètres!$A$1:$I$89,3,0)*VLOOKUP('Données projet'!$B$9,Paramètres!$A$1:$I$89,5,0)</f>
        <v>236.15279999999987</v>
      </c>
      <c r="P83" s="13">
        <f t="shared" si="87"/>
        <v>57.61100977459931</v>
      </c>
      <c r="Q83" s="20">
        <f t="shared" si="54"/>
        <v>511.63863535742689</v>
      </c>
      <c r="R83" s="59">
        <f t="shared" si="55"/>
        <v>804.97196869076015</v>
      </c>
      <c r="S83" s="59">
        <f ca="1">AVERAGE(OFFSET($R$3,0,0,'Données projet'!$E$9+1,1))-AVERAGE(OFFSET($H$3,0,0,'Données projet'!$E$9+1,1))</f>
        <v>373.59295497283125</v>
      </c>
      <c r="T83" s="59">
        <f t="shared" si="88"/>
        <v>231.36959598460686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21</v>
      </c>
      <c r="W83" s="16">
        <f>IF(ISNA(VLOOKUP(A83,'Données projet'!$A$35:$I$55,5,0)),0%,VLOOKUP(A83,'Données projet'!$A$35:$I$55,5,0)*VLOOKUP('Données projet'!$B$9,Paramètres!$A$1:$I$89,7,0))</f>
        <v>0.25800000000000001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23.198394735224589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23.198394735224589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261</v>
      </c>
      <c r="AG83" s="12">
        <f>VLOOKUP(A83,'Données projet'!$A$61:$I$81,9,0)</f>
        <v>6</v>
      </c>
      <c r="AH83" s="12">
        <f t="array" ref="AH83">INDEX(AG:AG,MIN(IF(ISNUMBER(AG83:AG279),ROW(AG83:AG279),"")))</f>
        <v>6</v>
      </c>
      <c r="AI83" s="13">
        <f>IF('Données projet'!$A$62&gt;35,AI82+AH83-AQ82,IF(A83&lt;'Données projet'!$A$62,$AF$205^A83,IF(A83='Données projet'!$A$62,'Données projet'!$B$62,AI82+AH83-AQ82)))</f>
        <v>260.99999999999989</v>
      </c>
      <c r="AJ83" s="13">
        <f>AI83*VLOOKUP('Données projet'!$B$10,Paramètres!$A$1:$I$89,3,0)*VLOOKUP('Données projet'!$B$10,Paramètres!$A$1:$I$89,5,0)</f>
        <v>264.65399999999988</v>
      </c>
      <c r="AK83" s="13">
        <f t="shared" si="89"/>
        <v>63.71339601121106</v>
      </c>
      <c r="AL83" s="20">
        <f t="shared" si="58"/>
        <v>571.90654805285897</v>
      </c>
      <c r="AM83" s="59">
        <f t="shared" si="59"/>
        <v>865.23988138619234</v>
      </c>
      <c r="AN83" s="59">
        <f ca="1">AVERAGE(OFFSET($AM$3,0,0,'Données projet'!$E$10+1,1))-AVERAGE(OFFSET($H$3,0,0,'Données projet'!$E$10+1,1))</f>
        <v>413.81510455446738</v>
      </c>
      <c r="AO83" s="59">
        <f t="shared" si="90"/>
        <v>254.25036207346602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21</v>
      </c>
      <c r="AR83" s="16">
        <f>IF(ISNA(VLOOKUP(A83,'Données projet'!$A$61:$I$81,5,0)),0%,VLOOKUP(A83,'Données projet'!$A$61:$I$81,5,0)*VLOOKUP('Données projet'!$B$10,Paramètres!$A$1:$I$89,7,0))</f>
        <v>0.25800000000000001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25.998200996372379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25.998200996372379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261</v>
      </c>
      <c r="BB83" s="12">
        <f>VLOOKUP(A83,'Données projet'!$A$87:$I$107,9,0)</f>
        <v>6</v>
      </c>
      <c r="BC83" s="12">
        <f t="array" ref="BC83">INDEX(BB:BB,MIN(IF(ISNUMBER(BB83:BB279),ROW(BB83:BB279),"")))</f>
        <v>6</v>
      </c>
      <c r="BD83" s="12">
        <f>IF('Données projet'!$A$88&gt;35,BD82+BC83-BL82,IF(A83&lt;'Données projet'!$A$88,$BA$205^A83,IF(A83='Données projet'!$A$88,'Données projet'!$B$88,BD82+BC83-BL82)))</f>
        <v>260.99999999999989</v>
      </c>
      <c r="BE83" s="13">
        <f>BD83*VLOOKUP('Données projet'!$B$11,Paramètres!$A$1:$I$89,3,0)*VLOOKUP('Données projet'!$B$11,Paramètres!$A$1:$I$89,5,0)</f>
        <v>252.43919999999991</v>
      </c>
      <c r="BF83" s="13">
        <f t="shared" si="91"/>
        <v>61.107963296116218</v>
      </c>
      <c r="BG83" s="20">
        <f t="shared" si="61"/>
        <v>546.09464274073559</v>
      </c>
      <c r="BH83" s="59">
        <f t="shared" si="62"/>
        <v>839.42797607406897</v>
      </c>
      <c r="BI83" s="59">
        <f ca="1">AVERAGE(OFFSET($BH$3,0,0,'Données projet'!$E$11+1,1))-AVERAGE(OFFSET($H$3,0,0,'Données projet'!$E$11+1,1))</f>
        <v>295.35565287134125</v>
      </c>
      <c r="BJ83" s="59">
        <f t="shared" si="92"/>
        <v>244.451492444461</v>
      </c>
      <c r="BK83" s="15">
        <f>IF(ISNA(VLOOKUP(A83,'Données projet'!$A$87:$I$107,3,0)),0,VLOOKUP(A83,'Données projet'!$A$87:$I$107,3,0))</f>
        <v>13</v>
      </c>
      <c r="BL83" s="21">
        <f>IF(ISNA(VLOOKUP(A83,'Données projet'!$A$87:$I$107,4,0)),0,VLOOKUP(A83,'Données projet'!$A$87:$I$107,4,0))</f>
        <v>261</v>
      </c>
      <c r="BM83" s="16">
        <f>IF(ISNA(VLOOKUP(A83,'Données projet'!$A$87:$I$107,5,0)),0%,VLOOKUP(A83,'Données projet'!$A$87:$I$107,5,0)*VLOOKUP('Données projet'!$B$11,Paramètres!$A$1:$I$89,7,0))</f>
        <v>0.25800000000000001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91.003826118446995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91.003826118446995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261</v>
      </c>
      <c r="BW83" s="12">
        <f>VLOOKUP(A83,'Données projet'!$A$113:$I$133,9,0)</f>
        <v>6</v>
      </c>
      <c r="BX83" s="12">
        <f t="array" ref="BX83">INDEX(BW:BW,MIN(IF(ISNUMBER(BW83:BW279),ROW(BW83:BW279),"")))</f>
        <v>6</v>
      </c>
      <c r="BY83" s="12">
        <f>IF('Données projet'!$A$114&gt;35,BY82+BX83-CG82,IF(A83&lt;'Données projet'!$A$114,$BV$205^A83,IF(A83='Données projet'!$A$114,'Données projet'!$B$114,BY82+BX83-CG82)))</f>
        <v>260.99999999999989</v>
      </c>
      <c r="BZ83" s="13">
        <f>BY83*VLOOKUP('Données projet'!$B$12,Paramètres!$A$1:$I$89,3,0)*VLOOKUP('Données projet'!$B$12,Paramètres!$A$1:$I$89,5,0)</f>
        <v>280.9403999999999</v>
      </c>
      <c r="CA83" s="13">
        <f t="shared" si="93"/>
        <v>67.165703636653205</v>
      </c>
      <c r="CB83" s="20">
        <f t="shared" si="64"/>
        <v>606.28479716717072</v>
      </c>
      <c r="CC83" s="59">
        <f t="shared" si="65"/>
        <v>899.61813050050409</v>
      </c>
      <c r="CD83" s="59">
        <f ca="1">AVERAGE(OFFSET($CC$3,0,0,'Données projet'!$E$12+1,1))-AVERAGE(OFFSET($H$3,0,0,'Données projet'!$E$12+1,1))</f>
        <v>324.61094137855798</v>
      </c>
      <c r="CE83" s="59">
        <f t="shared" si="94"/>
        <v>267.2998309535638</v>
      </c>
      <c r="CF83" s="15">
        <f>IF(ISNA(VLOOKUP(A83,'Données projet'!$A$113:$I$133,3,0)),0,VLOOKUP(A83,'Données projet'!$A$113:$I$133,3,0))</f>
        <v>13</v>
      </c>
      <c r="CG83" s="15">
        <f>IF(ISNA(VLOOKUP(A83,'Données projet'!$A$113:$I$133,4,0)),0,VLOOKUP(A83,'Données projet'!$A$113:$I$133,4,0))</f>
        <v>261</v>
      </c>
      <c r="CH83" s="16">
        <f>IF(ISNA(VLOOKUP(A83,'Données projet'!$A$113:$I$133,5,0)),0%,VLOOKUP(A83,'Données projet'!$A$113:$I$133,5,0)*VLOOKUP('Données projet'!$B$12,Paramètres!$A$1:$I$89,7,0))</f>
        <v>0.25800000000000001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101.27845164794908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101.27845164794908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2.8421709430404007E-13</v>
      </c>
      <c r="CU83" s="17">
        <f>CT83*VLOOKUP('Données projet'!$B$13,Paramètres!$A$1:$I$89,3,0)*VLOOKUP('Données projet'!$B$13,Paramètres!$A$1:$I$89,5,0)</f>
        <v>1.69961822393816E-13</v>
      </c>
      <c r="CV83" s="13">
        <f t="shared" si="95"/>
        <v>2.4004382776176369E-12</v>
      </c>
      <c r="CW83" s="20">
        <f t="shared" si="67"/>
        <v>4.4767801741866136E-12</v>
      </c>
      <c r="CX83" s="59">
        <f t="shared" si="68"/>
        <v>293.33333333333781</v>
      </c>
      <c r="CY83" s="59">
        <f ca="1">AVERAGE(OFFSET($CX$3,0,0,'Données projet'!$E$13+1,1))-AVERAGE(OFFSET($H$3,0,0,'Données projet'!$E$13+1,1))</f>
        <v>319.9010109022521</v>
      </c>
      <c r="CZ83" s="59">
        <f t="shared" si="96"/>
        <v>441.82647565372287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81.580202652054425</v>
      </c>
      <c r="DG83" s="21">
        <f>EXP(-LN(2)/25)*DG82+(1-EXP(-LN(2)/25))/(LN(2)/25)*Calculateur!DB83*Calculateur!DD83*VLOOKUP('Données projet'!$B$13,Paramètres!$A$1:$I$89,3,0)*0.475*44/12</f>
        <v>29.93612453006644</v>
      </c>
      <c r="DH83" s="21">
        <f>EXP(-LN(2)/2)*DH82+(1-EXP(-LN(2)/2))/(LN(2)/2)*DB83*DE83*VLOOKUP('Données projet'!$B$13,Paramètres!$A$1:$I$89,3,0)*0.475*44/12</f>
        <v>1.9525646198025883E-3</v>
      </c>
      <c r="DI83" s="22">
        <f t="shared" si="69"/>
        <v>111.51827974674066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>
        <f>DO83*VLOOKUP('Données projet'!$B$14,Paramètres!$A$1:$I$89,3,0)*VLOOKUP('Données projet'!$B$14,Paramètres!$A$1:$I$89,5,0)</f>
        <v>0</v>
      </c>
      <c r="DQ83" s="13" t="e">
        <f t="shared" si="97"/>
        <v>#NUM!</v>
      </c>
      <c r="DR83" s="20" t="e">
        <f t="shared" si="70"/>
        <v>#NUM!</v>
      </c>
      <c r="DS83" s="59" t="e">
        <f t="shared" si="71"/>
        <v>#NUM!</v>
      </c>
      <c r="DT83" s="59">
        <f ca="1">AVERAGE(OFFSET($DS$3,0,0,'Données projet'!$E$14+1,1))-AVERAGE(OFFSET($H$3,0,0,'Données projet'!$E$14+1,1))</f>
        <v>229.61973863654862</v>
      </c>
      <c r="DU83" s="59">
        <f t="shared" si="98"/>
        <v>254.08208375594052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72.157090369285683</v>
      </c>
      <c r="EB83" s="21">
        <f>EXP(-LN(2)/25)*EB82+(1-EXP(-LN(2)/25))/(LN(2)/25)*Calculateur!DW83*Calculateur!DY83*VLOOKUP('Données projet'!$B$14,Paramètres!$A$1:$I$89,3,0)*0.475*44/12</f>
        <v>28.72732219964054</v>
      </c>
      <c r="EC83" s="21">
        <f>EXP(-LN(2)/2)*EC82+(1-EXP(-LN(2)/2))/(LN(2)/2)*DW83*DZ83*VLOOKUP('Données projet'!$B$14,Paramètres!$A$1:$I$89,3,0)*0.475*44/12</f>
        <v>4.3995923021372174E-2</v>
      </c>
      <c r="ED83" s="22">
        <f t="shared" si="72"/>
        <v>100.92840849194759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5.8</v>
      </c>
      <c r="N84" s="13">
        <f>IF('Données projet'!$A$36&gt;35,N83+M84-V83,IF(A84&lt;'Données projet'!$A$36,$K$205^A84,IF(A84='Données projet'!$A$36,'Données projet'!$B$36,N83+M84-V83)))</f>
        <v>245.7999999999999</v>
      </c>
      <c r="O84" s="13">
        <f>N84*VLOOKUP('Données projet'!$B$9,Paramètres!$A$1:$I$89,3,0)*VLOOKUP('Données projet'!$B$9,Paramètres!$A$1:$I$89,5,0)</f>
        <v>222.3998399999999</v>
      </c>
      <c r="P84" s="13">
        <f t="shared" si="87"/>
        <v>54.636149281681448</v>
      </c>
      <c r="Q84" s="20">
        <f t="shared" si="54"/>
        <v>482.50434799892832</v>
      </c>
      <c r="R84" s="59">
        <f t="shared" si="55"/>
        <v>775.83768133226158</v>
      </c>
      <c r="S84" s="59">
        <f ca="1">AVERAGE(OFFSET($R$3,0,0,'Données projet'!$E$9+1,1))-AVERAGE(OFFSET($H$3,0,0,'Données projet'!$E$9+1,1))</f>
        <v>373.59295497283125</v>
      </c>
      <c r="T84" s="59">
        <f t="shared" si="88"/>
        <v>231.36959598460686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22.743488364090464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22.743488364090464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5.8</v>
      </c>
      <c r="AI84" s="13">
        <f>IF('Données projet'!$A$62&gt;35,AI83+AH84-AQ83,IF(A84&lt;'Données projet'!$A$62,$AF$205^A84,IF(A84='Données projet'!$A$62,'Données projet'!$B$62,AI83+AH84-AQ83)))</f>
        <v>245.7999999999999</v>
      </c>
      <c r="AJ84" s="13">
        <f>AI84*VLOOKUP('Données projet'!$B$10,Paramètres!$A$1:$I$89,3,0)*VLOOKUP('Données projet'!$B$10,Paramètres!$A$1:$I$89,5,0)</f>
        <v>249.24119999999988</v>
      </c>
      <c r="AK84" s="13">
        <f t="shared" si="89"/>
        <v>60.42342651744687</v>
      </c>
      <c r="AL84" s="20">
        <f t="shared" si="58"/>
        <v>539.3325578512198</v>
      </c>
      <c r="AM84" s="59">
        <f t="shared" si="59"/>
        <v>832.66589118455317</v>
      </c>
      <c r="AN84" s="59">
        <f ca="1">AVERAGE(OFFSET($AM$3,0,0,'Données projet'!$E$10+1,1))-AVERAGE(OFFSET($H$3,0,0,'Données projet'!$E$10+1,1))</f>
        <v>413.81510455446738</v>
      </c>
      <c r="AO84" s="59">
        <f t="shared" si="90"/>
        <v>254.25036207346602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25.488392132170343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25.488392132170343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-1.1368683772161603E-13</v>
      </c>
      <c r="BE84" s="13">
        <f>BD84*VLOOKUP('Données projet'!$B$11,Paramètres!$A$1:$I$89,3,0)*VLOOKUP('Données projet'!$B$11,Paramètres!$A$1:$I$89,5,0)</f>
        <v>-1.0995790944434703E-13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295.35565287134125</v>
      </c>
      <c r="BJ84" s="59">
        <f t="shared" si="92"/>
        <v>244.451492444461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89.219296595117328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89.219296595117328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-1.1368683772161603E-13</v>
      </c>
      <c r="BZ84" s="13">
        <f>BY84*VLOOKUP('Données projet'!$B$12,Paramètres!$A$1:$I$89,3,0)*VLOOKUP('Données projet'!$B$12,Paramètres!$A$1:$I$89,5,0)</f>
        <v>-1.223725121235475E-13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324.61094137855798</v>
      </c>
      <c r="CE84" s="59">
        <f t="shared" si="94"/>
        <v>267.2998309535638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99.292442984888652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99.292442984888652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2.8421709430404007E-13</v>
      </c>
      <c r="CU84" s="17">
        <f>CT84*VLOOKUP('Données projet'!$B$13,Paramètres!$A$1:$I$89,3,0)*VLOOKUP('Données projet'!$B$13,Paramètres!$A$1:$I$89,5,0)</f>
        <v>1.69961822393816E-13</v>
      </c>
      <c r="CV84" s="13">
        <f t="shared" si="95"/>
        <v>2.4004382776176369E-12</v>
      </c>
      <c r="CW84" s="20">
        <f t="shared" si="67"/>
        <v>4.4767801741866136E-12</v>
      </c>
      <c r="CX84" s="59">
        <f t="shared" si="68"/>
        <v>293.33333333333781</v>
      </c>
      <c r="CY84" s="59">
        <f ca="1">AVERAGE(OFFSET($CX$3,0,0,'Données projet'!$E$13+1,1))-AVERAGE(OFFSET($H$3,0,0,'Données projet'!$E$13+1,1))</f>
        <v>319.9010109022521</v>
      </c>
      <c r="CZ84" s="59">
        <f t="shared" si="96"/>
        <v>441.82647565372287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79.980464637057963</v>
      </c>
      <c r="DG84" s="21">
        <f>EXP(-LN(2)/25)*DG83+(1-EXP(-LN(2)/25))/(LN(2)/25)*Calculateur!DB84*Calculateur!DD84*VLOOKUP('Données projet'!$B$13,Paramètres!$A$1:$I$89,3,0)*0.475*44/12</f>
        <v>29.117519630519404</v>
      </c>
      <c r="DH84" s="21">
        <f>EXP(-LN(2)/2)*DH83+(1-EXP(-LN(2)/2))/(LN(2)/2)*DB84*DE84*VLOOKUP('Données projet'!$B$13,Paramètres!$A$1:$I$89,3,0)*0.475*44/12</f>
        <v>1.3806716833673434E-3</v>
      </c>
      <c r="DI84" s="22">
        <f t="shared" si="69"/>
        <v>109.09936493926074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>
        <f>DO84*VLOOKUP('Données projet'!$B$14,Paramètres!$A$1:$I$89,3,0)*VLOOKUP('Données projet'!$B$14,Paramètres!$A$1:$I$89,5,0)</f>
        <v>0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229.61973863654862</v>
      </c>
      <c r="DU84" s="59">
        <f t="shared" si="98"/>
        <v>254.08208375594052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70.742133838623346</v>
      </c>
      <c r="EB84" s="21">
        <f>EXP(-LN(2)/25)*EB83+(1-EXP(-LN(2)/25))/(LN(2)/25)*Calculateur!DW84*Calculateur!DY84*VLOOKUP('Données projet'!$B$14,Paramètres!$A$1:$I$89,3,0)*0.475*44/12</f>
        <v>27.941772063387152</v>
      </c>
      <c r="EC84" s="21">
        <f>EXP(-LN(2)/2)*EC83+(1-EXP(-LN(2)/2))/(LN(2)/2)*DW84*DZ84*VLOOKUP('Données projet'!$B$14,Paramètres!$A$1:$I$89,3,0)*0.475*44/12</f>
        <v>3.1109815512973604E-2</v>
      </c>
      <c r="ED84" s="22">
        <f t="shared" si="72"/>
        <v>98.715015717523471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5.8</v>
      </c>
      <c r="N85" s="13">
        <f>IF('Données projet'!$A$36&gt;35,N84+M85-V84,IF(A85&lt;'Données projet'!$A$36,$K$205^A85,IF(A85='Données projet'!$A$36,'Données projet'!$B$36,N84+M85-V84)))</f>
        <v>251.59999999999991</v>
      </c>
      <c r="O85" s="13">
        <f>N85*VLOOKUP('Données projet'!$B$9,Paramètres!$A$1:$I$89,3,0)*VLOOKUP('Données projet'!$B$9,Paramètres!$A$1:$I$89,5,0)</f>
        <v>227.64767999999992</v>
      </c>
      <c r="P85" s="13">
        <f t="shared" si="87"/>
        <v>55.773751036838313</v>
      </c>
      <c r="Q85" s="20">
        <f t="shared" si="54"/>
        <v>493.62565905582659</v>
      </c>
      <c r="R85" s="59">
        <f t="shared" si="55"/>
        <v>786.9589923891599</v>
      </c>
      <c r="S85" s="59">
        <f ca="1">AVERAGE(OFFSET($R$3,0,0,'Données projet'!$E$9+1,1))-AVERAGE(OFFSET($H$3,0,0,'Données projet'!$E$9+1,1))</f>
        <v>373.59295497283125</v>
      </c>
      <c r="T85" s="59">
        <f t="shared" si="88"/>
        <v>231.36959598460686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22.297502429428789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22.297502429428789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5.8</v>
      </c>
      <c r="AI85" s="13">
        <f>IF('Données projet'!$A$62&gt;35,AI84+AH85-AQ84,IF(A85&lt;'Données projet'!$A$62,$AF$205^A85,IF(A85='Données projet'!$A$62,'Données projet'!$B$62,AI84+AH85-AQ84)))</f>
        <v>251.59999999999991</v>
      </c>
      <c r="AJ85" s="13">
        <f>AI85*VLOOKUP('Données projet'!$B$10,Paramètres!$A$1:$I$89,3,0)*VLOOKUP('Données projet'!$B$10,Paramètres!$A$1:$I$89,5,0)</f>
        <v>255.12239999999991</v>
      </c>
      <c r="AK85" s="13">
        <f t="shared" si="89"/>
        <v>61.681527554261443</v>
      </c>
      <c r="AL85" s="20">
        <f t="shared" si="58"/>
        <v>551.7668404903385</v>
      </c>
      <c r="AM85" s="59">
        <f t="shared" si="59"/>
        <v>845.10017382367187</v>
      </c>
      <c r="AN85" s="59">
        <f ca="1">AVERAGE(OFFSET($AM$3,0,0,'Données projet'!$E$10+1,1))-AVERAGE(OFFSET($H$3,0,0,'Données projet'!$E$10+1,1))</f>
        <v>413.81510455446738</v>
      </c>
      <c r="AO85" s="59">
        <f t="shared" si="90"/>
        <v>254.25036207346602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24.988580308842607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24.988580308842607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-1.1368683772161603E-13</v>
      </c>
      <c r="BE85" s="13">
        <f>BD85*VLOOKUP('Données projet'!$B$11,Paramètres!$A$1:$I$89,3,0)*VLOOKUP('Données projet'!$B$11,Paramètres!$A$1:$I$89,5,0)</f>
        <v>-1.0995790944434703E-13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295.35565287134125</v>
      </c>
      <c r="BJ85" s="59">
        <f t="shared" si="92"/>
        <v>244.451492444461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87.469760607284627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87.469760607284627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-1.1368683772161603E-13</v>
      </c>
      <c r="BZ85" s="13">
        <f>BY85*VLOOKUP('Données projet'!$B$12,Paramètres!$A$1:$I$89,3,0)*VLOOKUP('Données projet'!$B$12,Paramètres!$A$1:$I$89,5,0)</f>
        <v>-1.223725121235475E-13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324.61094137855798</v>
      </c>
      <c r="CE85" s="59">
        <f t="shared" si="94"/>
        <v>267.2998309535638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97.345378740365163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97.345378740365163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2.8421709430404007E-13</v>
      </c>
      <c r="CU85" s="17">
        <f>CT85*VLOOKUP('Données projet'!$B$13,Paramètres!$A$1:$I$89,3,0)*VLOOKUP('Données projet'!$B$13,Paramètres!$A$1:$I$89,5,0)</f>
        <v>1.69961822393816E-13</v>
      </c>
      <c r="CV85" s="13">
        <f t="shared" si="95"/>
        <v>2.4004382776176369E-12</v>
      </c>
      <c r="CW85" s="20">
        <f t="shared" si="67"/>
        <v>4.4767801741866136E-12</v>
      </c>
      <c r="CX85" s="59">
        <f t="shared" si="68"/>
        <v>293.33333333333781</v>
      </c>
      <c r="CY85" s="59">
        <f ca="1">AVERAGE(OFFSET($CX$3,0,0,'Données projet'!$E$13+1,1))-AVERAGE(OFFSET($H$3,0,0,'Données projet'!$E$13+1,1))</f>
        <v>319.9010109022521</v>
      </c>
      <c r="CZ85" s="59">
        <f t="shared" si="96"/>
        <v>441.82647565372287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78.412096508791734</v>
      </c>
      <c r="DG85" s="21">
        <f>EXP(-LN(2)/25)*DG84+(1-EXP(-LN(2)/25))/(LN(2)/25)*Calculateur!DB85*Calculateur!DD85*VLOOKUP('Données projet'!$B$13,Paramètres!$A$1:$I$89,3,0)*0.475*44/12</f>
        <v>28.321299524999041</v>
      </c>
      <c r="DH85" s="21">
        <f>EXP(-LN(2)/2)*DH84+(1-EXP(-LN(2)/2))/(LN(2)/2)*DB85*DE85*VLOOKUP('Données projet'!$B$13,Paramètres!$A$1:$I$89,3,0)*0.475*44/12</f>
        <v>9.7628230990129438E-4</v>
      </c>
      <c r="DI85" s="22">
        <f t="shared" si="69"/>
        <v>106.73437231610067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>
        <f>DO85*VLOOKUP('Données projet'!$B$14,Paramètres!$A$1:$I$89,3,0)*VLOOKUP('Données projet'!$B$14,Paramètres!$A$1:$I$89,5,0)</f>
        <v>0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229.61973863654862</v>
      </c>
      <c r="DU85" s="59">
        <f t="shared" si="98"/>
        <v>254.08208375594052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69.354923742489035</v>
      </c>
      <c r="EB85" s="21">
        <f>EXP(-LN(2)/25)*EB84+(1-EXP(-LN(2)/25))/(LN(2)/25)*Calculateur!DW85*Calculateur!DY85*VLOOKUP('Données projet'!$B$14,Paramètres!$A$1:$I$89,3,0)*0.475*44/12</f>
        <v>27.177702836919899</v>
      </c>
      <c r="EC85" s="21">
        <f>EXP(-LN(2)/2)*EC84+(1-EXP(-LN(2)/2))/(LN(2)/2)*DW85*DZ85*VLOOKUP('Données projet'!$B$14,Paramètres!$A$1:$I$89,3,0)*0.475*44/12</f>
        <v>2.1997961510686091E-2</v>
      </c>
      <c r="ED85" s="22">
        <f t="shared" si="72"/>
        <v>96.554624540919633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5.8</v>
      </c>
      <c r="N86" s="13">
        <f>IF('Données projet'!$A$36&gt;35,N85+M86-V85,IF(A86&lt;'Données projet'!$A$36,$K$205^A86,IF(A86='Données projet'!$A$36,'Données projet'!$B$36,N85+M86-V85)))</f>
        <v>257.39999999999992</v>
      </c>
      <c r="O86" s="13">
        <f>N86*VLOOKUP('Données projet'!$B$9,Paramètres!$A$1:$I$89,3,0)*VLOOKUP('Données projet'!$B$9,Paramètres!$A$1:$I$89,5,0)</f>
        <v>232.89551999999992</v>
      </c>
      <c r="P86" s="13">
        <f t="shared" si="87"/>
        <v>56.908304063818662</v>
      </c>
      <c r="Q86" s="20">
        <f t="shared" si="54"/>
        <v>504.74166024448397</v>
      </c>
      <c r="R86" s="59">
        <f t="shared" si="55"/>
        <v>798.07499357781728</v>
      </c>
      <c r="S86" s="59">
        <f ca="1">AVERAGE(OFFSET($R$3,0,0,'Données projet'!$E$9+1,1))-AVERAGE(OFFSET($H$3,0,0,'Données projet'!$E$9+1,1))</f>
        <v>373.59295497283125</v>
      </c>
      <c r="T86" s="59">
        <f t="shared" si="88"/>
        <v>231.36959598460686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21.860262006921271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21.860262006921271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5.8</v>
      </c>
      <c r="AI86" s="13">
        <f>IF('Données projet'!$A$62&gt;35,AI85+AH86-AQ85,IF(A86&lt;'Données projet'!$A$62,$AF$205^A86,IF(A86='Données projet'!$A$62,'Données projet'!$B$62,AI85+AH86-AQ85)))</f>
        <v>257.39999999999992</v>
      </c>
      <c r="AJ86" s="13">
        <f>AI86*VLOOKUP('Données projet'!$B$10,Paramètres!$A$1:$I$89,3,0)*VLOOKUP('Données projet'!$B$10,Paramètres!$A$1:$I$89,5,0)</f>
        <v>261.00359999999995</v>
      </c>
      <c r="AK86" s="13">
        <f t="shared" si="89"/>
        <v>62.936256929541173</v>
      </c>
      <c r="AL86" s="20">
        <f t="shared" si="58"/>
        <v>564.19525081895074</v>
      </c>
      <c r="AM86" s="59">
        <f t="shared" si="59"/>
        <v>857.52858415228411</v>
      </c>
      <c r="AN86" s="59">
        <f ca="1">AVERAGE(OFFSET($AM$3,0,0,'Données projet'!$E$10+1,1))-AVERAGE(OFFSET($H$3,0,0,'Données projet'!$E$10+1,1))</f>
        <v>413.81510455446738</v>
      </c>
      <c r="AO86" s="59">
        <f t="shared" si="90"/>
        <v>254.25036207346602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24.498569490515216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24.498569490515216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-1.1368683772161603E-13</v>
      </c>
      <c r="BE86" s="13">
        <f>BD86*VLOOKUP('Données projet'!$B$11,Paramètres!$A$1:$I$89,3,0)*VLOOKUP('Données projet'!$B$11,Paramètres!$A$1:$I$89,5,0)</f>
        <v>-1.0995790944434703E-13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295.35565287134125</v>
      </c>
      <c r="BJ86" s="59">
        <f t="shared" si="92"/>
        <v>244.451492444461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85.754531953061743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85.754531953061743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-1.1368683772161603E-13</v>
      </c>
      <c r="BZ86" s="13">
        <f>BY86*VLOOKUP('Données projet'!$B$12,Paramètres!$A$1:$I$89,3,0)*VLOOKUP('Données projet'!$B$12,Paramètres!$A$1:$I$89,5,0)</f>
        <v>-1.223725121235475E-13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324.61094137855798</v>
      </c>
      <c r="CE86" s="59">
        <f t="shared" si="94"/>
        <v>267.2998309535638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95.436495238084859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95.436495238084859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2.8421709430404007E-13</v>
      </c>
      <c r="CU86" s="17">
        <f>CT86*VLOOKUP('Données projet'!$B$13,Paramètres!$A$1:$I$89,3,0)*VLOOKUP('Données projet'!$B$13,Paramètres!$A$1:$I$89,5,0)</f>
        <v>1.69961822393816E-13</v>
      </c>
      <c r="CV86" s="13">
        <f t="shared" si="95"/>
        <v>2.4004382776176369E-12</v>
      </c>
      <c r="CW86" s="20">
        <f t="shared" si="67"/>
        <v>4.4767801741866136E-12</v>
      </c>
      <c r="CX86" s="59">
        <f t="shared" si="68"/>
        <v>293.33333333333781</v>
      </c>
      <c r="CY86" s="59">
        <f ca="1">AVERAGE(OFFSET($CX$3,0,0,'Données projet'!$E$13+1,1))-AVERAGE(OFFSET($H$3,0,0,'Données projet'!$E$13+1,1))</f>
        <v>319.9010109022521</v>
      </c>
      <c r="CZ86" s="59">
        <f t="shared" si="96"/>
        <v>441.82647565372287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76.874483122910704</v>
      </c>
      <c r="DG86" s="21">
        <f>EXP(-LN(2)/25)*DG85+(1-EXP(-LN(2)/25))/(LN(2)/25)*Calculateur!DB86*Calculateur!DD86*VLOOKUP('Données projet'!$B$13,Paramètres!$A$1:$I$89,3,0)*0.475*44/12</f>
        <v>27.546852100135531</v>
      </c>
      <c r="DH86" s="21">
        <f>EXP(-LN(2)/2)*DH85+(1-EXP(-LN(2)/2))/(LN(2)/2)*DB86*DE86*VLOOKUP('Données projet'!$B$13,Paramètres!$A$1:$I$89,3,0)*0.475*44/12</f>
        <v>6.903358416836718E-4</v>
      </c>
      <c r="DI86" s="22">
        <f t="shared" si="69"/>
        <v>104.42202555888792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>
        <f>DO86*VLOOKUP('Données projet'!$B$14,Paramètres!$A$1:$I$89,3,0)*VLOOKUP('Données projet'!$B$14,Paramètres!$A$1:$I$89,5,0)</f>
        <v>0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229.61973863654862</v>
      </c>
      <c r="DU86" s="59">
        <f t="shared" si="98"/>
        <v>254.08208375594052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67.994915990225294</v>
      </c>
      <c r="EB86" s="21">
        <f>EXP(-LN(2)/25)*EB85+(1-EXP(-LN(2)/25))/(LN(2)/25)*Calculateur!DW86*Calculateur!DY86*VLOOKUP('Données projet'!$B$14,Paramètres!$A$1:$I$89,3,0)*0.475*44/12</f>
        <v>26.434527123631046</v>
      </c>
      <c r="EC86" s="21">
        <f>EXP(-LN(2)/2)*EC85+(1-EXP(-LN(2)/2))/(LN(2)/2)*DW86*DZ86*VLOOKUP('Données projet'!$B$14,Paramètres!$A$1:$I$89,3,0)*0.475*44/12</f>
        <v>1.5554907756486805E-2</v>
      </c>
      <c r="ED86" s="22">
        <f t="shared" si="72"/>
        <v>94.444998021612818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5.8</v>
      </c>
      <c r="N87" s="13">
        <f>IF('Données projet'!$A$36&gt;35,N86+M87-V86,IF(A87&lt;'Données projet'!$A$36,$K$205^A87,IF(A87='Données projet'!$A$36,'Données projet'!$B$36,N86+M87-V86)))</f>
        <v>263.19999999999993</v>
      </c>
      <c r="O87" s="13">
        <f>N87*VLOOKUP('Données projet'!$B$9,Paramètres!$A$1:$I$89,3,0)*VLOOKUP('Données projet'!$B$9,Paramètres!$A$1:$I$89,5,0)</f>
        <v>238.14335999999992</v>
      </c>
      <c r="P87" s="13">
        <f t="shared" si="87"/>
        <v>58.039884968630489</v>
      </c>
      <c r="Q87" s="20">
        <f t="shared" si="54"/>
        <v>515.85248498703129</v>
      </c>
      <c r="R87" s="59">
        <f t="shared" si="55"/>
        <v>809.18581832036466</v>
      </c>
      <c r="S87" s="59">
        <f ca="1">AVERAGE(OFFSET($R$3,0,0,'Données projet'!$E$9+1,1))-AVERAGE(OFFSET($H$3,0,0,'Données projet'!$E$9+1,1))</f>
        <v>373.59295497283125</v>
      </c>
      <c r="T87" s="59">
        <f t="shared" si="88"/>
        <v>231.36959598460686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21.431595602408802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21.431595602408802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5.8</v>
      </c>
      <c r="AI87" s="13">
        <f>IF('Données projet'!$A$62&gt;35,AI86+AH87-AQ86,IF(A87&lt;'Données projet'!$A$62,$AF$205^A87,IF(A87='Données projet'!$A$62,'Données projet'!$B$62,AI86+AH87-AQ86)))</f>
        <v>263.19999999999993</v>
      </c>
      <c r="AJ87" s="13">
        <f>AI87*VLOOKUP('Données projet'!$B$10,Paramètres!$A$1:$I$89,3,0)*VLOOKUP('Données projet'!$B$10,Paramètres!$A$1:$I$89,5,0)</f>
        <v>266.88479999999993</v>
      </c>
      <c r="AK87" s="13">
        <f t="shared" si="89"/>
        <v>64.18769936370569</v>
      </c>
      <c r="AL87" s="20">
        <f t="shared" si="58"/>
        <v>576.61793639178723</v>
      </c>
      <c r="AM87" s="59">
        <f t="shared" si="59"/>
        <v>869.95126972512048</v>
      </c>
      <c r="AN87" s="59">
        <f ca="1">AVERAGE(OFFSET($AM$3,0,0,'Données projet'!$E$10+1,1))-AVERAGE(OFFSET($H$3,0,0,'Données projet'!$E$10+1,1))</f>
        <v>413.81510455446738</v>
      </c>
      <c r="AO87" s="59">
        <f t="shared" si="90"/>
        <v>254.25036207346602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24.018167485458136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24.018167485458136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-1.1368683772161603E-13</v>
      </c>
      <c r="BE87" s="13">
        <f>BD87*VLOOKUP('Données projet'!$B$11,Paramètres!$A$1:$I$89,3,0)*VLOOKUP('Données projet'!$B$11,Paramètres!$A$1:$I$89,5,0)</f>
        <v>-1.0995790944434703E-13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295.35565287134125</v>
      </c>
      <c r="BJ87" s="59">
        <f t="shared" si="92"/>
        <v>244.451492444461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84.072937886561988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84.072937886561988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-1.1368683772161603E-13</v>
      </c>
      <c r="BZ87" s="13">
        <f>BY87*VLOOKUP('Données projet'!$B$12,Paramètres!$A$1:$I$89,3,0)*VLOOKUP('Données projet'!$B$12,Paramètres!$A$1:$I$89,5,0)</f>
        <v>-1.223725121235475E-13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324.61094137855798</v>
      </c>
      <c r="CE87" s="59">
        <f t="shared" si="94"/>
        <v>267.2998309535638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93.565043776980303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93.565043776980303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2.8421709430404007E-13</v>
      </c>
      <c r="CU87" s="17">
        <f>CT87*VLOOKUP('Données projet'!$B$13,Paramètres!$A$1:$I$89,3,0)*VLOOKUP('Données projet'!$B$13,Paramètres!$A$1:$I$89,5,0)</f>
        <v>1.69961822393816E-13</v>
      </c>
      <c r="CV87" s="13">
        <f t="shared" si="95"/>
        <v>2.4004382776176369E-12</v>
      </c>
      <c r="CW87" s="20">
        <f t="shared" si="67"/>
        <v>4.4767801741866136E-12</v>
      </c>
      <c r="CX87" s="59">
        <f t="shared" si="68"/>
        <v>293.33333333333781</v>
      </c>
      <c r="CY87" s="59">
        <f ca="1">AVERAGE(OFFSET($CX$3,0,0,'Données projet'!$E$13+1,1))-AVERAGE(OFFSET($H$3,0,0,'Données projet'!$E$13+1,1))</f>
        <v>319.9010109022521</v>
      </c>
      <c r="CZ87" s="59">
        <f t="shared" si="96"/>
        <v>441.82647565372287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75.367021397675245</v>
      </c>
      <c r="DG87" s="21">
        <f>EXP(-LN(2)/25)*DG86+(1-EXP(-LN(2)/25))/(LN(2)/25)*Calculateur!DB87*Calculateur!DD87*VLOOKUP('Données projet'!$B$13,Paramètres!$A$1:$I$89,3,0)*0.475*44/12</f>
        <v>26.793581980831334</v>
      </c>
      <c r="DH87" s="21">
        <f>EXP(-LN(2)/2)*DH86+(1-EXP(-LN(2)/2))/(LN(2)/2)*DB87*DE87*VLOOKUP('Données projet'!$B$13,Paramètres!$A$1:$I$89,3,0)*0.475*44/12</f>
        <v>4.8814115495064724E-4</v>
      </c>
      <c r="DI87" s="22">
        <f t="shared" si="69"/>
        <v>102.16109151966153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>
        <f>DO87*VLOOKUP('Données projet'!$B$14,Paramètres!$A$1:$I$89,3,0)*VLOOKUP('Données projet'!$B$14,Paramètres!$A$1:$I$89,5,0)</f>
        <v>0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229.61973863654862</v>
      </c>
      <c r="DU87" s="59">
        <f t="shared" si="98"/>
        <v>254.08208375594052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66.661577160460638</v>
      </c>
      <c r="EB87" s="21">
        <f>EXP(-LN(2)/25)*EB86+(1-EXP(-LN(2)/25))/(LN(2)/25)*Calculateur!DW87*Calculateur!DY87*VLOOKUP('Données projet'!$B$14,Paramètres!$A$1:$I$89,3,0)*0.475*44/12</f>
        <v>25.711673589303992</v>
      </c>
      <c r="EC87" s="21">
        <f>EXP(-LN(2)/2)*EC86+(1-EXP(-LN(2)/2))/(LN(2)/2)*DW87*DZ87*VLOOKUP('Données projet'!$B$14,Paramètres!$A$1:$I$89,3,0)*0.475*44/12</f>
        <v>1.0998980755343047E-2</v>
      </c>
      <c r="ED87" s="22">
        <f t="shared" si="72"/>
        <v>92.384249730519969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269</v>
      </c>
      <c r="L88" s="12">
        <f>VLOOKUP(A88,'Données projet'!$A$35:$I$55,9,0)</f>
        <v>5.8</v>
      </c>
      <c r="M88" s="12">
        <f t="array" ref="M88">INDEX(L:L,MIN(IF(ISNUMBER(L88:L284),ROW(L88:L284),"")))</f>
        <v>5.8</v>
      </c>
      <c r="N88" s="13">
        <f>IF('Données projet'!$A$36&gt;35,N87+M88-V87,IF(A88&lt;'Données projet'!$A$36,$K$205^A88,IF(A88='Données projet'!$A$36,'Données projet'!$B$36,N87+M88-V87)))</f>
        <v>268.99999999999994</v>
      </c>
      <c r="O88" s="13">
        <f>N88*VLOOKUP('Données projet'!$B$9,Paramètres!$A$1:$I$89,3,0)*VLOOKUP('Données projet'!$B$9,Paramètres!$A$1:$I$89,5,0)</f>
        <v>243.39119999999994</v>
      </c>
      <c r="P88" s="13">
        <f t="shared" si="87"/>
        <v>59.168566788241527</v>
      </c>
      <c r="Q88" s="20">
        <f t="shared" si="54"/>
        <v>526.95826048952051</v>
      </c>
      <c r="R88" s="59">
        <f t="shared" si="55"/>
        <v>820.29159382285388</v>
      </c>
      <c r="S88" s="59">
        <f ca="1">AVERAGE(OFFSET($R$3,0,0,'Données projet'!$E$9+1,1))-AVERAGE(OFFSET($H$3,0,0,'Données projet'!$E$9+1,1))</f>
        <v>373.59295497283125</v>
      </c>
      <c r="T88" s="59">
        <f t="shared" si="88"/>
        <v>231.36959598460686</v>
      </c>
      <c r="U88" s="15">
        <f>IF(ISNA(VLOOKUP(A88,'Données projet'!$A$35:$I$55,3,0)),0,VLOOKUP(A88,'Données projet'!$A$35:$I$55,3,0))</f>
        <v>14</v>
      </c>
      <c r="V88" s="15">
        <f>IF(ISNA(VLOOKUP(A88,'Données projet'!$A$35:$I$55,4,0)),0,VLOOKUP(A88,'Données projet'!$A$35:$I$55,4,0))</f>
        <v>21</v>
      </c>
      <c r="W88" s="16">
        <f>IF(ISNA(VLOOKUP(A88,'Données projet'!$A$35:$I$55,5,0)),0%,VLOOKUP(A88,'Données projet'!$A$35:$I$55,5,0)*VLOOKUP('Données projet'!$B$9,Paramètres!$A$1:$I$89,7,0))</f>
        <v>0.25800000000000001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26.430579054184989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26.430579054184989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269</v>
      </c>
      <c r="AG88" s="12">
        <f>VLOOKUP(A88,'Données projet'!$A$61:$I$81,9,0)</f>
        <v>5.8</v>
      </c>
      <c r="AH88" s="12">
        <f t="array" ref="AH88">INDEX(AG:AG,MIN(IF(ISNUMBER(AG88:AG284),ROW(AG88:AG284),"")))</f>
        <v>5.8</v>
      </c>
      <c r="AI88" s="13">
        <f>IF('Données projet'!$A$62&gt;35,AI87+AH88-AQ87,IF(A88&lt;'Données projet'!$A$62,$AF$205^A88,IF(A88='Données projet'!$A$62,'Données projet'!$B$62,AI87+AH88-AQ87)))</f>
        <v>268.99999999999994</v>
      </c>
      <c r="AJ88" s="13">
        <f>AI88*VLOOKUP('Données projet'!$B$10,Paramètres!$A$1:$I$89,3,0)*VLOOKUP('Données projet'!$B$10,Paramètres!$A$1:$I$89,5,0)</f>
        <v>272.76599999999996</v>
      </c>
      <c r="AK88" s="13">
        <f t="shared" si="89"/>
        <v>65.43593563008757</v>
      </c>
      <c r="AL88" s="20">
        <f t="shared" si="58"/>
        <v>589.03503788906914</v>
      </c>
      <c r="AM88" s="59">
        <f t="shared" si="59"/>
        <v>882.3683712224024</v>
      </c>
      <c r="AN88" s="59">
        <f ca="1">AVERAGE(OFFSET($AM$3,0,0,'Données projet'!$E$10+1,1))-AVERAGE(OFFSET($H$3,0,0,'Données projet'!$E$10+1,1))</f>
        <v>413.81510455446738</v>
      </c>
      <c r="AO88" s="59">
        <f t="shared" si="90"/>
        <v>254.25036207346602</v>
      </c>
      <c r="AP88" s="15">
        <f>IF(ISNA(VLOOKUP(A88,'Données projet'!$A$61:$I$81,3,0)),0,VLOOKUP(A88,'Données projet'!$A$61:$I$81,3,0))</f>
        <v>14</v>
      </c>
      <c r="AQ88" s="15">
        <f>IF(ISNA(VLOOKUP(A88,'Données projet'!$A$61:$I$81,4,0)),0,VLOOKUP(A88,'Données projet'!$A$61:$I$81,4,0))</f>
        <v>21</v>
      </c>
      <c r="AR88" s="16">
        <f>IF(ISNA(VLOOKUP(A88,'Données projet'!$A$61:$I$81,5,0)),0%,VLOOKUP(A88,'Données projet'!$A$61:$I$81,5,0)*VLOOKUP('Données projet'!$B$10,Paramètres!$A$1:$I$89,7,0))</f>
        <v>0.25800000000000001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29.620476526241795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29.620476526241795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-1.1368683772161603E-13</v>
      </c>
      <c r="BE88" s="13">
        <f>BD88*VLOOKUP('Données projet'!$B$11,Paramètres!$A$1:$I$89,3,0)*VLOOKUP('Données projet'!$B$11,Paramètres!$A$1:$I$89,5,0)</f>
        <v>-1.0995790944434703E-13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295.35565287134125</v>
      </c>
      <c r="BJ88" s="59">
        <f t="shared" si="92"/>
        <v>244.451492444461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82.424318854035192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82.424318854035192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-1.1368683772161603E-13</v>
      </c>
      <c r="BZ88" s="13">
        <f>BY88*VLOOKUP('Données projet'!$B$12,Paramètres!$A$1:$I$89,3,0)*VLOOKUP('Données projet'!$B$12,Paramètres!$A$1:$I$89,5,0)</f>
        <v>-1.223725121235475E-13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324.61094137855798</v>
      </c>
      <c r="CE88" s="59">
        <f t="shared" si="94"/>
        <v>267.2998309535638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91.730290337555317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91.730290337555317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2.8421709430404007E-13</v>
      </c>
      <c r="CU88" s="17">
        <f>CT88*VLOOKUP('Données projet'!$B$13,Paramètres!$A$1:$I$89,3,0)*VLOOKUP('Données projet'!$B$13,Paramètres!$A$1:$I$89,5,0)</f>
        <v>1.69961822393816E-13</v>
      </c>
      <c r="CV88" s="13">
        <f t="shared" si="95"/>
        <v>2.4004382776176369E-12</v>
      </c>
      <c r="CW88" s="20">
        <f t="shared" si="67"/>
        <v>4.4767801741866136E-12</v>
      </c>
      <c r="CX88" s="59">
        <f t="shared" si="68"/>
        <v>293.33333333333781</v>
      </c>
      <c r="CY88" s="59">
        <f ca="1">AVERAGE(OFFSET($CX$3,0,0,'Données projet'!$E$13+1,1))-AVERAGE(OFFSET($H$3,0,0,'Données projet'!$E$13+1,1))</f>
        <v>319.9010109022521</v>
      </c>
      <c r="CZ88" s="59">
        <f t="shared" si="96"/>
        <v>441.82647565372287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73.889120077410794</v>
      </c>
      <c r="DG88" s="21">
        <f>EXP(-LN(2)/25)*DG87+(1-EXP(-LN(2)/25))/(LN(2)/25)*Calculateur!DB88*Calculateur!DD88*VLOOKUP('Données projet'!$B$13,Paramètres!$A$1:$I$89,3,0)*0.475*44/12</f>
        <v>26.060910072552261</v>
      </c>
      <c r="DH88" s="21">
        <f>EXP(-LN(2)/2)*DH87+(1-EXP(-LN(2)/2))/(LN(2)/2)*DB88*DE88*VLOOKUP('Données projet'!$B$13,Paramètres!$A$1:$I$89,3,0)*0.475*44/12</f>
        <v>3.4516792084183595E-4</v>
      </c>
      <c r="DI88" s="22">
        <f t="shared" si="69"/>
        <v>99.950375317883896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>
        <f>DO88*VLOOKUP('Données projet'!$B$14,Paramètres!$A$1:$I$89,3,0)*VLOOKUP('Données projet'!$B$14,Paramètres!$A$1:$I$89,5,0)</f>
        <v>0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229.61973863654862</v>
      </c>
      <c r="DU88" s="59">
        <f t="shared" si="98"/>
        <v>254.08208375594052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65.354384291891279</v>
      </c>
      <c r="EB88" s="21">
        <f>EXP(-LN(2)/25)*EB87+(1-EXP(-LN(2)/25))/(LN(2)/25)*Calculateur!DW88*Calculateur!DY88*VLOOKUP('Données projet'!$B$14,Paramètres!$A$1:$I$89,3,0)*0.475*44/12</f>
        <v>25.008586522886326</v>
      </c>
      <c r="EC88" s="21">
        <f>EXP(-LN(2)/2)*EC87+(1-EXP(-LN(2)/2))/(LN(2)/2)*DW88*DZ88*VLOOKUP('Données projet'!$B$14,Paramètres!$A$1:$I$89,3,0)*0.475*44/12</f>
        <v>7.7774538782434035E-3</v>
      </c>
      <c r="ED88" s="22">
        <f t="shared" si="72"/>
        <v>90.370748268655859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5.4</v>
      </c>
      <c r="N89" s="13">
        <f>IF('Données projet'!$A$36&gt;35,N88+M89-V88,IF(A89&lt;'Données projet'!$A$36,$K$205^A89,IF(A89='Données projet'!$A$36,'Données projet'!$B$36,N88+M89-V88)))</f>
        <v>253.39999999999992</v>
      </c>
      <c r="O89" s="13">
        <f>N89*VLOOKUP('Données projet'!$B$9,Paramètres!$A$1:$I$89,3,0)*VLOOKUP('Données projet'!$B$9,Paramètres!$A$1:$I$89,5,0)</f>
        <v>229.27631999999994</v>
      </c>
      <c r="P89" s="13">
        <f t="shared" si="87"/>
        <v>56.126176307517476</v>
      </c>
      <c r="Q89" s="20">
        <f t="shared" si="54"/>
        <v>497.07601440225949</v>
      </c>
      <c r="R89" s="59">
        <f t="shared" si="55"/>
        <v>790.40934773559275</v>
      </c>
      <c r="S89" s="59">
        <f ca="1">AVERAGE(OFFSET($R$3,0,0,'Données projet'!$E$9+1,1))-AVERAGE(OFFSET($H$3,0,0,'Données projet'!$E$9+1,1))</f>
        <v>373.59295497283125</v>
      </c>
      <c r="T89" s="59">
        <f t="shared" si="88"/>
        <v>231.36959598460686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25.912291519993822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25.912291519993822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5.4</v>
      </c>
      <c r="AI89" s="13">
        <f>IF('Données projet'!$A$62&gt;35,AI88+AH89-AQ88,IF(A89&lt;'Données projet'!$A$62,$AF$205^A89,IF(A89='Données projet'!$A$62,'Données projet'!$B$62,AI88+AH89-AQ88)))</f>
        <v>253.39999999999992</v>
      </c>
      <c r="AJ89" s="13">
        <f>AI89*VLOOKUP('Données projet'!$B$10,Paramètres!$A$1:$I$89,3,0)*VLOOKUP('Données projet'!$B$10,Paramètres!$A$1:$I$89,5,0)</f>
        <v>256.94759999999991</v>
      </c>
      <c r="AK89" s="13">
        <f t="shared" si="89"/>
        <v>62.071283104858246</v>
      </c>
      <c r="AL89" s="20">
        <f t="shared" si="58"/>
        <v>555.62455474096134</v>
      </c>
      <c r="AM89" s="59">
        <f t="shared" si="59"/>
        <v>848.95788807429471</v>
      </c>
      <c r="AN89" s="59">
        <f ca="1">AVERAGE(OFFSET($AM$3,0,0,'Données projet'!$E$10+1,1))-AVERAGE(OFFSET($H$3,0,0,'Données projet'!$E$10+1,1))</f>
        <v>413.81510455446738</v>
      </c>
      <c r="AO89" s="59">
        <f t="shared" si="90"/>
        <v>254.25036207346602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29.039637048268936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29.039637048268936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-1.1368683772161603E-13</v>
      </c>
      <c r="BE89" s="13">
        <f>BD89*VLOOKUP('Données projet'!$B$11,Paramètres!$A$1:$I$89,3,0)*VLOOKUP('Données projet'!$B$11,Paramètres!$A$1:$I$89,5,0)</f>
        <v>-1.0995790944434703E-13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295.35565287134125</v>
      </c>
      <c r="BJ89" s="59">
        <f t="shared" si="92"/>
        <v>244.451492444461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80.808028235177929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80.808028235177929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-1.1368683772161603E-13</v>
      </c>
      <c r="BZ89" s="13">
        <f>BY89*VLOOKUP('Données projet'!$B$12,Paramètres!$A$1:$I$89,3,0)*VLOOKUP('Données projet'!$B$12,Paramètres!$A$1:$I$89,5,0)</f>
        <v>-1.223725121235475E-13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324.61094137855798</v>
      </c>
      <c r="CE89" s="59">
        <f t="shared" si="94"/>
        <v>267.2998309535638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89.931515293988369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89.931515293988369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2.8421709430404007E-13</v>
      </c>
      <c r="CU89" s="17">
        <f>CT89*VLOOKUP('Données projet'!$B$13,Paramètres!$A$1:$I$89,3,0)*VLOOKUP('Données projet'!$B$13,Paramètres!$A$1:$I$89,5,0)</f>
        <v>1.69961822393816E-13</v>
      </c>
      <c r="CV89" s="13">
        <f t="shared" si="95"/>
        <v>2.4004382776176369E-12</v>
      </c>
      <c r="CW89" s="20">
        <f t="shared" si="67"/>
        <v>4.4767801741866136E-12</v>
      </c>
      <c r="CX89" s="59">
        <f t="shared" si="68"/>
        <v>293.33333333333781</v>
      </c>
      <c r="CY89" s="59">
        <f ca="1">AVERAGE(OFFSET($CX$3,0,0,'Données projet'!$E$13+1,1))-AVERAGE(OFFSET($H$3,0,0,'Données projet'!$E$13+1,1))</f>
        <v>319.9010109022521</v>
      </c>
      <c r="CZ89" s="59">
        <f t="shared" si="96"/>
        <v>441.82647565372287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72.440199500605928</v>
      </c>
      <c r="DG89" s="21">
        <f>EXP(-LN(2)/25)*DG88+(1-EXP(-LN(2)/25))/(LN(2)/25)*Calculateur!DB89*Calculateur!DD89*VLOOKUP('Données projet'!$B$13,Paramètres!$A$1:$I$89,3,0)*0.475*44/12</f>
        <v>25.348273116134621</v>
      </c>
      <c r="DH89" s="21">
        <f>EXP(-LN(2)/2)*DH88+(1-EXP(-LN(2)/2))/(LN(2)/2)*DB89*DE89*VLOOKUP('Données projet'!$B$13,Paramètres!$A$1:$I$89,3,0)*0.475*44/12</f>
        <v>2.4407057747532368E-4</v>
      </c>
      <c r="DI89" s="22">
        <f t="shared" si="69"/>
        <v>97.788716687318029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>
        <f>DO89*VLOOKUP('Données projet'!$B$14,Paramètres!$A$1:$I$89,3,0)*VLOOKUP('Données projet'!$B$14,Paramètres!$A$1:$I$89,5,0)</f>
        <v>0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229.61973863654862</v>
      </c>
      <c r="DU89" s="59">
        <f t="shared" si="98"/>
        <v>254.08208375594052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64.072824678165645</v>
      </c>
      <c r="EB89" s="21">
        <f>EXP(-LN(2)/25)*EB88+(1-EXP(-LN(2)/25))/(LN(2)/25)*Calculateur!DW89*Calculateur!DY89*VLOOKUP('Données projet'!$B$14,Paramètres!$A$1:$I$89,3,0)*0.475*44/12</f>
        <v>24.32472540927359</v>
      </c>
      <c r="EC89" s="21">
        <f>EXP(-LN(2)/2)*EC88+(1-EXP(-LN(2)/2))/(LN(2)/2)*DW89*DZ89*VLOOKUP('Données projet'!$B$14,Paramètres!$A$1:$I$89,3,0)*0.475*44/12</f>
        <v>5.4994903776715244E-3</v>
      </c>
      <c r="ED89" s="22">
        <f t="shared" si="72"/>
        <v>88.403049577816915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5.4</v>
      </c>
      <c r="N90" s="13">
        <f>IF('Données projet'!$A$36&gt;35,N89+M90-V89,IF(A90&lt;'Données projet'!$A$36,$K$205^A90,IF(A90='Données projet'!$A$36,'Données projet'!$B$36,N89+M90-V89)))</f>
        <v>258.7999999999999</v>
      </c>
      <c r="O90" s="13">
        <f>N90*VLOOKUP('Données projet'!$B$9,Paramètres!$A$1:$I$89,3,0)*VLOOKUP('Données projet'!$B$9,Paramètres!$A$1:$I$89,5,0)</f>
        <v>234.16223999999988</v>
      </c>
      <c r="P90" s="13">
        <f t="shared" si="87"/>
        <v>57.181713578143047</v>
      </c>
      <c r="Q90" s="20">
        <f t="shared" si="54"/>
        <v>507.42405248193222</v>
      </c>
      <c r="R90" s="59">
        <f t="shared" si="55"/>
        <v>800.75738581526548</v>
      </c>
      <c r="S90" s="59">
        <f ca="1">AVERAGE(OFFSET($R$3,0,0,'Données projet'!$E$9+1,1))-AVERAGE(OFFSET($H$3,0,0,'Données projet'!$E$9+1,1))</f>
        <v>373.59295497283125</v>
      </c>
      <c r="T90" s="59">
        <f t="shared" si="88"/>
        <v>231.36959598460686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25.404167288223963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25.404167288223963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5.4</v>
      </c>
      <c r="AI90" s="13">
        <f>IF('Données projet'!$A$62&gt;35,AI89+AH90-AQ89,IF(A90&lt;'Données projet'!$A$62,$AF$205^A90,IF(A90='Données projet'!$A$62,'Données projet'!$B$62,AI89+AH90-AQ89)))</f>
        <v>258.7999999999999</v>
      </c>
      <c r="AJ90" s="13">
        <f>AI90*VLOOKUP('Données projet'!$B$10,Paramètres!$A$1:$I$89,3,0)*VLOOKUP('Données projet'!$B$10,Paramètres!$A$1:$I$89,5,0)</f>
        <v>262.42319999999989</v>
      </c>
      <c r="AK90" s="13">
        <f t="shared" si="89"/>
        <v>63.238627062047733</v>
      </c>
      <c r="AL90" s="20">
        <f t="shared" si="58"/>
        <v>567.19434879973289</v>
      </c>
      <c r="AM90" s="59">
        <f t="shared" si="59"/>
        <v>860.52768213306626</v>
      </c>
      <c r="AN90" s="59">
        <f ca="1">AVERAGE(OFFSET($AM$3,0,0,'Données projet'!$E$10+1,1))-AVERAGE(OFFSET($H$3,0,0,'Données projet'!$E$10+1,1))</f>
        <v>413.81510455446738</v>
      </c>
      <c r="AO90" s="59">
        <f t="shared" si="90"/>
        <v>254.25036207346602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28.470187478182023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28.470187478182023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-1.1368683772161603E-13</v>
      </c>
      <c r="BE90" s="13">
        <f>BD90*VLOOKUP('Données projet'!$B$11,Paramètres!$A$1:$I$89,3,0)*VLOOKUP('Données projet'!$B$11,Paramètres!$A$1:$I$89,5,0)</f>
        <v>-1.0995790944434703E-13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295.35565287134125</v>
      </c>
      <c r="BJ90" s="59">
        <f t="shared" si="92"/>
        <v>244.451492444461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79.223432089516521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79.223432089516521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-1.1368683772161603E-13</v>
      </c>
      <c r="BZ90" s="13">
        <f>BY90*VLOOKUP('Données projet'!$B$12,Paramètres!$A$1:$I$89,3,0)*VLOOKUP('Données projet'!$B$12,Paramètres!$A$1:$I$89,5,0)</f>
        <v>-1.223725121235475E-13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324.61094137855798</v>
      </c>
      <c r="CE90" s="59">
        <f t="shared" si="94"/>
        <v>267.2998309535638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88.168013131881324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88.168013131881324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2.8421709430404007E-13</v>
      </c>
      <c r="CU90" s="17">
        <f>CT90*VLOOKUP('Données projet'!$B$13,Paramètres!$A$1:$I$89,3,0)*VLOOKUP('Données projet'!$B$13,Paramètres!$A$1:$I$89,5,0)</f>
        <v>1.69961822393816E-13</v>
      </c>
      <c r="CV90" s="13">
        <f t="shared" si="95"/>
        <v>2.4004382776176369E-12</v>
      </c>
      <c r="CW90" s="20">
        <f t="shared" si="67"/>
        <v>4.4767801741866136E-12</v>
      </c>
      <c r="CX90" s="59">
        <f t="shared" si="68"/>
        <v>293.33333333333781</v>
      </c>
      <c r="CY90" s="59">
        <f ca="1">AVERAGE(OFFSET($CX$3,0,0,'Données projet'!$E$13+1,1))-AVERAGE(OFFSET($H$3,0,0,'Données projet'!$E$13+1,1))</f>
        <v>319.9010109022521</v>
      </c>
      <c r="CZ90" s="59">
        <f t="shared" si="96"/>
        <v>441.82647565372287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71.019691372557915</v>
      </c>
      <c r="DG90" s="21">
        <f>EXP(-LN(2)/25)*DG89+(1-EXP(-LN(2)/25))/(LN(2)/25)*Calculateur!DB90*Calculateur!DD90*VLOOKUP('Données projet'!$B$13,Paramètres!$A$1:$I$89,3,0)*0.475*44/12</f>
        <v>24.655123254766171</v>
      </c>
      <c r="DH90" s="21">
        <f>EXP(-LN(2)/2)*DH89+(1-EXP(-LN(2)/2))/(LN(2)/2)*DB90*DE90*VLOOKUP('Données projet'!$B$13,Paramètres!$A$1:$I$89,3,0)*0.475*44/12</f>
        <v>1.72583960420918E-4</v>
      </c>
      <c r="DI90" s="22">
        <f t="shared" si="69"/>
        <v>95.674987211284503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>
        <f>DO90*VLOOKUP('Données projet'!$B$14,Paramètres!$A$1:$I$89,3,0)*VLOOKUP('Données projet'!$B$14,Paramètres!$A$1:$I$89,5,0)</f>
        <v>0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229.61973863654862</v>
      </c>
      <c r="DU90" s="59">
        <f t="shared" si="98"/>
        <v>254.08208375594052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62.816395666790989</v>
      </c>
      <c r="EB90" s="21">
        <f>EXP(-LN(2)/25)*EB89+(1-EXP(-LN(2)/25))/(LN(2)/25)*Calculateur!DW90*Calculateur!DY90*VLOOKUP('Données projet'!$B$14,Paramètres!$A$1:$I$89,3,0)*0.475*44/12</f>
        <v>23.65956451377529</v>
      </c>
      <c r="EC90" s="21">
        <f>EXP(-LN(2)/2)*EC89+(1-EXP(-LN(2)/2))/(LN(2)/2)*DW90*DZ90*VLOOKUP('Données projet'!$B$14,Paramètres!$A$1:$I$89,3,0)*0.475*44/12</f>
        <v>3.8887269391217026E-3</v>
      </c>
      <c r="ED90" s="22">
        <f t="shared" si="72"/>
        <v>86.479848907505399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5.4</v>
      </c>
      <c r="N91" s="13">
        <f>IF('Données projet'!$A$36&gt;35,N90+M91-V90,IF(A91&lt;'Données projet'!$A$36,$K$205^A91,IF(A91='Données projet'!$A$36,'Données projet'!$B$36,N90+M91-V90)))</f>
        <v>264.19999999999987</v>
      </c>
      <c r="O91" s="13">
        <f>N91*VLOOKUP('Données projet'!$B$9,Paramètres!$A$1:$I$89,3,0)*VLOOKUP('Données projet'!$B$9,Paramètres!$A$1:$I$89,5,0)</f>
        <v>239.04815999999985</v>
      </c>
      <c r="P91" s="13">
        <f t="shared" si="87"/>
        <v>58.234690128947292</v>
      </c>
      <c r="Q91" s="20">
        <f t="shared" si="54"/>
        <v>517.76763064124964</v>
      </c>
      <c r="R91" s="59">
        <f t="shared" si="55"/>
        <v>811.10096397458301</v>
      </c>
      <c r="S91" s="59">
        <f ca="1">AVERAGE(OFFSET($R$3,0,0,'Données projet'!$E$9+1,1))-AVERAGE(OFFSET($H$3,0,0,'Données projet'!$E$9+1,1))</f>
        <v>373.59295497283125</v>
      </c>
      <c r="T91" s="59">
        <f t="shared" si="88"/>
        <v>231.36959598460686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24.906007062713932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24.906007062713932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5.4</v>
      </c>
      <c r="AI91" s="13">
        <f>IF('Données projet'!$A$62&gt;35,AI90+AH91-AQ90,IF(A91&lt;'Données projet'!$A$62,$AF$205^A91,IF(A91='Données projet'!$A$62,'Données projet'!$B$62,AI90+AH91-AQ90)))</f>
        <v>264.19999999999987</v>
      </c>
      <c r="AJ91" s="13">
        <f>AI91*VLOOKUP('Données projet'!$B$10,Paramètres!$A$1:$I$89,3,0)*VLOOKUP('Données projet'!$B$10,Paramètres!$A$1:$I$89,5,0)</f>
        <v>267.89879999999988</v>
      </c>
      <c r="AK91" s="13">
        <f t="shared" si="89"/>
        <v>64.403139057834508</v>
      </c>
      <c r="AL91" s="20">
        <f t="shared" si="58"/>
        <v>578.75921052572812</v>
      </c>
      <c r="AM91" s="59">
        <f t="shared" si="59"/>
        <v>872.09254385906138</v>
      </c>
      <c r="AN91" s="59">
        <f ca="1">AVERAGE(OFFSET($AM$3,0,0,'Données projet'!$E$10+1,1))-AVERAGE(OFFSET($H$3,0,0,'Données projet'!$E$10+1,1))</f>
        <v>413.81510455446738</v>
      </c>
      <c r="AO91" s="59">
        <f t="shared" si="90"/>
        <v>254.25036207346602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27.911904466834574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27.911904466834574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-1.1368683772161603E-13</v>
      </c>
      <c r="BE91" s="13">
        <f>BD91*VLOOKUP('Données projet'!$B$11,Paramètres!$A$1:$I$89,3,0)*VLOOKUP('Données projet'!$B$11,Paramètres!$A$1:$I$89,5,0)</f>
        <v>-1.0995790944434703E-13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295.35565287134125</v>
      </c>
      <c r="BJ91" s="59">
        <f t="shared" si="92"/>
        <v>244.451492444461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77.669908907763329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77.669908907763329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-1.1368683772161603E-13</v>
      </c>
      <c r="BZ91" s="13">
        <f>BY91*VLOOKUP('Données projet'!$B$12,Paramètres!$A$1:$I$89,3,0)*VLOOKUP('Données projet'!$B$12,Paramètres!$A$1:$I$89,5,0)</f>
        <v>-1.223725121235475E-13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324.61094137855798</v>
      </c>
      <c r="CE91" s="59">
        <f t="shared" si="94"/>
        <v>267.2998309535638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86.439092171543081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86.439092171543081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2.8421709430404007E-13</v>
      </c>
      <c r="CU91" s="17">
        <f>CT91*VLOOKUP('Données projet'!$B$13,Paramètres!$A$1:$I$89,3,0)*VLOOKUP('Données projet'!$B$13,Paramètres!$A$1:$I$89,5,0)</f>
        <v>1.69961822393816E-13</v>
      </c>
      <c r="CV91" s="13">
        <f t="shared" si="95"/>
        <v>2.4004382776176369E-12</v>
      </c>
      <c r="CW91" s="20">
        <f t="shared" si="67"/>
        <v>4.4767801741866136E-12</v>
      </c>
      <c r="CX91" s="59">
        <f t="shared" si="68"/>
        <v>293.33333333333781</v>
      </c>
      <c r="CY91" s="59">
        <f ca="1">AVERAGE(OFFSET($CX$3,0,0,'Données projet'!$E$13+1,1))-AVERAGE(OFFSET($H$3,0,0,'Données projet'!$E$13+1,1))</f>
        <v>319.9010109022521</v>
      </c>
      <c r="CZ91" s="59">
        <f t="shared" si="96"/>
        <v>441.82647565372287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69.627038542476527</v>
      </c>
      <c r="DG91" s="21">
        <f>EXP(-LN(2)/25)*DG90+(1-EXP(-LN(2)/25))/(LN(2)/25)*Calculateur!DB91*Calculateur!DD91*VLOOKUP('Données projet'!$B$13,Paramètres!$A$1:$I$89,3,0)*0.475*44/12</f>
        <v>23.980927612808006</v>
      </c>
      <c r="DH91" s="21">
        <f>EXP(-LN(2)/2)*DH90+(1-EXP(-LN(2)/2))/(LN(2)/2)*DB91*DE91*VLOOKUP('Données projet'!$B$13,Paramètres!$A$1:$I$89,3,0)*0.475*44/12</f>
        <v>1.2203528873766185E-4</v>
      </c>
      <c r="DI91" s="22">
        <f t="shared" si="69"/>
        <v>93.60808819057327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>
        <f>DO91*VLOOKUP('Données projet'!$B$14,Paramètres!$A$1:$I$89,3,0)*VLOOKUP('Données projet'!$B$14,Paramètres!$A$1:$I$89,5,0)</f>
        <v>0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229.61973863654862</v>
      </c>
      <c r="DU91" s="59">
        <f t="shared" si="98"/>
        <v>254.08208375594052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61.584604461983361</v>
      </c>
      <c r="EB91" s="21">
        <f>EXP(-LN(2)/25)*EB90+(1-EXP(-LN(2)/25))/(LN(2)/25)*Calculateur!DW91*Calculateur!DY91*VLOOKUP('Données projet'!$B$14,Paramètres!$A$1:$I$89,3,0)*0.475*44/12</f>
        <v>23.012592477943681</v>
      </c>
      <c r="EC91" s="21">
        <f>EXP(-LN(2)/2)*EC90+(1-EXP(-LN(2)/2))/(LN(2)/2)*DW91*DZ91*VLOOKUP('Données projet'!$B$14,Paramètres!$A$1:$I$89,3,0)*0.475*44/12</f>
        <v>2.7497451888357626E-3</v>
      </c>
      <c r="ED91" s="22">
        <f t="shared" si="72"/>
        <v>84.599946685115881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5.4</v>
      </c>
      <c r="N92" s="13">
        <f>IF('Données projet'!$A$36&gt;35,N91+M92-V91,IF(A92&lt;'Données projet'!$A$36,$K$205^A92,IF(A92='Données projet'!$A$36,'Données projet'!$B$36,N91+M92-V91)))</f>
        <v>269.59999999999985</v>
      </c>
      <c r="O92" s="13">
        <f>N92*VLOOKUP('Données projet'!$B$9,Paramètres!$A$1:$I$89,3,0)*VLOOKUP('Données projet'!$B$9,Paramètres!$A$1:$I$89,5,0)</f>
        <v>243.93407999999988</v>
      </c>
      <c r="P92" s="13">
        <f t="shared" si="87"/>
        <v>59.285164329617594</v>
      </c>
      <c r="Q92" s="20">
        <f t="shared" si="54"/>
        <v>528.10685054075043</v>
      </c>
      <c r="R92" s="59">
        <f t="shared" si="55"/>
        <v>821.44018387408369</v>
      </c>
      <c r="S92" s="59">
        <f ca="1">AVERAGE(OFFSET($R$3,0,0,'Données projet'!$E$9+1,1))-AVERAGE(OFFSET($H$3,0,0,'Données projet'!$E$9+1,1))</f>
        <v>373.59295497283125</v>
      </c>
      <c r="T92" s="59">
        <f t="shared" si="88"/>
        <v>231.36959598460686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24.417615455378417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24.417615455378417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5.4</v>
      </c>
      <c r="AI92" s="13">
        <f>IF('Données projet'!$A$62&gt;35,AI91+AH92-AQ91,IF(A92&lt;'Données projet'!$A$62,$AF$205^A92,IF(A92='Données projet'!$A$62,'Données projet'!$B$62,AI91+AH92-AQ91)))</f>
        <v>269.59999999999985</v>
      </c>
      <c r="AJ92" s="13">
        <f>AI92*VLOOKUP('Données projet'!$B$10,Paramètres!$A$1:$I$89,3,0)*VLOOKUP('Données projet'!$B$10,Paramètres!$A$1:$I$89,5,0)</f>
        <v>273.37439999999987</v>
      </c>
      <c r="AK92" s="13">
        <f t="shared" si="89"/>
        <v>65.564883644654373</v>
      </c>
      <c r="AL92" s="20">
        <f t="shared" si="58"/>
        <v>590.3192523477727</v>
      </c>
      <c r="AM92" s="59">
        <f t="shared" si="59"/>
        <v>883.65258568110607</v>
      </c>
      <c r="AN92" s="59">
        <f ca="1">AVERAGE(OFFSET($AM$3,0,0,'Données projet'!$E$10+1,1))-AVERAGE(OFFSET($H$3,0,0,'Données projet'!$E$10+1,1))</f>
        <v>413.81510455446738</v>
      </c>
      <c r="AO92" s="59">
        <f t="shared" si="90"/>
        <v>254.25036207346602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27.364569044820634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27.364569044820634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-1.1368683772161603E-13</v>
      </c>
      <c r="BE92" s="13">
        <f>BD92*VLOOKUP('Données projet'!$B$11,Paramètres!$A$1:$I$89,3,0)*VLOOKUP('Données projet'!$B$11,Paramètres!$A$1:$I$89,5,0)</f>
        <v>-1.0995790944434703E-13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295.35565287134125</v>
      </c>
      <c r="BJ92" s="59">
        <f t="shared" si="92"/>
        <v>244.451492444461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76.146849368048734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76.146849368048734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-1.1368683772161603E-13</v>
      </c>
      <c r="BZ92" s="13">
        <f>BY92*VLOOKUP('Données projet'!$B$12,Paramètres!$A$1:$I$89,3,0)*VLOOKUP('Données projet'!$B$12,Paramètres!$A$1:$I$89,5,0)</f>
        <v>-1.223725121235475E-13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324.61094137855798</v>
      </c>
      <c r="CE92" s="59">
        <f t="shared" si="94"/>
        <v>267.2998309535638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84.744074296699424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84.744074296699424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2.8421709430404007E-13</v>
      </c>
      <c r="CU92" s="17">
        <f>CT92*VLOOKUP('Données projet'!$B$13,Paramètres!$A$1:$I$89,3,0)*VLOOKUP('Données projet'!$B$13,Paramètres!$A$1:$I$89,5,0)</f>
        <v>1.69961822393816E-13</v>
      </c>
      <c r="CV92" s="13">
        <f t="shared" si="95"/>
        <v>2.4004382776176369E-12</v>
      </c>
      <c r="CW92" s="20">
        <f t="shared" si="67"/>
        <v>4.4767801741866136E-12</v>
      </c>
      <c r="CX92" s="59">
        <f t="shared" si="68"/>
        <v>293.33333333333781</v>
      </c>
      <c r="CY92" s="59">
        <f ca="1">AVERAGE(OFFSET($CX$3,0,0,'Données projet'!$E$13+1,1))-AVERAGE(OFFSET($H$3,0,0,'Données projet'!$E$13+1,1))</f>
        <v>319.9010109022521</v>
      </c>
      <c r="CZ92" s="59">
        <f t="shared" si="96"/>
        <v>441.82647565372287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68.261694784958678</v>
      </c>
      <c r="DG92" s="21">
        <f>EXP(-LN(2)/25)*DG91+(1-EXP(-LN(2)/25))/(LN(2)/25)*Calculateur!DB92*Calculateur!DD92*VLOOKUP('Données projet'!$B$13,Paramètres!$A$1:$I$89,3,0)*0.475*44/12</f>
        <v>23.325167886133599</v>
      </c>
      <c r="DH92" s="21">
        <f>EXP(-LN(2)/2)*DH91+(1-EXP(-LN(2)/2))/(LN(2)/2)*DB92*DE92*VLOOKUP('Données projet'!$B$13,Paramètres!$A$1:$I$89,3,0)*0.475*44/12</f>
        <v>8.6291980210459015E-5</v>
      </c>
      <c r="DI92" s="22">
        <f t="shared" si="69"/>
        <v>91.586948963072487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>
        <f>DO92*VLOOKUP('Données projet'!$B$14,Paramètres!$A$1:$I$89,3,0)*VLOOKUP('Données projet'!$B$14,Paramètres!$A$1:$I$89,5,0)</f>
        <v>0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229.61973863654862</v>
      </c>
      <c r="DU92" s="59">
        <f t="shared" si="98"/>
        <v>254.08208375594052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60.376967931383561</v>
      </c>
      <c r="EB92" s="21">
        <f>EXP(-LN(2)/25)*EB91+(1-EXP(-LN(2)/25))/(LN(2)/25)*Calculateur!DW92*Calculateur!DY92*VLOOKUP('Données projet'!$B$14,Paramètres!$A$1:$I$89,3,0)*0.475*44/12</f>
        <v>22.383311926454667</v>
      </c>
      <c r="EC92" s="21">
        <f>EXP(-LN(2)/2)*EC91+(1-EXP(-LN(2)/2))/(LN(2)/2)*DW92*DZ92*VLOOKUP('Données projet'!$B$14,Paramètres!$A$1:$I$89,3,0)*0.475*44/12</f>
        <v>1.9443634695608515E-3</v>
      </c>
      <c r="ED92" s="22">
        <f t="shared" si="72"/>
        <v>82.76222422130779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275</v>
      </c>
      <c r="L93" s="12">
        <f>VLOOKUP(A93,'Données projet'!$A$35:$I$55,9,0)</f>
        <v>5.4</v>
      </c>
      <c r="M93" s="12">
        <f t="array" ref="M93">INDEX(L:L,MIN(IF(ISNUMBER(L93:L289),ROW(L93:L289),"")))</f>
        <v>5.4</v>
      </c>
      <c r="N93" s="13">
        <f>IF('Données projet'!$A$36&gt;35,N92+M93-V92,IF(A93&lt;'Données projet'!$A$36,$K$205^A93,IF(A93='Données projet'!$A$36,'Données projet'!$B$36,N92+M93-V92)))</f>
        <v>274.99999999999983</v>
      </c>
      <c r="O93" s="13">
        <f>N93*VLOOKUP('Données projet'!$B$9,Paramètres!$A$1:$I$89,3,0)*VLOOKUP('Données projet'!$B$9,Paramètres!$A$1:$I$89,5,0)</f>
        <v>248.81999999999982</v>
      </c>
      <c r="P93" s="13">
        <f t="shared" si="87"/>
        <v>60.333192077890018</v>
      </c>
      <c r="Q93" s="20">
        <f t="shared" si="54"/>
        <v>538.44180953565808</v>
      </c>
      <c r="R93" s="59">
        <f t="shared" si="55"/>
        <v>831.77514286899145</v>
      </c>
      <c r="S93" s="59">
        <f ca="1">AVERAGE(OFFSET($R$3,0,0,'Données projet'!$E$9+1,1))-AVERAGE(OFFSET($H$3,0,0,'Données projet'!$E$9+1,1))</f>
        <v>373.59295497283125</v>
      </c>
      <c r="T93" s="59">
        <f t="shared" si="88"/>
        <v>231.36959598460686</v>
      </c>
      <c r="U93" s="15">
        <f>IF(ISNA(VLOOKUP(A93,'Données projet'!$A$35:$I$55,3,0)),0,VLOOKUP(A93,'Données projet'!$A$35:$I$55,3,0))</f>
        <v>15</v>
      </c>
      <c r="V93" s="15">
        <f>IF(ISNA(VLOOKUP(A93,'Données projet'!$A$35:$I$55,4,0)),0,VLOOKUP(A93,'Données projet'!$A$35:$I$55,4,0))</f>
        <v>21</v>
      </c>
      <c r="W93" s="16">
        <f>IF(ISNA(VLOOKUP(A93,'Données projet'!$A$35:$I$55,5,0)),0%,VLOOKUP(A93,'Données projet'!$A$35:$I$55,5,0)*VLOOKUP('Données projet'!$B$9,Paramètres!$A$1:$I$89,7,0))</f>
        <v>0.30099999999999999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30.261252207389617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30.261252207389617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275</v>
      </c>
      <c r="AG93" s="12">
        <f>VLOOKUP(A93,'Données projet'!$A$61:$I$81,9,0)</f>
        <v>5.4</v>
      </c>
      <c r="AH93" s="12">
        <f t="array" ref="AH93">INDEX(AG:AG,MIN(IF(ISNUMBER(AG93:AG289),ROW(AG93:AG289),"")))</f>
        <v>5.4</v>
      </c>
      <c r="AI93" s="13">
        <f>IF('Données projet'!$A$62&gt;35,AI92+AH93-AQ92,IF(A93&lt;'Données projet'!$A$62,$AF$205^A93,IF(A93='Données projet'!$A$62,'Données projet'!$B$62,AI92+AH93-AQ92)))</f>
        <v>274.99999999999983</v>
      </c>
      <c r="AJ93" s="13">
        <f>AI93*VLOOKUP('Données projet'!$B$10,Paramètres!$A$1:$I$89,3,0)*VLOOKUP('Données projet'!$B$10,Paramètres!$A$1:$I$89,5,0)</f>
        <v>278.84999999999985</v>
      </c>
      <c r="AK93" s="13">
        <f t="shared" si="89"/>
        <v>66.723922641152967</v>
      </c>
      <c r="AL93" s="20">
        <f t="shared" si="58"/>
        <v>601.87458193334112</v>
      </c>
      <c r="AM93" s="59">
        <f t="shared" si="59"/>
        <v>895.20791526667449</v>
      </c>
      <c r="AN93" s="59">
        <f ca="1">AVERAGE(OFFSET($AM$3,0,0,'Données projet'!$E$10+1,1))-AVERAGE(OFFSET($H$3,0,0,'Données projet'!$E$10+1,1))</f>
        <v>413.81510455446738</v>
      </c>
      <c r="AO93" s="59">
        <f t="shared" si="90"/>
        <v>254.25036207346602</v>
      </c>
      <c r="AP93" s="15">
        <f>IF(ISNA(VLOOKUP(A93,'Données projet'!$A$61:$I$81,3,0)),0,VLOOKUP(A93,'Données projet'!$A$61:$I$81,3,0))</f>
        <v>15</v>
      </c>
      <c r="AQ93" s="15">
        <f>IF(ISNA(VLOOKUP(A93,'Données projet'!$A$61:$I$81,4,0)),0,VLOOKUP(A93,'Données projet'!$A$61:$I$81,4,0))</f>
        <v>21</v>
      </c>
      <c r="AR93" s="16">
        <f>IF(ISNA(VLOOKUP(A93,'Données projet'!$A$61:$I$81,5,0)),0%,VLOOKUP(A93,'Données projet'!$A$61:$I$81,5,0)*VLOOKUP('Données projet'!$B$10,Paramètres!$A$1:$I$89,7,0))</f>
        <v>0.30099999999999999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33.913472301384914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33.913472301384914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-1.1368683772161603E-13</v>
      </c>
      <c r="BE93" s="13">
        <f>BD93*VLOOKUP('Données projet'!$B$11,Paramètres!$A$1:$I$89,3,0)*VLOOKUP('Données projet'!$B$11,Paramètres!$A$1:$I$89,5,0)</f>
        <v>-1.0995790944434703E-13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295.35565287134125</v>
      </c>
      <c r="BJ93" s="59">
        <f t="shared" si="92"/>
        <v>244.451492444461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74.653656096933346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74.653656096933346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-1.1368683772161603E-13</v>
      </c>
      <c r="BZ93" s="13">
        <f>BY93*VLOOKUP('Données projet'!$B$12,Paramètres!$A$1:$I$89,3,0)*VLOOKUP('Données projet'!$B$12,Paramètres!$A$1:$I$89,5,0)</f>
        <v>-1.223725121235475E-13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324.61094137855798</v>
      </c>
      <c r="CE93" s="59">
        <f t="shared" si="94"/>
        <v>267.2998309535638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83.082294688522623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83.082294688522623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2.8421709430404007E-13</v>
      </c>
      <c r="CU93" s="17">
        <f>CT93*VLOOKUP('Données projet'!$B$13,Paramètres!$A$1:$I$89,3,0)*VLOOKUP('Données projet'!$B$13,Paramètres!$A$1:$I$89,5,0)</f>
        <v>1.69961822393816E-13</v>
      </c>
      <c r="CV93" s="13">
        <f t="shared" si="95"/>
        <v>2.4004382776176369E-12</v>
      </c>
      <c r="CW93" s="20">
        <f t="shared" si="67"/>
        <v>4.4767801741866136E-12</v>
      </c>
      <c r="CX93" s="59">
        <f t="shared" si="68"/>
        <v>293.33333333333781</v>
      </c>
      <c r="CY93" s="59">
        <f ca="1">AVERAGE(OFFSET($CX$3,0,0,'Données projet'!$E$13+1,1))-AVERAGE(OFFSET($H$3,0,0,'Données projet'!$E$13+1,1))</f>
        <v>319.9010109022521</v>
      </c>
      <c r="CZ93" s="59">
        <f t="shared" si="96"/>
        <v>441.82647565372287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66.923124585748297</v>
      </c>
      <c r="DG93" s="21">
        <f>EXP(-LN(2)/25)*DG92+(1-EXP(-LN(2)/25))/(LN(2)/25)*Calculateur!DB93*Calculateur!DD93*VLOOKUP('Données projet'!$B$13,Paramètres!$A$1:$I$89,3,0)*0.475*44/12</f>
        <v>22.687339943670008</v>
      </c>
      <c r="DH93" s="21">
        <f>EXP(-LN(2)/2)*DH92+(1-EXP(-LN(2)/2))/(LN(2)/2)*DB93*DE93*VLOOKUP('Données projet'!$B$13,Paramètres!$A$1:$I$89,3,0)*0.475*44/12</f>
        <v>6.1017644368830939E-5</v>
      </c>
      <c r="DI93" s="22">
        <f t="shared" si="69"/>
        <v>89.610525547062679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>
        <f>DO93*VLOOKUP('Données projet'!$B$14,Paramètres!$A$1:$I$89,3,0)*VLOOKUP('Données projet'!$B$14,Paramètres!$A$1:$I$89,5,0)</f>
        <v>0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229.61973863654862</v>
      </c>
      <c r="DU93" s="59">
        <f t="shared" si="98"/>
        <v>254.08208375594052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59.193012416563271</v>
      </c>
      <c r="EB93" s="21">
        <f>EXP(-LN(2)/25)*EB92+(1-EXP(-LN(2)/25))/(LN(2)/25)*Calculateur!DW93*Calculateur!DY93*VLOOKUP('Données projet'!$B$14,Paramètres!$A$1:$I$89,3,0)*0.475*44/12</f>
        <v>21.771239084738546</v>
      </c>
      <c r="EC93" s="21">
        <f>EXP(-LN(2)/2)*EC92+(1-EXP(-LN(2)/2))/(LN(2)/2)*DW93*DZ93*VLOOKUP('Données projet'!$B$14,Paramètres!$A$1:$I$89,3,0)*0.475*44/12</f>
        <v>1.3748725944178815E-3</v>
      </c>
      <c r="ED93" s="22">
        <f t="shared" si="72"/>
        <v>80.965626373896228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2.8</v>
      </c>
      <c r="N94" s="13">
        <f>IF('Données projet'!$A$36&gt;35,N93+M94-V93,IF(A94&lt;'Données projet'!$A$36,$K$205^A94,IF(A94='Données projet'!$A$36,'Données projet'!$B$36,N93+M94-V93)))</f>
        <v>256.79999999999984</v>
      </c>
      <c r="O94" s="13">
        <f>N94*VLOOKUP('Données projet'!$B$9,Paramètres!$A$1:$I$89,3,0)*VLOOKUP('Données projet'!$B$9,Paramètres!$A$1:$I$89,5,0)</f>
        <v>232.35263999999987</v>
      </c>
      <c r="P94" s="13">
        <f t="shared" si="87"/>
        <v>56.791075613550255</v>
      </c>
      <c r="Q94" s="20">
        <f t="shared" si="54"/>
        <v>503.59197136026643</v>
      </c>
      <c r="R94" s="59">
        <f t="shared" si="55"/>
        <v>796.92530469359974</v>
      </c>
      <c r="S94" s="59">
        <f ca="1">AVERAGE(OFFSET($R$3,0,0,'Données projet'!$E$9+1,1))-AVERAGE(OFFSET($H$3,0,0,'Données projet'!$E$9+1,1))</f>
        <v>373.59295497283125</v>
      </c>
      <c r="T94" s="59">
        <f t="shared" si="88"/>
        <v>231.36959598460686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29.667847509144021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29.667847509144021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2.8</v>
      </c>
      <c r="AI94" s="13">
        <f>IF('Données projet'!$A$62&gt;35,AI93+AH94-AQ93,IF(A94&lt;'Données projet'!$A$62,$AF$205^A94,IF(A94='Données projet'!$A$62,'Données projet'!$B$62,AI93+AH94-AQ93)))</f>
        <v>256.79999999999984</v>
      </c>
      <c r="AJ94" s="13">
        <f>AI94*VLOOKUP('Données projet'!$B$10,Paramètres!$A$1:$I$89,3,0)*VLOOKUP('Données projet'!$B$10,Paramètres!$A$1:$I$89,5,0)</f>
        <v>260.39519999999987</v>
      </c>
      <c r="AK94" s="13">
        <f t="shared" si="89"/>
        <v>62.806611177714331</v>
      </c>
      <c r="AL94" s="20">
        <f t="shared" si="58"/>
        <v>562.90982113451889</v>
      </c>
      <c r="AM94" s="59">
        <f t="shared" si="59"/>
        <v>856.24315446785226</v>
      </c>
      <c r="AN94" s="59">
        <f ca="1">AVERAGE(OFFSET($AM$3,0,0,'Données projet'!$E$10+1,1))-AVERAGE(OFFSET($H$3,0,0,'Données projet'!$E$10+1,1))</f>
        <v>413.81510455446738</v>
      </c>
      <c r="AO94" s="59">
        <f t="shared" si="90"/>
        <v>254.25036207346602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33.248449794730369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33.248449794730369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-1.1368683772161603E-13</v>
      </c>
      <c r="BE94" s="13">
        <f>BD94*VLOOKUP('Données projet'!$B$11,Paramètres!$A$1:$I$89,3,0)*VLOOKUP('Données projet'!$B$11,Paramètres!$A$1:$I$89,5,0)</f>
        <v>-1.0995790944434703E-13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295.35565287134125</v>
      </c>
      <c r="BJ94" s="59">
        <f t="shared" si="92"/>
        <v>244.451492444461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73.189743435106564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73.189743435106564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-1.1368683772161603E-13</v>
      </c>
      <c r="BZ94" s="13">
        <f>BY94*VLOOKUP('Données projet'!$B$12,Paramètres!$A$1:$I$89,3,0)*VLOOKUP('Données projet'!$B$12,Paramètres!$A$1:$I$89,5,0)</f>
        <v>-1.223725121235475E-13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324.61094137855798</v>
      </c>
      <c r="CE94" s="59">
        <f t="shared" si="94"/>
        <v>267.2998309535638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81.45310156487669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81.45310156487669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2.8421709430404007E-13</v>
      </c>
      <c r="CU94" s="17">
        <f>CT94*VLOOKUP('Données projet'!$B$13,Paramètres!$A$1:$I$89,3,0)*VLOOKUP('Données projet'!$B$13,Paramètres!$A$1:$I$89,5,0)</f>
        <v>1.69961822393816E-13</v>
      </c>
      <c r="CV94" s="13">
        <f t="shared" si="95"/>
        <v>2.4004382776176369E-12</v>
      </c>
      <c r="CW94" s="20">
        <f t="shared" si="67"/>
        <v>4.4767801741866136E-12</v>
      </c>
      <c r="CX94" s="59">
        <f t="shared" si="68"/>
        <v>293.33333333333781</v>
      </c>
      <c r="CY94" s="59">
        <f ca="1">AVERAGE(OFFSET($CX$3,0,0,'Données projet'!$E$13+1,1))-AVERAGE(OFFSET($H$3,0,0,'Données projet'!$E$13+1,1))</f>
        <v>319.9010109022521</v>
      </c>
      <c r="CZ94" s="59">
        <f t="shared" si="96"/>
        <v>441.82647565372287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65.610802931697222</v>
      </c>
      <c r="DG94" s="21">
        <f>EXP(-LN(2)/25)*DG93+(1-EXP(-LN(2)/25))/(LN(2)/25)*Calculateur!DB94*Calculateur!DD94*VLOOKUP('Données projet'!$B$13,Paramètres!$A$1:$I$89,3,0)*0.475*44/12</f>
        <v>22.066953439834997</v>
      </c>
      <c r="DH94" s="21">
        <f>EXP(-LN(2)/2)*DH93+(1-EXP(-LN(2)/2))/(LN(2)/2)*DB94*DE94*VLOOKUP('Données projet'!$B$13,Paramètres!$A$1:$I$89,3,0)*0.475*44/12</f>
        <v>4.3145990105229515E-5</v>
      </c>
      <c r="DI94" s="22">
        <f t="shared" si="69"/>
        <v>87.677799517522317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>
        <f>DO94*VLOOKUP('Données projet'!$B$14,Paramètres!$A$1:$I$89,3,0)*VLOOKUP('Données projet'!$B$14,Paramètres!$A$1:$I$89,5,0)</f>
        <v>0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229.61973863654862</v>
      </c>
      <c r="DU94" s="59">
        <f t="shared" si="98"/>
        <v>254.08208375594052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58.032273547247051</v>
      </c>
      <c r="EB94" s="21">
        <f>EXP(-LN(2)/25)*EB93+(1-EXP(-LN(2)/25))/(LN(2)/25)*Calculateur!DW94*Calculateur!DY94*VLOOKUP('Données projet'!$B$14,Paramètres!$A$1:$I$89,3,0)*0.475*44/12</f>
        <v>21.175903407066667</v>
      </c>
      <c r="EC94" s="21">
        <f>EXP(-LN(2)/2)*EC93+(1-EXP(-LN(2)/2))/(LN(2)/2)*DW94*DZ94*VLOOKUP('Données projet'!$B$14,Paramètres!$A$1:$I$89,3,0)*0.475*44/12</f>
        <v>9.7218173478042587E-4</v>
      </c>
      <c r="ED94" s="22">
        <f t="shared" si="72"/>
        <v>79.209149136048495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2.8</v>
      </c>
      <c r="N95" s="13">
        <f>IF('Données projet'!$A$36&gt;35,N94+M95-V94,IF(A95&lt;'Données projet'!$A$36,$K$205^A95,IF(A95='Données projet'!$A$36,'Données projet'!$B$36,N94+M95-V94)))</f>
        <v>259.59999999999985</v>
      </c>
      <c r="O95" s="13">
        <f>N95*VLOOKUP('Données projet'!$B$9,Paramètres!$A$1:$I$89,3,0)*VLOOKUP('Données projet'!$B$9,Paramètres!$A$1:$I$89,5,0)</f>
        <v>234.88607999999985</v>
      </c>
      <c r="P95" s="13">
        <f t="shared" si="87"/>
        <v>57.337870247711599</v>
      </c>
      <c r="Q95" s="20">
        <f t="shared" si="54"/>
        <v>508.95671334809748</v>
      </c>
      <c r="R95" s="59">
        <f t="shared" si="55"/>
        <v>802.29004668143079</v>
      </c>
      <c r="S95" s="59">
        <f ca="1">AVERAGE(OFFSET($R$3,0,0,'Données projet'!$E$9+1,1))-AVERAGE(OFFSET($H$3,0,0,'Données projet'!$E$9+1,1))</f>
        <v>373.59295497283125</v>
      </c>
      <c r="T95" s="59">
        <f t="shared" si="88"/>
        <v>231.36959598460686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29.086079115089895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29.086079115089895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2.8</v>
      </c>
      <c r="AI95" s="13">
        <f>IF('Données projet'!$A$62&gt;35,AI94+AH95-AQ94,IF(A95&lt;'Données projet'!$A$62,$AF$205^A95,IF(A95='Données projet'!$A$62,'Données projet'!$B$62,AI94+AH95-AQ94)))</f>
        <v>259.59999999999985</v>
      </c>
      <c r="AJ95" s="13">
        <f>AI95*VLOOKUP('Données projet'!$B$10,Paramètres!$A$1:$I$89,3,0)*VLOOKUP('Données projet'!$B$10,Paramètres!$A$1:$I$89,5,0)</f>
        <v>263.23439999999988</v>
      </c>
      <c r="AK95" s="13">
        <f t="shared" si="89"/>
        <v>63.411324464279346</v>
      </c>
      <c r="AL95" s="20">
        <f t="shared" si="58"/>
        <v>568.90797010861957</v>
      </c>
      <c r="AM95" s="59">
        <f t="shared" si="59"/>
        <v>862.24130344195282</v>
      </c>
      <c r="AN95" s="59">
        <f ca="1">AVERAGE(OFFSET($AM$3,0,0,'Données projet'!$E$10+1,1))-AVERAGE(OFFSET($H$3,0,0,'Données projet'!$E$10+1,1))</f>
        <v>413.81510455446738</v>
      </c>
      <c r="AO95" s="59">
        <f t="shared" si="90"/>
        <v>254.25036207346602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32.596467973807641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32.596467973807641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-1.1368683772161603E-13</v>
      </c>
      <c r="BE95" s="13">
        <f>BD95*VLOOKUP('Données projet'!$B$11,Paramètres!$A$1:$I$89,3,0)*VLOOKUP('Données projet'!$B$11,Paramètres!$A$1:$I$89,5,0)</f>
        <v>-1.0995790944434703E-13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295.35565287134125</v>
      </c>
      <c r="BJ95" s="59">
        <f t="shared" si="92"/>
        <v>244.451492444461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71.754537207679661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71.754537207679661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-1.1368683772161603E-13</v>
      </c>
      <c r="BZ95" s="13">
        <f>BY95*VLOOKUP('Données projet'!$B$12,Paramètres!$A$1:$I$89,3,0)*VLOOKUP('Données projet'!$B$12,Paramètres!$A$1:$I$89,5,0)</f>
        <v>-1.223725121235475E-13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324.61094137855798</v>
      </c>
      <c r="CE95" s="59">
        <f t="shared" si="94"/>
        <v>267.2998309535638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79.85585592467578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79.85585592467578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2.8421709430404007E-13</v>
      </c>
      <c r="CU95" s="17">
        <f>CT95*VLOOKUP('Données projet'!$B$13,Paramètres!$A$1:$I$89,3,0)*VLOOKUP('Données projet'!$B$13,Paramètres!$A$1:$I$89,5,0)</f>
        <v>1.69961822393816E-13</v>
      </c>
      <c r="CV95" s="13">
        <f t="shared" si="95"/>
        <v>2.4004382776176369E-12</v>
      </c>
      <c r="CW95" s="20">
        <f t="shared" si="67"/>
        <v>4.4767801741866136E-12</v>
      </c>
      <c r="CX95" s="59">
        <f t="shared" si="68"/>
        <v>293.33333333333781</v>
      </c>
      <c r="CY95" s="59">
        <f ca="1">AVERAGE(OFFSET($CX$3,0,0,'Données projet'!$E$13+1,1))-AVERAGE(OFFSET($H$3,0,0,'Données projet'!$E$13+1,1))</f>
        <v>319.9010109022521</v>
      </c>
      <c r="CZ95" s="59">
        <f t="shared" si="96"/>
        <v>441.82647565372287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64.32421510484491</v>
      </c>
      <c r="DG95" s="21">
        <f>EXP(-LN(2)/25)*DG94+(1-EXP(-LN(2)/25))/(LN(2)/25)*Calculateur!DB95*Calculateur!DD95*VLOOKUP('Données projet'!$B$13,Paramètres!$A$1:$I$89,3,0)*0.475*44/12</f>
        <v>21.463531437572062</v>
      </c>
      <c r="DH95" s="21">
        <f>EXP(-LN(2)/2)*DH94+(1-EXP(-LN(2)/2))/(LN(2)/2)*DB95*DE95*VLOOKUP('Données projet'!$B$13,Paramètres!$A$1:$I$89,3,0)*0.475*44/12</f>
        <v>3.0508822184415473E-5</v>
      </c>
      <c r="DI95" s="22">
        <f t="shared" si="69"/>
        <v>85.787777051239146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>
        <f>DO95*VLOOKUP('Données projet'!$B$14,Paramètres!$A$1:$I$89,3,0)*VLOOKUP('Données projet'!$B$14,Paramètres!$A$1:$I$89,5,0)</f>
        <v>0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229.61973863654862</v>
      </c>
      <c r="DU95" s="59">
        <f t="shared" si="98"/>
        <v>254.08208375594052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56.894296059177314</v>
      </c>
      <c r="EB95" s="21">
        <f>EXP(-LN(2)/25)*EB94+(1-EXP(-LN(2)/25))/(LN(2)/25)*Calculateur!DW95*Calculateur!DY95*VLOOKUP('Données projet'!$B$14,Paramètres!$A$1:$I$89,3,0)*0.475*44/12</f>
        <v>20.596847214808065</v>
      </c>
      <c r="EC95" s="21">
        <f>EXP(-LN(2)/2)*EC94+(1-EXP(-LN(2)/2))/(LN(2)/2)*DW95*DZ95*VLOOKUP('Données projet'!$B$14,Paramètres!$A$1:$I$89,3,0)*0.475*44/12</f>
        <v>6.8743629720894087E-4</v>
      </c>
      <c r="ED95" s="22">
        <f t="shared" si="72"/>
        <v>77.491830710282599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2.8</v>
      </c>
      <c r="N96" s="13">
        <f>IF('Données projet'!$A$36&gt;35,N95+M96-V95,IF(A96&lt;'Données projet'!$A$36,$K$205^A96,IF(A96='Données projet'!$A$36,'Données projet'!$B$36,N95+M96-V95)))</f>
        <v>262.39999999999986</v>
      </c>
      <c r="O96" s="13">
        <f>N96*VLOOKUP('Données projet'!$B$9,Paramètres!$A$1:$I$89,3,0)*VLOOKUP('Données projet'!$B$9,Paramètres!$A$1:$I$89,5,0)</f>
        <v>237.41951999999989</v>
      </c>
      <c r="P96" s="13">
        <f t="shared" si="87"/>
        <v>57.883978814320919</v>
      </c>
      <c r="Q96" s="20">
        <f t="shared" si="54"/>
        <v>514.32026043494204</v>
      </c>
      <c r="R96" s="59">
        <f t="shared" si="55"/>
        <v>807.65359376827541</v>
      </c>
      <c r="S96" s="59">
        <f ca="1">AVERAGE(OFFSET($R$3,0,0,'Données projet'!$E$9+1,1))-AVERAGE(OFFSET($H$3,0,0,'Données projet'!$E$9+1,1))</f>
        <v>373.59295497283125</v>
      </c>
      <c r="T96" s="59">
        <f t="shared" si="88"/>
        <v>231.36959598460686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28.515718844399487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28.515718844399487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2.8</v>
      </c>
      <c r="AI96" s="13">
        <f>IF('Données projet'!$A$62&gt;35,AI95+AH96-AQ95,IF(A96&lt;'Données projet'!$A$62,$AF$205^A96,IF(A96='Données projet'!$A$62,'Données projet'!$B$62,AI95+AH96-AQ95)))</f>
        <v>262.39999999999986</v>
      </c>
      <c r="AJ96" s="13">
        <f>AI96*VLOOKUP('Données projet'!$B$10,Paramètres!$A$1:$I$89,3,0)*VLOOKUP('Données projet'!$B$10,Paramètres!$A$1:$I$89,5,0)</f>
        <v>266.07359999999989</v>
      </c>
      <c r="AK96" s="13">
        <f t="shared" si="89"/>
        <v>64.015279012301079</v>
      </c>
      <c r="AL96" s="20">
        <f t="shared" si="58"/>
        <v>574.90479761309086</v>
      </c>
      <c r="AM96" s="59">
        <f t="shared" si="59"/>
        <v>868.23813094642423</v>
      </c>
      <c r="AN96" s="59">
        <f ca="1">AVERAGE(OFFSET($AM$3,0,0,'Données projet'!$E$10+1,1))-AVERAGE(OFFSET($H$3,0,0,'Données projet'!$E$10+1,1))</f>
        <v>413.81510455446738</v>
      </c>
      <c r="AO96" s="59">
        <f t="shared" si="90"/>
        <v>254.25036207346602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31.957271118723565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31.957271118723565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-1.1368683772161603E-13</v>
      </c>
      <c r="BE96" s="13">
        <f>BD96*VLOOKUP('Données projet'!$B$11,Paramètres!$A$1:$I$89,3,0)*VLOOKUP('Données projet'!$B$11,Paramètres!$A$1:$I$89,5,0)</f>
        <v>-1.0995790944434703E-13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295.35565287134125</v>
      </c>
      <c r="BJ96" s="59">
        <f t="shared" si="92"/>
        <v>244.451492444461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70.347474498983232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70.347474498983232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-1.1368683772161603E-13</v>
      </c>
      <c r="BZ96" s="13">
        <f>BY96*VLOOKUP('Données projet'!$B$12,Paramètres!$A$1:$I$89,3,0)*VLOOKUP('Données projet'!$B$12,Paramètres!$A$1:$I$89,5,0)</f>
        <v>-1.223725121235475E-13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324.61094137855798</v>
      </c>
      <c r="CE96" s="59">
        <f t="shared" si="94"/>
        <v>267.2998309535638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78.289931297255563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78.289931297255563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2.8421709430404007E-13</v>
      </c>
      <c r="CU96" s="17">
        <f>CT96*VLOOKUP('Données projet'!$B$13,Paramètres!$A$1:$I$89,3,0)*VLOOKUP('Données projet'!$B$13,Paramètres!$A$1:$I$89,5,0)</f>
        <v>1.69961822393816E-13</v>
      </c>
      <c r="CV96" s="13">
        <f t="shared" si="95"/>
        <v>2.4004382776176369E-12</v>
      </c>
      <c r="CW96" s="20">
        <f t="shared" si="67"/>
        <v>4.4767801741866136E-12</v>
      </c>
      <c r="CX96" s="59">
        <f t="shared" si="68"/>
        <v>293.33333333333781</v>
      </c>
      <c r="CY96" s="59">
        <f ca="1">AVERAGE(OFFSET($CX$3,0,0,'Données projet'!$E$13+1,1))-AVERAGE(OFFSET($H$3,0,0,'Données projet'!$E$13+1,1))</f>
        <v>319.9010109022521</v>
      </c>
      <c r="CZ96" s="59">
        <f t="shared" si="96"/>
        <v>441.82647565372287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63.062856480536091</v>
      </c>
      <c r="DG96" s="21">
        <f>EXP(-LN(2)/25)*DG95+(1-EXP(-LN(2)/25))/(LN(2)/25)*Calculateur!DB96*Calculateur!DD96*VLOOKUP('Données projet'!$B$13,Paramètres!$A$1:$I$89,3,0)*0.475*44/12</f>
        <v>20.876610041693592</v>
      </c>
      <c r="DH96" s="21">
        <f>EXP(-LN(2)/2)*DH95+(1-EXP(-LN(2)/2))/(LN(2)/2)*DB96*DE96*VLOOKUP('Données projet'!$B$13,Paramètres!$A$1:$I$89,3,0)*0.475*44/12</f>
        <v>2.1572995052614761E-5</v>
      </c>
      <c r="DI96" s="22">
        <f t="shared" si="69"/>
        <v>83.939488095224732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>
        <f>DO96*VLOOKUP('Données projet'!$B$14,Paramètres!$A$1:$I$89,3,0)*VLOOKUP('Données projet'!$B$14,Paramètres!$A$1:$I$89,5,0)</f>
        <v>0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229.61973863654862</v>
      </c>
      <c r="DU96" s="59">
        <f t="shared" si="98"/>
        <v>254.08208375594052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55.778633615550895</v>
      </c>
      <c r="EB96" s="21">
        <f>EXP(-LN(2)/25)*EB95+(1-EXP(-LN(2)/25))/(LN(2)/25)*Calculateur!DW96*Calculateur!DY96*VLOOKUP('Données projet'!$B$14,Paramètres!$A$1:$I$89,3,0)*0.475*44/12</f>
        <v>20.033625344578017</v>
      </c>
      <c r="EC96" s="21">
        <f>EXP(-LN(2)/2)*EC95+(1-EXP(-LN(2)/2))/(LN(2)/2)*DW96*DZ96*VLOOKUP('Données projet'!$B$14,Paramètres!$A$1:$I$89,3,0)*0.475*44/12</f>
        <v>4.8609086739021304E-4</v>
      </c>
      <c r="ED96" s="22">
        <f t="shared" si="72"/>
        <v>75.812745050996298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2.8</v>
      </c>
      <c r="N97" s="13">
        <f>IF('Données projet'!$A$36&gt;35,N96+M97-V96,IF(A97&lt;'Données projet'!$A$36,$K$205^A97,IF(A97='Données projet'!$A$36,'Données projet'!$B$36,N96+M97-V96)))</f>
        <v>265.19999999999987</v>
      </c>
      <c r="O97" s="13">
        <f>N97*VLOOKUP('Données projet'!$B$9,Paramètres!$A$1:$I$89,3,0)*VLOOKUP('Données projet'!$B$9,Paramètres!$A$1:$I$89,5,0)</f>
        <v>239.95295999999988</v>
      </c>
      <c r="P97" s="13">
        <f t="shared" si="87"/>
        <v>58.429409481604822</v>
      </c>
      <c r="Q97" s="20">
        <f t="shared" si="54"/>
        <v>519.68262684712829</v>
      </c>
      <c r="R97" s="59">
        <f t="shared" si="55"/>
        <v>813.01596018046166</v>
      </c>
      <c r="S97" s="59">
        <f ca="1">AVERAGE(OFFSET($R$3,0,0,'Données projet'!$E$9+1,1))-AVERAGE(OFFSET($H$3,0,0,'Données projet'!$E$9+1,1))</f>
        <v>373.59295497283125</v>
      </c>
      <c r="T97" s="59">
        <f t="shared" si="88"/>
        <v>231.36959598460686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27.956542990731904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27.956542990731904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2.8</v>
      </c>
      <c r="AI97" s="13">
        <f>IF('Données projet'!$A$62&gt;35,AI96+AH97-AQ96,IF(A97&lt;'Données projet'!$A$62,$AF$205^A97,IF(A97='Données projet'!$A$62,'Données projet'!$B$62,AI96+AH97-AQ96)))</f>
        <v>265.19999999999987</v>
      </c>
      <c r="AJ97" s="13">
        <f>AI97*VLOOKUP('Données projet'!$B$10,Paramètres!$A$1:$I$89,3,0)*VLOOKUP('Données projet'!$B$10,Paramètres!$A$1:$I$89,5,0)</f>
        <v>268.91279999999989</v>
      </c>
      <c r="AK97" s="13">
        <f t="shared" si="89"/>
        <v>64.618483855217121</v>
      </c>
      <c r="AL97" s="20">
        <f t="shared" si="58"/>
        <v>580.90031938116965</v>
      </c>
      <c r="AM97" s="59">
        <f t="shared" si="59"/>
        <v>874.23365271450302</v>
      </c>
      <c r="AN97" s="59">
        <f ca="1">AVERAGE(OFFSET($AM$3,0,0,'Données projet'!$E$10+1,1))-AVERAGE(OFFSET($H$3,0,0,'Données projet'!$E$10+1,1))</f>
        <v>413.81510455446738</v>
      </c>
      <c r="AO97" s="59">
        <f t="shared" si="90"/>
        <v>254.25036207346602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31.330608524096103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31.330608524096103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-1.1368683772161603E-13</v>
      </c>
      <c r="BE97" s="13">
        <f>BD97*VLOOKUP('Données projet'!$B$11,Paramètres!$A$1:$I$89,3,0)*VLOOKUP('Données projet'!$B$11,Paramètres!$A$1:$I$89,5,0)</f>
        <v>-1.0995790944434703E-13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295.35565287134125</v>
      </c>
      <c r="BJ97" s="59">
        <f t="shared" si="92"/>
        <v>244.451492444461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68.968003431780829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68.968003431780829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-1.1368683772161603E-13</v>
      </c>
      <c r="BZ97" s="13">
        <f>BY97*VLOOKUP('Données projet'!$B$12,Paramètres!$A$1:$I$89,3,0)*VLOOKUP('Données projet'!$B$12,Paramètres!$A$1:$I$89,5,0)</f>
        <v>-1.223725121235475E-13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324.61094137855798</v>
      </c>
      <c r="CE97" s="59">
        <f t="shared" si="94"/>
        <v>267.2998309535638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76.754713496659335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76.754713496659335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2.8421709430404007E-13</v>
      </c>
      <c r="CU97" s="17">
        <f>CT97*VLOOKUP('Données projet'!$B$13,Paramètres!$A$1:$I$89,3,0)*VLOOKUP('Données projet'!$B$13,Paramètres!$A$1:$I$89,5,0)</f>
        <v>1.69961822393816E-13</v>
      </c>
      <c r="CV97" s="13">
        <f t="shared" si="95"/>
        <v>2.4004382776176369E-12</v>
      </c>
      <c r="CW97" s="20">
        <f t="shared" si="67"/>
        <v>4.4767801741866136E-12</v>
      </c>
      <c r="CX97" s="59">
        <f t="shared" si="68"/>
        <v>293.33333333333781</v>
      </c>
      <c r="CY97" s="59">
        <f ca="1">AVERAGE(OFFSET($CX$3,0,0,'Données projet'!$E$13+1,1))-AVERAGE(OFFSET($H$3,0,0,'Données projet'!$E$13+1,1))</f>
        <v>319.9010109022521</v>
      </c>
      <c r="CZ97" s="59">
        <f t="shared" si="96"/>
        <v>441.82647565372287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61.826232329497174</v>
      </c>
      <c r="DG97" s="21">
        <f>EXP(-LN(2)/25)*DG96+(1-EXP(-LN(2)/25))/(LN(2)/25)*Calculateur!DB97*Calculateur!DD97*VLOOKUP('Données projet'!$B$13,Paramètres!$A$1:$I$89,3,0)*0.475*44/12</f>
        <v>20.305738042250272</v>
      </c>
      <c r="DH97" s="21">
        <f>EXP(-LN(2)/2)*DH96+(1-EXP(-LN(2)/2))/(LN(2)/2)*DB97*DE97*VLOOKUP('Données projet'!$B$13,Paramètres!$A$1:$I$89,3,0)*0.475*44/12</f>
        <v>1.5254411092207738E-5</v>
      </c>
      <c r="DI97" s="22">
        <f t="shared" si="69"/>
        <v>82.131985626158539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>
        <f>DO97*VLOOKUP('Données projet'!$B$14,Paramètres!$A$1:$I$89,3,0)*VLOOKUP('Données projet'!$B$14,Paramètres!$A$1:$I$89,5,0)</f>
        <v>0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229.61973863654862</v>
      </c>
      <c r="DU97" s="59">
        <f t="shared" si="98"/>
        <v>254.08208375594052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54.684848631957095</v>
      </c>
      <c r="EB97" s="21">
        <f>EXP(-LN(2)/25)*EB96+(1-EXP(-LN(2)/25))/(LN(2)/25)*Calculateur!DW97*Calculateur!DY97*VLOOKUP('Données projet'!$B$14,Paramètres!$A$1:$I$89,3,0)*0.475*44/12</f>
        <v>19.485804806007962</v>
      </c>
      <c r="EC97" s="21">
        <f>EXP(-LN(2)/2)*EC96+(1-EXP(-LN(2)/2))/(LN(2)/2)*DW97*DZ97*VLOOKUP('Données projet'!$B$14,Paramètres!$A$1:$I$89,3,0)*0.475*44/12</f>
        <v>3.4371814860447049E-4</v>
      </c>
      <c r="ED97" s="22">
        <f t="shared" si="72"/>
        <v>74.170997156113657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2.8</v>
      </c>
      <c r="N98" s="13">
        <f>IF('Données projet'!$A$36&gt;35,N97+M98-V97,IF(A98&lt;'Données projet'!$A$36,$K$205^A98,IF(A98='Données projet'!$A$36,'Données projet'!$B$36,N97+M98-V97)))</f>
        <v>267.99999999999989</v>
      </c>
      <c r="O98" s="13">
        <f>N98*VLOOKUP('Données projet'!$B$9,Paramètres!$A$1:$I$89,3,0)*VLOOKUP('Données projet'!$B$9,Paramètres!$A$1:$I$89,5,0)</f>
        <v>242.48639999999986</v>
      </c>
      <c r="P98" s="13">
        <f t="shared" si="87"/>
        <v>58.974170235372419</v>
      </c>
      <c r="Q98" s="20">
        <f t="shared" si="54"/>
        <v>525.04382649327329</v>
      </c>
      <c r="R98" s="59">
        <f t="shared" si="55"/>
        <v>818.37715982660666</v>
      </c>
      <c r="S98" s="59">
        <f ca="1">AVERAGE(OFFSET($R$3,0,0,'Données projet'!$E$9+1,1))-AVERAGE(OFFSET($H$3,0,0,'Données projet'!$E$9+1,1))</f>
        <v>373.59295497283125</v>
      </c>
      <c r="T98" s="59">
        <f t="shared" si="88"/>
        <v>231.36959598460686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27.408332234491152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27.408332234491152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2.8</v>
      </c>
      <c r="AI98" s="13">
        <f>IF('Données projet'!$A$62&gt;35,AI97+AH98-AQ97,IF(A98&lt;'Données projet'!$A$62,$AF$205^A98,IF(A98='Données projet'!$A$62,'Données projet'!$B$62,AI97+AH98-AQ97)))</f>
        <v>267.99999999999989</v>
      </c>
      <c r="AJ98" s="13">
        <f>AI98*VLOOKUP('Données projet'!$B$10,Paramètres!$A$1:$I$89,3,0)*VLOOKUP('Données projet'!$B$10,Paramètres!$A$1:$I$89,5,0)</f>
        <v>271.7519999999999</v>
      </c>
      <c r="AK98" s="13">
        <f t="shared" si="89"/>
        <v>65.220947824724931</v>
      </c>
      <c r="AL98" s="20">
        <f t="shared" si="58"/>
        <v>586.89455079472907</v>
      </c>
      <c r="AM98" s="59">
        <f t="shared" si="59"/>
        <v>880.22788412806244</v>
      </c>
      <c r="AN98" s="59">
        <f ca="1">AVERAGE(OFFSET($AM$3,0,0,'Données projet'!$E$10+1,1))-AVERAGE(OFFSET($H$3,0,0,'Données projet'!$E$10+1,1))</f>
        <v>413.81510455446738</v>
      </c>
      <c r="AO98" s="59">
        <f t="shared" si="90"/>
        <v>254.25036207346602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30.716234400722843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30.716234400722843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-1.1368683772161603E-13</v>
      </c>
      <c r="BE98" s="13">
        <f>BD98*VLOOKUP('Données projet'!$B$11,Paramètres!$A$1:$I$89,3,0)*VLOOKUP('Données projet'!$B$11,Paramètres!$A$1:$I$89,5,0)</f>
        <v>-1.0995790944434703E-13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295.35565287134125</v>
      </c>
      <c r="BJ98" s="59">
        <f t="shared" si="92"/>
        <v>244.451492444461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67.615582950811998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67.615582950811998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-1.1368683772161603E-13</v>
      </c>
      <c r="BZ98" s="13">
        <f>BY98*VLOOKUP('Données projet'!$B$12,Paramètres!$A$1:$I$89,3,0)*VLOOKUP('Données projet'!$B$12,Paramètres!$A$1:$I$89,5,0)</f>
        <v>-1.223725121235475E-13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324.61094137855798</v>
      </c>
      <c r="CE98" s="59">
        <f t="shared" si="94"/>
        <v>267.2998309535638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75.249600380742407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75.249600380742407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2.8421709430404007E-13</v>
      </c>
      <c r="CU98" s="17">
        <f>CT98*VLOOKUP('Données projet'!$B$13,Paramètres!$A$1:$I$89,3,0)*VLOOKUP('Données projet'!$B$13,Paramètres!$A$1:$I$89,5,0)</f>
        <v>1.69961822393816E-13</v>
      </c>
      <c r="CV98" s="13">
        <f t="shared" si="95"/>
        <v>2.4004382776176369E-12</v>
      </c>
      <c r="CW98" s="20">
        <f t="shared" si="67"/>
        <v>4.4767801741866136E-12</v>
      </c>
      <c r="CX98" s="59">
        <f t="shared" si="68"/>
        <v>293.33333333333781</v>
      </c>
      <c r="CY98" s="59">
        <f ca="1">AVERAGE(OFFSET($CX$3,0,0,'Données projet'!$E$13+1,1))-AVERAGE(OFFSET($H$3,0,0,'Données projet'!$E$13+1,1))</f>
        <v>319.9010109022521</v>
      </c>
      <c r="CZ98" s="59">
        <f t="shared" si="96"/>
        <v>441.82647565372287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60.613857623793876</v>
      </c>
      <c r="DG98" s="21">
        <f>EXP(-LN(2)/25)*DG97+(1-EXP(-LN(2)/25))/(LN(2)/25)*Calculateur!DB98*Calculateur!DD98*VLOOKUP('Données projet'!$B$13,Paramètres!$A$1:$I$89,3,0)*0.475*44/12</f>
        <v>19.750476567652584</v>
      </c>
      <c r="DH98" s="21">
        <f>EXP(-LN(2)/2)*DH97+(1-EXP(-LN(2)/2))/(LN(2)/2)*DB98*DE98*VLOOKUP('Données projet'!$B$13,Paramètres!$A$1:$I$89,3,0)*0.475*44/12</f>
        <v>1.0786497526307382E-5</v>
      </c>
      <c r="DI98" s="22">
        <f t="shared" si="69"/>
        <v>80.364344977943986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>
        <f>DO98*VLOOKUP('Données projet'!$B$14,Paramètres!$A$1:$I$89,3,0)*VLOOKUP('Données projet'!$B$14,Paramètres!$A$1:$I$89,5,0)</f>
        <v>0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229.61973863654862</v>
      </c>
      <c r="DU98" s="59">
        <f t="shared" si="98"/>
        <v>254.08208375594052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53.612512104748603</v>
      </c>
      <c r="EB98" s="21">
        <f>EXP(-LN(2)/25)*EB97+(1-EXP(-LN(2)/25))/(LN(2)/25)*Calculateur!DW98*Calculateur!DY98*VLOOKUP('Données projet'!$B$14,Paramètres!$A$1:$I$89,3,0)*0.475*44/12</f>
        <v>18.952964448873736</v>
      </c>
      <c r="EC98" s="21">
        <f>EXP(-LN(2)/2)*EC97+(1-EXP(-LN(2)/2))/(LN(2)/2)*DW98*DZ98*VLOOKUP('Données projet'!$B$14,Paramètres!$A$1:$I$89,3,0)*0.475*44/12</f>
        <v>2.4304543369510655E-4</v>
      </c>
      <c r="ED98" s="22">
        <f t="shared" si="72"/>
        <v>72.565719599056038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2.8</v>
      </c>
      <c r="N99" s="13">
        <f>IF('Données projet'!$A$36&gt;35,N98+M99-V98,IF(A99&lt;'Données projet'!$A$36,$K$205^A99,IF(A99='Données projet'!$A$36,'Données projet'!$B$36,N98+M99-V98)))</f>
        <v>270.7999999999999</v>
      </c>
      <c r="O99" s="13">
        <f>N99*VLOOKUP('Données projet'!$B$9,Paramètres!$A$1:$I$89,3,0)*VLOOKUP('Données projet'!$B$9,Paramètres!$A$1:$I$89,5,0)</f>
        <v>245.0198399999999</v>
      </c>
      <c r="P99" s="13">
        <f t="shared" si="87"/>
        <v>59.518268884951055</v>
      </c>
      <c r="Q99" s="20">
        <f t="shared" ref="Q99:Q130" si="107">(O99+P99)*0.475*44/12</f>
        <v>530.40387297462291</v>
      </c>
      <c r="R99" s="59">
        <f t="shared" si="55"/>
        <v>823.73720630795628</v>
      </c>
      <c r="S99" s="59">
        <f ca="1">AVERAGE(OFFSET($R$3,0,0,'Données projet'!$E$9+1,1))-AVERAGE(OFFSET($H$3,0,0,'Données projet'!$E$9+1,1))</f>
        <v>373.59295497283125</v>
      </c>
      <c r="T99" s="59">
        <f t="shared" si="88"/>
        <v>231.36959598460686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26.870871556804733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26.870871556804733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2.8</v>
      </c>
      <c r="AI99" s="13">
        <f>IF('Données projet'!$A$62&gt;35,AI98+AH99-AQ98,IF(A99&lt;'Données projet'!$A$62,$AF$205^A99,IF(A99='Données projet'!$A$62,'Données projet'!$B$62,AI98+AH99-AQ98)))</f>
        <v>270.7999999999999</v>
      </c>
      <c r="AJ99" s="13">
        <f>AI99*VLOOKUP('Données projet'!$B$10,Paramètres!$A$1:$I$89,3,0)*VLOOKUP('Données projet'!$B$10,Paramètres!$A$1:$I$89,5,0)</f>
        <v>274.59119999999996</v>
      </c>
      <c r="AK99" s="13">
        <f t="shared" si="89"/>
        <v>65.822679557346859</v>
      </c>
      <c r="AL99" s="20">
        <f t="shared" si="58"/>
        <v>592.88750689571236</v>
      </c>
      <c r="AM99" s="59">
        <f t="shared" si="59"/>
        <v>886.22084022904573</v>
      </c>
      <c r="AN99" s="59">
        <f ca="1">AVERAGE(OFFSET($AM$3,0,0,'Données projet'!$E$10+1,1))-AVERAGE(OFFSET($H$3,0,0,'Données projet'!$E$10+1,1))</f>
        <v>413.81510455446738</v>
      </c>
      <c r="AO99" s="59">
        <f t="shared" si="90"/>
        <v>254.25036207346602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30.113907779177719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30.113907779177719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-1.1368683772161603E-13</v>
      </c>
      <c r="BE99" s="13">
        <f>BD99*VLOOKUP('Données projet'!$B$11,Paramètres!$A$1:$I$89,3,0)*VLOOKUP('Données projet'!$B$11,Paramètres!$A$1:$I$89,5,0)</f>
        <v>-1.0995790944434703E-13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295.35565287134125</v>
      </c>
      <c r="BJ99" s="59">
        <f t="shared" si="92"/>
        <v>244.451492444461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66.289682610579916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66.289682610579916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-1.1368683772161603E-13</v>
      </c>
      <c r="BZ99" s="13">
        <f>BY99*VLOOKUP('Données projet'!$B$12,Paramètres!$A$1:$I$89,3,0)*VLOOKUP('Données projet'!$B$12,Paramètres!$A$1:$I$89,5,0)</f>
        <v>-1.223725121235475E-13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324.61094137855798</v>
      </c>
      <c r="CE99" s="59">
        <f t="shared" si="94"/>
        <v>267.2998309535638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73.774001615000259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73.774001615000259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2.8421709430404007E-13</v>
      </c>
      <c r="CU99" s="17">
        <f>CT99*VLOOKUP('Données projet'!$B$13,Paramètres!$A$1:$I$89,3,0)*VLOOKUP('Données projet'!$B$13,Paramètres!$A$1:$I$89,5,0)</f>
        <v>1.69961822393816E-13</v>
      </c>
      <c r="CV99" s="13">
        <f t="shared" si="95"/>
        <v>2.4004382776176369E-12</v>
      </c>
      <c r="CW99" s="20">
        <f t="shared" si="67"/>
        <v>4.4767801741866136E-12</v>
      </c>
      <c r="CX99" s="59">
        <f t="shared" si="68"/>
        <v>293.33333333333781</v>
      </c>
      <c r="CY99" s="59">
        <f ca="1">AVERAGE(OFFSET($CX$3,0,0,'Données projet'!$E$13+1,1))-AVERAGE(OFFSET($H$3,0,0,'Données projet'!$E$13+1,1))</f>
        <v>319.9010109022521</v>
      </c>
      <c r="CZ99" s="59">
        <f t="shared" si="96"/>
        <v>441.82647565372287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59.425256846593868</v>
      </c>
      <c r="DG99" s="21">
        <f>EXP(-LN(2)/25)*DG98+(1-EXP(-LN(2)/25))/(LN(2)/25)*Calculateur!DB99*Calculateur!DD99*VLOOKUP('Données projet'!$B$13,Paramètres!$A$1:$I$89,3,0)*0.475*44/12</f>
        <v>19.210398747277701</v>
      </c>
      <c r="DH99" s="21">
        <f>EXP(-LN(2)/2)*DH98+(1-EXP(-LN(2)/2))/(LN(2)/2)*DB99*DE99*VLOOKUP('Données projet'!$B$13,Paramètres!$A$1:$I$89,3,0)*0.475*44/12</f>
        <v>7.6272055461038708E-6</v>
      </c>
      <c r="DI99" s="22">
        <f t="shared" si="69"/>
        <v>78.635663221077124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>
        <f>DO99*VLOOKUP('Données projet'!$B$14,Paramètres!$A$1:$I$89,3,0)*VLOOKUP('Données projet'!$B$14,Paramètres!$A$1:$I$89,5,0)</f>
        <v>0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229.61973863654862</v>
      </c>
      <c r="DU99" s="59">
        <f t="shared" si="98"/>
        <v>254.08208375594052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52.561203442777973</v>
      </c>
      <c r="EB99" s="21">
        <f>EXP(-LN(2)/25)*EB98+(1-EXP(-LN(2)/25))/(LN(2)/25)*Calculateur!DW99*Calculateur!DY99*VLOOKUP('Données projet'!$B$14,Paramètres!$A$1:$I$89,3,0)*0.475*44/12</f>
        <v>18.434694639326199</v>
      </c>
      <c r="EC99" s="21">
        <f>EXP(-LN(2)/2)*EC98+(1-EXP(-LN(2)/2))/(LN(2)/2)*DW99*DZ99*VLOOKUP('Données projet'!$B$14,Paramètres!$A$1:$I$89,3,0)*0.475*44/12</f>
        <v>1.7185907430223527E-4</v>
      </c>
      <c r="ED99" s="22">
        <f t="shared" si="72"/>
        <v>70.996069941178476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2.8</v>
      </c>
      <c r="N100" s="13">
        <f>IF('Données projet'!$A$36&gt;35,N99+M100-V99,IF(A100&lt;'Données projet'!$A$36,$K$205^A100,IF(A100='Données projet'!$A$36,'Données projet'!$B$36,N99+M100-V99)))</f>
        <v>273.59999999999991</v>
      </c>
      <c r="O100" s="13">
        <f>N100*VLOOKUP('Données projet'!$B$9,Paramètres!$A$1:$I$89,3,0)*VLOOKUP('Données projet'!$B$9,Paramètres!$A$1:$I$89,5,0)</f>
        <v>247.55327999999989</v>
      </c>
      <c r="P100" s="13">
        <f t="shared" si="87"/>
        <v>60.061713068870255</v>
      </c>
      <c r="Q100" s="20">
        <f t="shared" si="107"/>
        <v>535.76277959494882</v>
      </c>
      <c r="R100" s="59">
        <f t="shared" si="55"/>
        <v>829.09611292828208</v>
      </c>
      <c r="S100" s="59">
        <f ca="1">AVERAGE(OFFSET($R$3,0,0,'Données projet'!$E$9+1,1))-AVERAGE(OFFSET($H$3,0,0,'Données projet'!$E$9+1,1))</f>
        <v>373.59295497283125</v>
      </c>
      <c r="T100" s="59">
        <f t="shared" si="88"/>
        <v>231.36959598460686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26.343950155189102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26.343950155189102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2.8</v>
      </c>
      <c r="AI100" s="13">
        <f>IF('Données projet'!$A$62&gt;35,AI99+AH100-AQ99,IF(A100&lt;'Données projet'!$A$62,$AF$205^A100,IF(A100='Données projet'!$A$62,'Données projet'!$B$62,AI99+AH100-AQ99)))</f>
        <v>273.59999999999991</v>
      </c>
      <c r="AJ100" s="13">
        <f>AI100*VLOOKUP('Données projet'!$B$10,Paramètres!$A$1:$I$89,3,0)*VLOOKUP('Données projet'!$B$10,Paramètres!$A$1:$I$89,5,0)</f>
        <v>277.43039999999991</v>
      </c>
      <c r="AK100" s="13">
        <f t="shared" si="89"/>
        <v>66.423687500715673</v>
      </c>
      <c r="AL100" s="20">
        <f t="shared" si="58"/>
        <v>598.87920239707955</v>
      </c>
      <c r="AM100" s="59">
        <f t="shared" si="59"/>
        <v>892.21253573041281</v>
      </c>
      <c r="AN100" s="59">
        <f ca="1">AVERAGE(OFFSET($AM$3,0,0,'Données projet'!$E$10+1,1))-AVERAGE(OFFSET($H$3,0,0,'Données projet'!$E$10+1,1))</f>
        <v>413.81510455446738</v>
      </c>
      <c r="AO100" s="59">
        <f t="shared" si="90"/>
        <v>254.25036207346602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29.523392415298133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29.523392415298133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-1.1368683772161603E-13</v>
      </c>
      <c r="BE100" s="13">
        <f>BD100*VLOOKUP('Données projet'!$B$11,Paramètres!$A$1:$I$89,3,0)*VLOOKUP('Données projet'!$B$11,Paramètres!$A$1:$I$89,5,0)</f>
        <v>-1.0995790944434703E-13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295.35565287134125</v>
      </c>
      <c r="BJ100" s="59">
        <f t="shared" si="92"/>
        <v>244.451492444461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64.989782367300435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64.989782367300435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-1.1368683772161603E-13</v>
      </c>
      <c r="BZ100" s="13">
        <f>BY100*VLOOKUP('Données projet'!$B$12,Paramètres!$A$1:$I$89,3,0)*VLOOKUP('Données projet'!$B$12,Paramètres!$A$1:$I$89,5,0)</f>
        <v>-1.223725121235475E-13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324.61094137855798</v>
      </c>
      <c r="CE100" s="59">
        <f t="shared" si="94"/>
        <v>267.2998309535638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72.327338441027933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72.327338441027933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2.8421709430404007E-13</v>
      </c>
      <c r="CU100" s="17">
        <f>CT100*VLOOKUP('Données projet'!$B$13,Paramètres!$A$1:$I$89,3,0)*VLOOKUP('Données projet'!$B$13,Paramètres!$A$1:$I$89,5,0)</f>
        <v>1.69961822393816E-13</v>
      </c>
      <c r="CV100" s="13">
        <f t="shared" si="95"/>
        <v>2.4004382776176369E-12</v>
      </c>
      <c r="CW100" s="20">
        <f t="shared" si="67"/>
        <v>4.4767801741866136E-12</v>
      </c>
      <c r="CX100" s="59">
        <f t="shared" si="68"/>
        <v>293.33333333333781</v>
      </c>
      <c r="CY100" s="59">
        <f ca="1">AVERAGE(OFFSET($CX$3,0,0,'Données projet'!$E$13+1,1))-AVERAGE(OFFSET($H$3,0,0,'Données projet'!$E$13+1,1))</f>
        <v>319.9010109022521</v>
      </c>
      <c r="CZ100" s="59">
        <f t="shared" si="96"/>
        <v>441.82647565372287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58.259963805659858</v>
      </c>
      <c r="DG100" s="21">
        <f>EXP(-LN(2)/25)*DG99+(1-EXP(-LN(2)/25))/(LN(2)/25)*Calculateur!DB100*Calculateur!DD100*VLOOKUP('Données projet'!$B$13,Paramètres!$A$1:$I$89,3,0)*0.475*44/12</f>
        <v>18.685089383302429</v>
      </c>
      <c r="DH100" s="21">
        <f>EXP(-LN(2)/2)*DH99+(1-EXP(-LN(2)/2))/(LN(2)/2)*DB100*DE100*VLOOKUP('Données projet'!$B$13,Paramètres!$A$1:$I$89,3,0)*0.475*44/12</f>
        <v>5.3932487631536919E-6</v>
      </c>
      <c r="DI100" s="22">
        <f t="shared" si="69"/>
        <v>76.945058582211061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>
        <f>DO100*VLOOKUP('Données projet'!$B$14,Paramètres!$A$1:$I$89,3,0)*VLOOKUP('Données projet'!$B$14,Paramètres!$A$1:$I$89,5,0)</f>
        <v>0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229.61973863654862</v>
      </c>
      <c r="DU100" s="59">
        <f t="shared" si="98"/>
        <v>254.08208375594052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51.530510302433619</v>
      </c>
      <c r="EB100" s="21">
        <f>EXP(-LN(2)/25)*EB99+(1-EXP(-LN(2)/25))/(LN(2)/25)*Calculateur!DW100*Calculateur!DY100*VLOOKUP('Données projet'!$B$14,Paramètres!$A$1:$I$89,3,0)*0.475*44/12</f>
        <v>17.930596944975367</v>
      </c>
      <c r="EC100" s="21">
        <f>EXP(-LN(2)/2)*EC99+(1-EXP(-LN(2)/2))/(LN(2)/2)*DW100*DZ100*VLOOKUP('Données projet'!$B$14,Paramètres!$A$1:$I$89,3,0)*0.475*44/12</f>
        <v>1.215227168475533E-4</v>
      </c>
      <c r="ED100" s="22">
        <f t="shared" si="72"/>
        <v>69.461228770125842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2.8</v>
      </c>
      <c r="N101" s="13">
        <f>IF('Données projet'!$A$36&gt;35,N100+M101-V100,IF(A101&lt;'Données projet'!$A$36,$K$205^A101,IF(A101='Données projet'!$A$36,'Données projet'!$B$36,N100+M101-V100)))</f>
        <v>276.39999999999992</v>
      </c>
      <c r="O101" s="13">
        <f>N101*VLOOKUP('Données projet'!$B$9,Paramètres!$A$1:$I$89,3,0)*VLOOKUP('Données projet'!$B$9,Paramètres!$A$1:$I$89,5,0)</f>
        <v>250.08671999999993</v>
      </c>
      <c r="P101" s="13">
        <f t="shared" si="87"/>
        <v>60.604510260306157</v>
      </c>
      <c r="Q101" s="20">
        <f t="shared" si="107"/>
        <v>541.12055937003311</v>
      </c>
      <c r="R101" s="59">
        <f t="shared" si="55"/>
        <v>834.45389270336636</v>
      </c>
      <c r="S101" s="59">
        <f ca="1">AVERAGE(OFFSET($R$3,0,0,'Données projet'!$E$9+1,1))-AVERAGE(OFFSET($H$3,0,0,'Données projet'!$E$9+1,1))</f>
        <v>373.59295497283125</v>
      </c>
      <c r="T101" s="59">
        <f t="shared" si="88"/>
        <v>231.36959598460686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25.827361360868831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25.827361360868831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2.8</v>
      </c>
      <c r="AI101" s="13">
        <f>IF('Données projet'!$A$62&gt;35,AI100+AH101-AQ100,IF(A101&lt;'Données projet'!$A$62,$AF$205^A101,IF(A101='Données projet'!$A$62,'Données projet'!$B$62,AI100+AH101-AQ100)))</f>
        <v>276.39999999999992</v>
      </c>
      <c r="AJ101" s="13">
        <f>AI101*VLOOKUP('Données projet'!$B$10,Paramètres!$A$1:$I$89,3,0)*VLOOKUP('Données projet'!$B$10,Paramètres!$A$1:$I$89,5,0)</f>
        <v>280.26959999999997</v>
      </c>
      <c r="AK101" s="13">
        <f t="shared" si="89"/>
        <v>67.023979919595945</v>
      </c>
      <c r="AL101" s="20">
        <f t="shared" si="58"/>
        <v>604.86965169329608</v>
      </c>
      <c r="AM101" s="59">
        <f t="shared" si="59"/>
        <v>898.20298502662945</v>
      </c>
      <c r="AN101" s="59">
        <f ca="1">AVERAGE(OFFSET($AM$3,0,0,'Données projet'!$E$10+1,1))-AVERAGE(OFFSET($H$3,0,0,'Données projet'!$E$10+1,1))</f>
        <v>413.81510455446738</v>
      </c>
      <c r="AO101" s="59">
        <f t="shared" si="90"/>
        <v>254.25036207346602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28.944456697525418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28.944456697525418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-1.1368683772161603E-13</v>
      </c>
      <c r="BE101" s="13">
        <f>BD101*VLOOKUP('Données projet'!$B$11,Paramètres!$A$1:$I$89,3,0)*VLOOKUP('Données projet'!$B$11,Paramètres!$A$1:$I$89,5,0)</f>
        <v>-1.0995790944434703E-13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295.35565287134125</v>
      </c>
      <c r="BJ101" s="59">
        <f t="shared" si="92"/>
        <v>244.451492444461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63.715372374930809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63.715372374930809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-1.1368683772161603E-13</v>
      </c>
      <c r="BZ101" s="13">
        <f>BY101*VLOOKUP('Données projet'!$B$12,Paramètres!$A$1:$I$89,3,0)*VLOOKUP('Données projet'!$B$12,Paramètres!$A$1:$I$89,5,0)</f>
        <v>-1.223725121235475E-13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324.61094137855798</v>
      </c>
      <c r="CE101" s="59">
        <f t="shared" si="94"/>
        <v>267.2998309535638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70.9090434495198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70.9090434495198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2.8421709430404007E-13</v>
      </c>
      <c r="CU101" s="17">
        <f>CT101*VLOOKUP('Données projet'!$B$13,Paramètres!$A$1:$I$89,3,0)*VLOOKUP('Données projet'!$B$13,Paramètres!$A$1:$I$89,5,0)</f>
        <v>1.69961822393816E-13</v>
      </c>
      <c r="CV101" s="13">
        <f t="shared" si="95"/>
        <v>2.4004382776176369E-12</v>
      </c>
      <c r="CW101" s="20">
        <f t="shared" si="67"/>
        <v>4.4767801741866136E-12</v>
      </c>
      <c r="CX101" s="59">
        <f t="shared" si="68"/>
        <v>293.33333333333781</v>
      </c>
      <c r="CY101" s="59">
        <f ca="1">AVERAGE(OFFSET($CX$3,0,0,'Données projet'!$E$13+1,1))-AVERAGE(OFFSET($H$3,0,0,'Données projet'!$E$13+1,1))</f>
        <v>319.9010109022521</v>
      </c>
      <c r="CZ101" s="59">
        <f t="shared" si="96"/>
        <v>441.82647565372287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57.117521450499993</v>
      </c>
      <c r="DG101" s="21">
        <f>EXP(-LN(2)/25)*DG100+(1-EXP(-LN(2)/25))/(LN(2)/25)*Calculateur!DB101*Calculateur!DD101*VLOOKUP('Données projet'!$B$13,Paramètres!$A$1:$I$89,3,0)*0.475*44/12</f>
        <v>18.174144631509879</v>
      </c>
      <c r="DH101" s="21">
        <f>EXP(-LN(2)/2)*DH100+(1-EXP(-LN(2)/2))/(LN(2)/2)*DB101*DE101*VLOOKUP('Données projet'!$B$13,Paramètres!$A$1:$I$89,3,0)*0.475*44/12</f>
        <v>3.8136027730519358E-6</v>
      </c>
      <c r="DI101" s="22">
        <f t="shared" si="69"/>
        <v>75.291669895612642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>
        <f>DO101*VLOOKUP('Données projet'!$B$14,Paramètres!$A$1:$I$89,3,0)*VLOOKUP('Données projet'!$B$14,Paramètres!$A$1:$I$89,5,0)</f>
        <v>0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229.61973863654862</v>
      </c>
      <c r="DU101" s="59">
        <f t="shared" si="98"/>
        <v>254.08208375594052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50.520028425910674</v>
      </c>
      <c r="EB101" s="21">
        <f>EXP(-LN(2)/25)*EB100+(1-EXP(-LN(2)/25))/(LN(2)/25)*Calculateur!DW101*Calculateur!DY101*VLOOKUP('Données projet'!$B$14,Paramètres!$A$1:$I$89,3,0)*0.475*44/12</f>
        <v>17.440283828585905</v>
      </c>
      <c r="EC101" s="21">
        <f>EXP(-LN(2)/2)*EC100+(1-EXP(-LN(2)/2))/(LN(2)/2)*DW101*DZ101*VLOOKUP('Données projet'!$B$14,Paramètres!$A$1:$I$89,3,0)*0.475*44/12</f>
        <v>8.592953715111765E-5</v>
      </c>
      <c r="ED101" s="22">
        <f t="shared" si="72"/>
        <v>67.960398184033735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2.8</v>
      </c>
      <c r="N102" s="13">
        <f>IF('Données projet'!$A$36&gt;35,N101+M102-V101,IF(A102&lt;'Données projet'!$A$36,$K$205^A102,IF(A102='Données projet'!$A$36,'Données projet'!$B$36,N101+M102-V101)))</f>
        <v>279.19999999999993</v>
      </c>
      <c r="O102" s="13">
        <f>N102*VLOOKUP('Données projet'!$B$9,Paramètres!$A$1:$I$89,3,0)*VLOOKUP('Données projet'!$B$9,Paramètres!$A$1:$I$89,5,0)</f>
        <v>252.62015999999994</v>
      </c>
      <c r="P102" s="13">
        <f t="shared" si="87"/>
        <v>61.14666777229877</v>
      </c>
      <c r="Q102" s="20">
        <f t="shared" si="107"/>
        <v>546.47722503675357</v>
      </c>
      <c r="R102" s="59">
        <f t="shared" si="55"/>
        <v>839.81055837008694</v>
      </c>
      <c r="S102" s="59">
        <f ca="1">AVERAGE(OFFSET($R$3,0,0,'Données projet'!$E$9+1,1))-AVERAGE(OFFSET($H$3,0,0,'Données projet'!$E$9+1,1))</f>
        <v>373.59295497283125</v>
      </c>
      <c r="T102" s="59">
        <f t="shared" si="88"/>
        <v>231.36959598460686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25.32090255771713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25.32090255771713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2.8</v>
      </c>
      <c r="AI102" s="13">
        <f>IF('Données projet'!$A$62&gt;35,AI101+AH102-AQ101,IF(A102&lt;'Données projet'!$A$62,$AF$205^A102,IF(A102='Données projet'!$A$62,'Données projet'!$B$62,AI101+AH102-AQ101)))</f>
        <v>279.19999999999993</v>
      </c>
      <c r="AJ102" s="13">
        <f>AI102*VLOOKUP('Données projet'!$B$10,Paramètres!$A$1:$I$89,3,0)*VLOOKUP('Données projet'!$B$10,Paramètres!$A$1:$I$89,5,0)</f>
        <v>283.10879999999997</v>
      </c>
      <c r="AK102" s="13">
        <f t="shared" si="89"/>
        <v>67.623564901653808</v>
      </c>
      <c r="AL102" s="20">
        <f t="shared" si="58"/>
        <v>610.85886887038032</v>
      </c>
      <c r="AM102" s="59">
        <f t="shared" si="59"/>
        <v>904.19220220371358</v>
      </c>
      <c r="AN102" s="59">
        <f ca="1">AVERAGE(OFFSET($AM$3,0,0,'Données projet'!$E$10+1,1))-AVERAGE(OFFSET($H$3,0,0,'Données projet'!$E$10+1,1))</f>
        <v>413.81510455446738</v>
      </c>
      <c r="AO102" s="59">
        <f t="shared" si="90"/>
        <v>254.25036207346602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28.376873556062304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28.376873556062304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-1.1368683772161603E-13</v>
      </c>
      <c r="BE102" s="13">
        <f>BD102*VLOOKUP('Données projet'!$B$11,Paramètres!$A$1:$I$89,3,0)*VLOOKUP('Données projet'!$B$11,Paramètres!$A$1:$I$89,5,0)</f>
        <v>-1.0995790944434703E-13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295.35565287134125</v>
      </c>
      <c r="BJ102" s="59">
        <f t="shared" si="92"/>
        <v>244.451492444461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62.465952785198205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62.465952785198205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-1.1368683772161603E-13</v>
      </c>
      <c r="BZ102" s="13">
        <f>BY102*VLOOKUP('Données projet'!$B$12,Paramètres!$A$1:$I$89,3,0)*VLOOKUP('Données projet'!$B$12,Paramètres!$A$1:$I$89,5,0)</f>
        <v>-1.223725121235475E-13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324.61094137855798</v>
      </c>
      <c r="CE102" s="59">
        <f t="shared" si="94"/>
        <v>267.2998309535638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69.518560357720617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69.518560357720617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2.8421709430404007E-13</v>
      </c>
      <c r="CU102" s="17">
        <f>CT102*VLOOKUP('Données projet'!$B$13,Paramètres!$A$1:$I$89,3,0)*VLOOKUP('Données projet'!$B$13,Paramètres!$A$1:$I$89,5,0)</f>
        <v>1.69961822393816E-13</v>
      </c>
      <c r="CV102" s="13">
        <f t="shared" si="95"/>
        <v>2.4004382776176369E-12</v>
      </c>
      <c r="CW102" s="20">
        <f t="shared" si="67"/>
        <v>4.4767801741866136E-12</v>
      </c>
      <c r="CX102" s="59">
        <f t="shared" si="68"/>
        <v>293.33333333333781</v>
      </c>
      <c r="CY102" s="59">
        <f ca="1">AVERAGE(OFFSET($CX$3,0,0,'Données projet'!$E$13+1,1))-AVERAGE(OFFSET($H$3,0,0,'Données projet'!$E$13+1,1))</f>
        <v>319.9010109022521</v>
      </c>
      <c r="CZ102" s="59">
        <f t="shared" si="96"/>
        <v>441.82647565372287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55.997481693103779</v>
      </c>
      <c r="DG102" s="21">
        <f>EXP(-LN(2)/25)*DG101+(1-EXP(-LN(2)/25))/(LN(2)/25)*Calculateur!DB102*Calculateur!DD102*VLOOKUP('Données projet'!$B$13,Paramètres!$A$1:$I$89,3,0)*0.475*44/12</f>
        <v>17.677171690824512</v>
      </c>
      <c r="DH102" s="21">
        <f>EXP(-LN(2)/2)*DH101+(1-EXP(-LN(2)/2))/(LN(2)/2)*DB102*DE102*VLOOKUP('Données projet'!$B$13,Paramètres!$A$1:$I$89,3,0)*0.475*44/12</f>
        <v>2.6966243815768464E-6</v>
      </c>
      <c r="DI102" s="22">
        <f t="shared" si="69"/>
        <v>73.674656080552666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>
        <f>DO102*VLOOKUP('Données projet'!$B$14,Paramètres!$A$1:$I$89,3,0)*VLOOKUP('Données projet'!$B$14,Paramètres!$A$1:$I$89,5,0)</f>
        <v>0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229.61973863654862</v>
      </c>
      <c r="DU102" s="59">
        <f t="shared" si="98"/>
        <v>254.08208375594052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49.529361482653258</v>
      </c>
      <c r="EB102" s="21">
        <f>EXP(-LN(2)/25)*EB101+(1-EXP(-LN(2)/25))/(LN(2)/25)*Calculateur!DW102*Calculateur!DY102*VLOOKUP('Données projet'!$B$14,Paramètres!$A$1:$I$89,3,0)*0.475*44/12</f>
        <v>16.963378350148556</v>
      </c>
      <c r="EC102" s="21">
        <f>EXP(-LN(2)/2)*EC101+(1-EXP(-LN(2)/2))/(LN(2)/2)*DW102*DZ102*VLOOKUP('Données projet'!$B$14,Paramètres!$A$1:$I$89,3,0)*0.475*44/12</f>
        <v>6.0761358423776658E-5</v>
      </c>
      <c r="ED102" s="22">
        <f t="shared" si="72"/>
        <v>66.492800594160244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282</v>
      </c>
      <c r="L103" s="12">
        <f>VLOOKUP(A103,'Données projet'!$A$35:$I$55,9,0)</f>
        <v>2.8</v>
      </c>
      <c r="M103" s="12">
        <f t="array" ref="M103">INDEX(L:L,MIN(IF(ISNUMBER(L103:L299),ROW(L103:L299),"")))</f>
        <v>2.8</v>
      </c>
      <c r="N103" s="13">
        <f>IF('Données projet'!$A$36&gt;35,N102+M103-V102,IF(A103&lt;'Données projet'!$A$36,$K$205^A103,IF(A103='Données projet'!$A$36,'Données projet'!$B$36,N102+M103-V102)))</f>
        <v>281.99999999999994</v>
      </c>
      <c r="O103" s="13">
        <f>N103*VLOOKUP('Données projet'!$B$9,Paramètres!$A$1:$I$89,3,0)*VLOOKUP('Données projet'!$B$9,Paramètres!$A$1:$I$89,5,0)</f>
        <v>255.15359999999993</v>
      </c>
      <c r="P103" s="13">
        <f t="shared" si="87"/>
        <v>61.688192762754426</v>
      </c>
      <c r="Q103" s="20">
        <f t="shared" si="107"/>
        <v>551.83278906179714</v>
      </c>
      <c r="R103" s="59">
        <f t="shared" si="55"/>
        <v>845.16612239513051</v>
      </c>
      <c r="S103" s="59">
        <f ca="1">AVERAGE(OFFSET($R$3,0,0,'Données projet'!$E$9+1,1))-AVERAGE(OFFSET($H$3,0,0,'Données projet'!$E$9+1,1))</f>
        <v>373.59295497283125</v>
      </c>
      <c r="T103" s="59">
        <f t="shared" si="88"/>
        <v>231.36959598460686</v>
      </c>
      <c r="U103" s="15">
        <f>IF(ISNA(VLOOKUP(A103,'Données projet'!$A$35:$I$55,3,0)),0,VLOOKUP(A103,'Données projet'!$A$35:$I$55,3,0))</f>
        <v>16</v>
      </c>
      <c r="V103" s="15">
        <f>IF(ISNA(VLOOKUP(A103,'Données projet'!$A$35:$I$55,4,0)),0,VLOOKUP(A103,'Données projet'!$A$35:$I$55,4,0))</f>
        <v>21</v>
      </c>
      <c r="W103" s="16">
        <f>IF(ISNA(VLOOKUP(A103,'Données projet'!$A$35:$I$55,5,0)),0%,VLOOKUP(A103,'Données projet'!$A$35:$I$55,5,0)*VLOOKUP('Données projet'!$B$9,Paramètres!$A$1:$I$89,7,0))</f>
        <v>0.30099999999999999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31.146826400602198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31.146826400602198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282</v>
      </c>
      <c r="AG103" s="12">
        <f>VLOOKUP(A103,'Données projet'!$A$61:$I$81,9,0)</f>
        <v>2.8</v>
      </c>
      <c r="AH103" s="12">
        <f t="array" ref="AH103">INDEX(AG:AG,MIN(IF(ISNUMBER(AG103:AG299),ROW(AG103:AG299),"")))</f>
        <v>2.8</v>
      </c>
      <c r="AI103" s="13">
        <f>IF('Données projet'!$A$62&gt;35,AI102+AH103-AQ102,IF(A103&lt;'Données projet'!$A$62,$AF$205^A103,IF(A103='Données projet'!$A$62,'Données projet'!$B$62,AI102+AH103-AQ102)))</f>
        <v>281.99999999999994</v>
      </c>
      <c r="AJ103" s="13">
        <f>AI103*VLOOKUP('Données projet'!$B$10,Paramètres!$A$1:$I$89,3,0)*VLOOKUP('Données projet'!$B$10,Paramètres!$A$1:$I$89,5,0)</f>
        <v>285.94799999999998</v>
      </c>
      <c r="AK103" s="13">
        <f t="shared" si="89"/>
        <v>68.222450362989377</v>
      </c>
      <c r="AL103" s="20">
        <f t="shared" si="58"/>
        <v>616.84686771553982</v>
      </c>
      <c r="AM103" s="59">
        <f t="shared" si="59"/>
        <v>910.18020104887319</v>
      </c>
      <c r="AN103" s="59">
        <f ca="1">AVERAGE(OFFSET($AM$3,0,0,'Données projet'!$E$10+1,1))-AVERAGE(OFFSET($H$3,0,0,'Données projet'!$E$10+1,1))</f>
        <v>413.81510455446738</v>
      </c>
      <c r="AO103" s="59">
        <f t="shared" si="90"/>
        <v>254.25036207346602</v>
      </c>
      <c r="AP103" s="15">
        <f>IF(ISNA(VLOOKUP(A103,'Données projet'!$A$61:$I$81,3,0)),0,VLOOKUP(A103,'Données projet'!$A$61:$I$81,3,0))</f>
        <v>16</v>
      </c>
      <c r="AQ103" s="15">
        <f>IF(ISNA(VLOOKUP(A103,'Données projet'!$A$61:$I$81,4,0)),0,VLOOKUP(A103,'Données projet'!$A$61:$I$81,4,0))</f>
        <v>21</v>
      </c>
      <c r="AR103" s="16">
        <f>IF(ISNA(VLOOKUP(A103,'Données projet'!$A$61:$I$81,5,0)),0%,VLOOKUP(A103,'Données projet'!$A$61:$I$81,5,0)*VLOOKUP('Données projet'!$B$10,Paramètres!$A$1:$I$89,7,0))</f>
        <v>0.30099999999999999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34.905926138605921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34.905926138605921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-1.1368683772161603E-13</v>
      </c>
      <c r="BE103" s="13">
        <f>BD103*VLOOKUP('Données projet'!$B$11,Paramètres!$A$1:$I$89,3,0)*VLOOKUP('Données projet'!$B$11,Paramètres!$A$1:$I$89,5,0)</f>
        <v>-1.0995790944434703E-13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295.35565287134125</v>
      </c>
      <c r="BJ103" s="59">
        <f t="shared" si="92"/>
        <v>244.451492444461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61.241033551549556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61.241033551549556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-1.1368683772161603E-13</v>
      </c>
      <c r="BZ103" s="13">
        <f>BY103*VLOOKUP('Données projet'!$B$12,Paramètres!$A$1:$I$89,3,0)*VLOOKUP('Données projet'!$B$12,Paramètres!$A$1:$I$89,5,0)</f>
        <v>-1.223725121235475E-13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324.61094137855798</v>
      </c>
      <c r="CE103" s="59">
        <f t="shared" si="94"/>
        <v>267.2998309535638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68.155343791240668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68.155343791240668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2.8421709430404007E-13</v>
      </c>
      <c r="CU103" s="17">
        <f>CT103*VLOOKUP('Données projet'!$B$13,Paramètres!$A$1:$I$89,3,0)*VLOOKUP('Données projet'!$B$13,Paramètres!$A$1:$I$89,5,0)</f>
        <v>1.69961822393816E-13</v>
      </c>
      <c r="CV103" s="13">
        <f t="shared" si="95"/>
        <v>2.4004382776176369E-12</v>
      </c>
      <c r="CW103" s="20">
        <f t="shared" si="67"/>
        <v>4.4767801741866136E-12</v>
      </c>
      <c r="CX103" s="59">
        <f t="shared" si="68"/>
        <v>293.33333333333781</v>
      </c>
      <c r="CY103" s="59">
        <f ca="1">AVERAGE(OFFSET($CX$3,0,0,'Données projet'!$E$13+1,1))-AVERAGE(OFFSET($H$3,0,0,'Données projet'!$E$13+1,1))</f>
        <v>319.9010109022521</v>
      </c>
      <c r="CZ103" s="59">
        <f t="shared" si="96"/>
        <v>441.82647565372287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54.89940523219331</v>
      </c>
      <c r="DG103" s="21">
        <f>EXP(-LN(2)/25)*DG102+(1-EXP(-LN(2)/25))/(LN(2)/25)*Calculateur!DB103*Calculateur!DD103*VLOOKUP('Données projet'!$B$13,Paramètres!$A$1:$I$89,3,0)*0.475*44/12</f>
        <v>17.193788501336858</v>
      </c>
      <c r="DH103" s="21">
        <f>EXP(-LN(2)/2)*DH102+(1-EXP(-LN(2)/2))/(LN(2)/2)*DB103*DE103*VLOOKUP('Données projet'!$B$13,Paramètres!$A$1:$I$89,3,0)*0.475*44/12</f>
        <v>1.9068013865259683E-6</v>
      </c>
      <c r="DI103" s="22">
        <f t="shared" si="69"/>
        <v>72.093195640331558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>
        <f>DO103*VLOOKUP('Données projet'!$B$14,Paramètres!$A$1:$I$89,3,0)*VLOOKUP('Données projet'!$B$14,Paramètres!$A$1:$I$89,5,0)</f>
        <v>0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229.61973863654862</v>
      </c>
      <c r="DU103" s="59">
        <f t="shared" si="98"/>
        <v>254.08208375594052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48.558120913905952</v>
      </c>
      <c r="EB103" s="21">
        <f>EXP(-LN(2)/25)*EB102+(1-EXP(-LN(2)/25))/(LN(2)/25)*Calculateur!DW103*Calculateur!DY103*VLOOKUP('Données projet'!$B$14,Paramètres!$A$1:$I$89,3,0)*0.475*44/12</f>
        <v>16.499513877098448</v>
      </c>
      <c r="EC103" s="21">
        <f>EXP(-LN(2)/2)*EC102+(1-EXP(-LN(2)/2))/(LN(2)/2)*DW103*DZ103*VLOOKUP('Données projet'!$B$14,Paramètres!$A$1:$I$89,3,0)*0.475*44/12</f>
        <v>4.2964768575558832E-5</v>
      </c>
      <c r="ED103" s="22">
        <f t="shared" si="72"/>
        <v>65.057677755772986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2.4</v>
      </c>
      <c r="N104" s="13">
        <f>IF('Données projet'!$A$36&gt;35,N103+M104-V103,IF(A104&lt;'Données projet'!$A$36,$K$205^A104,IF(A104='Données projet'!$A$36,'Données projet'!$B$36,N103+M104-V103)))</f>
        <v>263.39999999999992</v>
      </c>
      <c r="O104" s="13">
        <f>N104*VLOOKUP('Données projet'!$B$9,Paramètres!$A$1:$I$89,3,0)*VLOOKUP('Données projet'!$B$9,Paramètres!$A$1:$I$89,5,0)</f>
        <v>238.32431999999991</v>
      </c>
      <c r="P104" s="13">
        <f t="shared" si="87"/>
        <v>58.078852882738758</v>
      </c>
      <c r="Q104" s="20">
        <f t="shared" si="107"/>
        <v>516.23552610410309</v>
      </c>
      <c r="R104" s="59">
        <f t="shared" si="55"/>
        <v>809.56885943743646</v>
      </c>
      <c r="S104" s="59">
        <f ca="1">AVERAGE(OFFSET($R$3,0,0,'Données projet'!$E$9+1,1))-AVERAGE(OFFSET($H$3,0,0,'Données projet'!$E$9+1,1))</f>
        <v>373.59295497283125</v>
      </c>
      <c r="T104" s="59">
        <f t="shared" si="88"/>
        <v>231.36959598460686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30.536056132574625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30.536056132574625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2.4</v>
      </c>
      <c r="AI104" s="13">
        <f>IF('Données projet'!$A$62&gt;35,AI103+AH104-AQ103,IF(A104&lt;'Données projet'!$A$62,$AF$205^A104,IF(A104='Données projet'!$A$62,'Données projet'!$B$62,AI103+AH104-AQ103)))</f>
        <v>263.39999999999992</v>
      </c>
      <c r="AJ104" s="13">
        <f>AI104*VLOOKUP('Données projet'!$B$10,Paramètres!$A$1:$I$89,3,0)*VLOOKUP('Données projet'!$B$10,Paramètres!$A$1:$I$89,5,0)</f>
        <v>267.08759999999995</v>
      </c>
      <c r="AK104" s="13">
        <f t="shared" si="89"/>
        <v>64.230794913549857</v>
      </c>
      <c r="AL104" s="20">
        <f t="shared" si="58"/>
        <v>577.04620447443256</v>
      </c>
      <c r="AM104" s="59">
        <f t="shared" si="59"/>
        <v>870.37953780776593</v>
      </c>
      <c r="AN104" s="59">
        <f ca="1">AVERAGE(OFFSET($AM$3,0,0,'Données projet'!$E$10+1,1))-AVERAGE(OFFSET($H$3,0,0,'Données projet'!$E$10+1,1))</f>
        <v>413.81510455446738</v>
      </c>
      <c r="AO104" s="59">
        <f t="shared" si="90"/>
        <v>254.25036207346602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34.221442217540542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34.221442217540542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-1.1368683772161603E-13</v>
      </c>
      <c r="BE104" s="13">
        <f>BD104*VLOOKUP('Données projet'!$B$11,Paramètres!$A$1:$I$89,3,0)*VLOOKUP('Données projet'!$B$11,Paramètres!$A$1:$I$89,5,0)</f>
        <v>-1.0995790944434703E-13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295.35565287134125</v>
      </c>
      <c r="BJ104" s="59">
        <f t="shared" si="92"/>
        <v>244.451492444461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60.040134236945796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60.040134236945796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-1.1368683772161603E-13</v>
      </c>
      <c r="BZ104" s="13">
        <f>BY104*VLOOKUP('Données projet'!$B$12,Paramètres!$A$1:$I$89,3,0)*VLOOKUP('Données projet'!$B$12,Paramètres!$A$1:$I$89,5,0)</f>
        <v>-1.223725121235475E-13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324.61094137855798</v>
      </c>
      <c r="CE104" s="59">
        <f t="shared" si="94"/>
        <v>267.2998309535638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66.818859070149387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66.818859070149387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2.8421709430404007E-13</v>
      </c>
      <c r="CU104" s="17">
        <f>CT104*VLOOKUP('Données projet'!$B$13,Paramètres!$A$1:$I$89,3,0)*VLOOKUP('Données projet'!$B$13,Paramètres!$A$1:$I$89,5,0)</f>
        <v>1.69961822393816E-13</v>
      </c>
      <c r="CV104" s="13">
        <f t="shared" si="95"/>
        <v>2.4004382776176369E-12</v>
      </c>
      <c r="CW104" s="20">
        <f t="shared" si="67"/>
        <v>4.4767801741866136E-12</v>
      </c>
      <c r="CX104" s="59">
        <f t="shared" si="68"/>
        <v>293.33333333333781</v>
      </c>
      <c r="CY104" s="59">
        <f ca="1">AVERAGE(OFFSET($CX$3,0,0,'Données projet'!$E$13+1,1))-AVERAGE(OFFSET($H$3,0,0,'Données projet'!$E$13+1,1))</f>
        <v>319.9010109022521</v>
      </c>
      <c r="CZ104" s="59">
        <f t="shared" si="96"/>
        <v>441.82647565372287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53.822861380920791</v>
      </c>
      <c r="DG104" s="21">
        <f>EXP(-LN(2)/25)*DG103+(1-EXP(-LN(2)/25))/(LN(2)/25)*Calculateur!DB104*Calculateur!DD104*VLOOKUP('Données projet'!$B$13,Paramètres!$A$1:$I$89,3,0)*0.475*44/12</f>
        <v>16.723623450585762</v>
      </c>
      <c r="DH104" s="21">
        <f>EXP(-LN(2)/2)*DH103+(1-EXP(-LN(2)/2))/(LN(2)/2)*DB104*DE104*VLOOKUP('Données projet'!$B$13,Paramètres!$A$1:$I$89,3,0)*0.475*44/12</f>
        <v>1.3483121907884234E-6</v>
      </c>
      <c r="DI104" s="22">
        <f t="shared" si="69"/>
        <v>70.546486179818743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>
        <f>DO104*VLOOKUP('Données projet'!$B$14,Paramètres!$A$1:$I$89,3,0)*VLOOKUP('Données projet'!$B$14,Paramètres!$A$1:$I$89,5,0)</f>
        <v>0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229.61973863654862</v>
      </c>
      <c r="DU104" s="59">
        <f t="shared" si="98"/>
        <v>254.08208375594052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47.605925780313527</v>
      </c>
      <c r="EB104" s="21">
        <f>EXP(-LN(2)/25)*EB103+(1-EXP(-LN(2)/25))/(LN(2)/25)*Calculateur!DW104*Calculateur!DY104*VLOOKUP('Données projet'!$B$14,Paramètres!$A$1:$I$89,3,0)*0.475*44/12</f>
        <v>16.048333802457467</v>
      </c>
      <c r="EC104" s="21">
        <f>EXP(-LN(2)/2)*EC103+(1-EXP(-LN(2)/2))/(LN(2)/2)*DW104*DZ104*VLOOKUP('Données projet'!$B$14,Paramètres!$A$1:$I$89,3,0)*0.475*44/12</f>
        <v>3.0380679211888336E-5</v>
      </c>
      <c r="ED104" s="22">
        <f t="shared" si="72"/>
        <v>63.654289963450204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2.4</v>
      </c>
      <c r="N105" s="13">
        <f>IF('Données projet'!$A$36&gt;35,N104+M105-V104,IF(A105&lt;'Données projet'!$A$36,$K$205^A105,IF(A105='Données projet'!$A$36,'Données projet'!$B$36,N104+M105-V104)))</f>
        <v>265.7999999999999</v>
      </c>
      <c r="O105" s="13">
        <f>N105*VLOOKUP('Données projet'!$B$9,Paramètres!$A$1:$I$89,3,0)*VLOOKUP('Données projet'!$B$9,Paramètres!$A$1:$I$89,5,0)</f>
        <v>240.4958399999999</v>
      </c>
      <c r="P105" s="13">
        <f t="shared" si="87"/>
        <v>58.546200055878181</v>
      </c>
      <c r="Q105" s="20">
        <f t="shared" si="107"/>
        <v>520.83155309732092</v>
      </c>
      <c r="R105" s="59">
        <f t="shared" si="55"/>
        <v>814.16488643065418</v>
      </c>
      <c r="S105" s="59">
        <f ca="1">AVERAGE(OFFSET($R$3,0,0,'Données projet'!$E$9+1,1))-AVERAGE(OFFSET($H$3,0,0,'Données projet'!$E$9+1,1))</f>
        <v>373.59295497283125</v>
      </c>
      <c r="T105" s="59">
        <f t="shared" si="88"/>
        <v>231.36959598460686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29.937262696969995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29.937262696969995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2.4</v>
      </c>
      <c r="AI105" s="13">
        <f>IF('Données projet'!$A$62&gt;35,AI104+AH105-AQ104,IF(A105&lt;'Données projet'!$A$62,$AF$205^A105,IF(A105='Données projet'!$A$62,'Données projet'!$B$62,AI104+AH105-AQ104)))</f>
        <v>265.7999999999999</v>
      </c>
      <c r="AJ105" s="13">
        <f>AI105*VLOOKUP('Données projet'!$B$10,Paramètres!$A$1:$I$89,3,0)*VLOOKUP('Données projet'!$B$10,Paramètres!$A$1:$I$89,5,0)</f>
        <v>269.52119999999996</v>
      </c>
      <c r="AK105" s="13">
        <f t="shared" si="89"/>
        <v>64.747645349489986</v>
      </c>
      <c r="AL105" s="20">
        <f t="shared" si="58"/>
        <v>582.18490565036154</v>
      </c>
      <c r="AM105" s="59">
        <f t="shared" si="59"/>
        <v>875.5182389836948</v>
      </c>
      <c r="AN105" s="59">
        <f ca="1">AVERAGE(OFFSET($AM$3,0,0,'Données projet'!$E$10+1,1))-AVERAGE(OFFSET($H$3,0,0,'Données projet'!$E$10+1,1))</f>
        <v>413.81510455446738</v>
      </c>
      <c r="AO105" s="59">
        <f t="shared" si="90"/>
        <v>254.25036207346602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33.550380608673287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33.550380608673287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-1.1368683772161603E-13</v>
      </c>
      <c r="BE105" s="13">
        <f>BD105*VLOOKUP('Données projet'!$B$11,Paramètres!$A$1:$I$89,3,0)*VLOOKUP('Données projet'!$B$11,Paramètres!$A$1:$I$89,5,0)</f>
        <v>-1.0995790944434703E-13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295.35565287134125</v>
      </c>
      <c r="BJ105" s="59">
        <f t="shared" si="92"/>
        <v>244.451492444461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58.862783825425161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58.862783825425161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-1.1368683772161603E-13</v>
      </c>
      <c r="BZ105" s="13">
        <f>BY105*VLOOKUP('Données projet'!$B$12,Paramètres!$A$1:$I$89,3,0)*VLOOKUP('Données projet'!$B$12,Paramètres!$A$1:$I$89,5,0)</f>
        <v>-1.223725121235475E-13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324.61094137855798</v>
      </c>
      <c r="CE105" s="59">
        <f t="shared" si="94"/>
        <v>267.2998309535638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65.508581999263527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65.508581999263527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2.8421709430404007E-13</v>
      </c>
      <c r="CU105" s="17">
        <f>CT105*VLOOKUP('Données projet'!$B$13,Paramètres!$A$1:$I$89,3,0)*VLOOKUP('Données projet'!$B$13,Paramètres!$A$1:$I$89,5,0)</f>
        <v>1.69961822393816E-13</v>
      </c>
      <c r="CV105" s="13">
        <f t="shared" si="95"/>
        <v>2.4004382776176369E-12</v>
      </c>
      <c r="CW105" s="20">
        <f t="shared" si="67"/>
        <v>4.4767801741866136E-12</v>
      </c>
      <c r="CX105" s="59">
        <f t="shared" si="68"/>
        <v>293.33333333333781</v>
      </c>
      <c r="CY105" s="59">
        <f ca="1">AVERAGE(OFFSET($CX$3,0,0,'Données projet'!$E$13+1,1))-AVERAGE(OFFSET($H$3,0,0,'Données projet'!$E$13+1,1))</f>
        <v>319.9010109022521</v>
      </c>
      <c r="CZ105" s="59">
        <f t="shared" si="96"/>
        <v>441.82647565372287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52.767427897944813</v>
      </c>
      <c r="DG105" s="21">
        <f>EXP(-LN(2)/25)*DG104+(1-EXP(-LN(2)/25))/(LN(2)/25)*Calculateur!DB105*Calculateur!DD105*VLOOKUP('Données projet'!$B$13,Paramètres!$A$1:$I$89,3,0)*0.475*44/12</f>
        <v>16.266315087872361</v>
      </c>
      <c r="DH105" s="21">
        <f>EXP(-LN(2)/2)*DH104+(1-EXP(-LN(2)/2))/(LN(2)/2)*DB105*DE105*VLOOKUP('Données projet'!$B$13,Paramètres!$A$1:$I$89,3,0)*0.475*44/12</f>
        <v>9.5340069326298427E-7</v>
      </c>
      <c r="DI105" s="22">
        <f t="shared" si="69"/>
        <v>69.033743939217857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>
        <f>DO105*VLOOKUP('Données projet'!$B$14,Paramètres!$A$1:$I$89,3,0)*VLOOKUP('Données projet'!$B$14,Paramètres!$A$1:$I$89,5,0)</f>
        <v>0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229.61973863654862</v>
      </c>
      <c r="DU105" s="59">
        <f t="shared" si="98"/>
        <v>254.08208375594052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46.672402612509167</v>
      </c>
      <c r="EB105" s="21">
        <f>EXP(-LN(2)/25)*EB104+(1-EXP(-LN(2)/25))/(LN(2)/25)*Calculateur!DW105*Calculateur!DY105*VLOOKUP('Données projet'!$B$14,Paramètres!$A$1:$I$89,3,0)*0.475*44/12</f>
        <v>15.609491270684073</v>
      </c>
      <c r="EC105" s="21">
        <f>EXP(-LN(2)/2)*EC104+(1-EXP(-LN(2)/2))/(LN(2)/2)*DW105*DZ105*VLOOKUP('Données projet'!$B$14,Paramètres!$A$1:$I$89,3,0)*0.475*44/12</f>
        <v>2.1482384287779419E-5</v>
      </c>
      <c r="ED105" s="22">
        <f t="shared" si="72"/>
        <v>62.281915365577532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2.4</v>
      </c>
      <c r="N106" s="13">
        <f>IF('Données projet'!$A$36&gt;35,N105+M106-V105,IF(A106&lt;'Données projet'!$A$36,$K$205^A106,IF(A106='Données projet'!$A$36,'Données projet'!$B$36,N105+M106-V105)))</f>
        <v>268.19999999999987</v>
      </c>
      <c r="O106" s="13">
        <f>N106*VLOOKUP('Données projet'!$B$9,Paramètres!$A$1:$I$89,3,0)*VLOOKUP('Données projet'!$B$9,Paramètres!$A$1:$I$89,5,0)</f>
        <v>242.66735999999989</v>
      </c>
      <c r="P106" s="13">
        <f t="shared" si="87"/>
        <v>59.013056290731797</v>
      </c>
      <c r="Q106" s="20">
        <f t="shared" si="107"/>
        <v>525.42672503969095</v>
      </c>
      <c r="R106" s="59">
        <f t="shared" si="55"/>
        <v>818.76005837302432</v>
      </c>
      <c r="S106" s="59">
        <f ca="1">AVERAGE(OFFSET($R$3,0,0,'Données projet'!$E$9+1,1))-AVERAGE(OFFSET($H$3,0,0,'Données projet'!$E$9+1,1))</f>
        <v>373.59295497283125</v>
      </c>
      <c r="T106" s="59">
        <f t="shared" si="88"/>
        <v>231.36959598460686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29.350211235409642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29.350211235409642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2.4</v>
      </c>
      <c r="AI106" s="13">
        <f>IF('Données projet'!$A$62&gt;35,AI105+AH106-AQ105,IF(A106&lt;'Données projet'!$A$62,$AF$205^A106,IF(A106='Données projet'!$A$62,'Données projet'!$B$62,AI105+AH106-AQ105)))</f>
        <v>268.19999999999987</v>
      </c>
      <c r="AJ106" s="13">
        <f>AI106*VLOOKUP('Données projet'!$B$10,Paramètres!$A$1:$I$89,3,0)*VLOOKUP('Données projet'!$B$10,Paramètres!$A$1:$I$89,5,0)</f>
        <v>271.95479999999992</v>
      </c>
      <c r="AK106" s="13">
        <f t="shared" si="89"/>
        <v>65.263952845017386</v>
      </c>
      <c r="AL106" s="20">
        <f t="shared" si="58"/>
        <v>587.32266120507177</v>
      </c>
      <c r="AM106" s="59">
        <f t="shared" si="59"/>
        <v>880.65599453840514</v>
      </c>
      <c r="AN106" s="59">
        <f ca="1">AVERAGE(OFFSET($AM$3,0,0,'Données projet'!$E$10+1,1))-AVERAGE(OFFSET($H$3,0,0,'Données projet'!$E$10+1,1))</f>
        <v>413.81510455446738</v>
      </c>
      <c r="AO106" s="59">
        <f t="shared" si="90"/>
        <v>254.25036207346602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32.892478108648753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32.892478108648753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-1.1368683772161603E-13</v>
      </c>
      <c r="BE106" s="13">
        <f>BD106*VLOOKUP('Données projet'!$B$11,Paramètres!$A$1:$I$89,3,0)*VLOOKUP('Données projet'!$B$11,Paramètres!$A$1:$I$89,5,0)</f>
        <v>-1.0995790944434703E-13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295.35565287134125</v>
      </c>
      <c r="BJ106" s="59">
        <f t="shared" si="92"/>
        <v>244.451492444461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57.708520537361608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57.708520537361608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-1.1368683772161603E-13</v>
      </c>
      <c r="BZ106" s="13">
        <f>BY106*VLOOKUP('Données projet'!$B$12,Paramètres!$A$1:$I$89,3,0)*VLOOKUP('Données projet'!$B$12,Paramètres!$A$1:$I$89,5,0)</f>
        <v>-1.223725121235475E-13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324.61094137855798</v>
      </c>
      <c r="CE106" s="59">
        <f t="shared" si="94"/>
        <v>267.2998309535638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64.223998662547629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64.223998662547629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2.8421709430404007E-13</v>
      </c>
      <c r="CU106" s="17">
        <f>CT106*VLOOKUP('Données projet'!$B$13,Paramètres!$A$1:$I$89,3,0)*VLOOKUP('Données projet'!$B$13,Paramètres!$A$1:$I$89,5,0)</f>
        <v>1.69961822393816E-13</v>
      </c>
      <c r="CV106" s="13">
        <f t="shared" si="95"/>
        <v>2.4004382776176369E-12</v>
      </c>
      <c r="CW106" s="20">
        <f t="shared" si="67"/>
        <v>4.4767801741866136E-12</v>
      </c>
      <c r="CX106" s="59">
        <f t="shared" si="68"/>
        <v>293.33333333333781</v>
      </c>
      <c r="CY106" s="59">
        <f ca="1">AVERAGE(OFFSET($CX$3,0,0,'Données projet'!$E$13+1,1))-AVERAGE(OFFSET($H$3,0,0,'Données projet'!$E$13+1,1))</f>
        <v>319.9010109022521</v>
      </c>
      <c r="CZ106" s="59">
        <f t="shared" si="96"/>
        <v>441.82647565372287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51.732690821819133</v>
      </c>
      <c r="DG106" s="21">
        <f>EXP(-LN(2)/25)*DG105+(1-EXP(-LN(2)/25))/(LN(2)/25)*Calculateur!DB106*Calculateur!DD106*VLOOKUP('Données projet'!$B$13,Paramètres!$A$1:$I$89,3,0)*0.475*44/12</f>
        <v>15.821511846386157</v>
      </c>
      <c r="DH106" s="21">
        <f>EXP(-LN(2)/2)*DH105+(1-EXP(-LN(2)/2))/(LN(2)/2)*DB106*DE106*VLOOKUP('Données projet'!$B$13,Paramètres!$A$1:$I$89,3,0)*0.475*44/12</f>
        <v>6.741560953942118E-7</v>
      </c>
      <c r="DI106" s="22">
        <f t="shared" si="69"/>
        <v>67.55420334236139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>
        <f>DO106*VLOOKUP('Données projet'!$B$14,Paramètres!$A$1:$I$89,3,0)*VLOOKUP('Données projet'!$B$14,Paramètres!$A$1:$I$89,5,0)</f>
        <v>0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229.61973863654862</v>
      </c>
      <c r="DU106" s="59">
        <f t="shared" si="98"/>
        <v>254.08208375594052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45.75718526463254</v>
      </c>
      <c r="EB106" s="21">
        <f>EXP(-LN(2)/25)*EB105+(1-EXP(-LN(2)/25))/(LN(2)/25)*Calculateur!DW106*Calculateur!DY106*VLOOKUP('Données projet'!$B$14,Paramètres!$A$1:$I$89,3,0)*0.475*44/12</f>
        <v>15.182648911019747</v>
      </c>
      <c r="EC106" s="21">
        <f>EXP(-LN(2)/2)*EC105+(1-EXP(-LN(2)/2))/(LN(2)/2)*DW106*DZ106*VLOOKUP('Données projet'!$B$14,Paramètres!$A$1:$I$89,3,0)*0.475*44/12</f>
        <v>1.5190339605944169E-5</v>
      </c>
      <c r="ED106" s="22">
        <f t="shared" si="72"/>
        <v>60.93984936599189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2.4</v>
      </c>
      <c r="N107" s="13">
        <f>IF('Données projet'!$A$36&gt;35,N106+M107-V106,IF(A107&lt;'Données projet'!$A$36,$K$205^A107,IF(A107='Données projet'!$A$36,'Données projet'!$B$36,N106+M107-V106)))</f>
        <v>270.59999999999985</v>
      </c>
      <c r="O107" s="13">
        <f>N107*VLOOKUP('Données projet'!$B$9,Paramètres!$A$1:$I$89,3,0)*VLOOKUP('Données projet'!$B$9,Paramètres!$A$1:$I$89,5,0)</f>
        <v>244.83887999999985</v>
      </c>
      <c r="P107" s="13">
        <f t="shared" si="87"/>
        <v>59.47942648942773</v>
      </c>
      <c r="Q107" s="20">
        <f t="shared" si="107"/>
        <v>530.02105046908639</v>
      </c>
      <c r="R107" s="59">
        <f t="shared" si="55"/>
        <v>823.35438380241976</v>
      </c>
      <c r="S107" s="59">
        <f ca="1">AVERAGE(OFFSET($R$3,0,0,'Données projet'!$E$9+1,1))-AVERAGE(OFFSET($H$3,0,0,'Données projet'!$E$9+1,1))</f>
        <v>373.59295497283125</v>
      </c>
      <c r="T107" s="59">
        <f t="shared" si="88"/>
        <v>231.36959598460686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28.77467149494445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28.77467149494445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2.4</v>
      </c>
      <c r="AI107" s="13">
        <f>IF('Données projet'!$A$62&gt;35,AI106+AH107-AQ106,IF(A107&lt;'Données projet'!$A$62,$AF$205^A107,IF(A107='Données projet'!$A$62,'Données projet'!$B$62,AI106+AH107-AQ106)))</f>
        <v>270.59999999999985</v>
      </c>
      <c r="AJ107" s="13">
        <f>AI107*VLOOKUP('Données projet'!$B$10,Paramètres!$A$1:$I$89,3,0)*VLOOKUP('Données projet'!$B$10,Paramètres!$A$1:$I$89,5,0)</f>
        <v>274.38839999999988</v>
      </c>
      <c r="AK107" s="13">
        <f t="shared" si="89"/>
        <v>65.77972282151319</v>
      </c>
      <c r="AL107" s="20">
        <f t="shared" si="58"/>
        <v>592.45948058080182</v>
      </c>
      <c r="AM107" s="59">
        <f t="shared" si="59"/>
        <v>885.79281391413519</v>
      </c>
      <c r="AN107" s="59">
        <f ca="1">AVERAGE(OFFSET($AM$3,0,0,'Données projet'!$E$10+1,1))-AVERAGE(OFFSET($H$3,0,0,'Données projet'!$E$10+1,1))</f>
        <v>413.81510455446738</v>
      </c>
      <c r="AO107" s="59">
        <f t="shared" si="90"/>
        <v>254.25036207346602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32.247476675368794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32.247476675368794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-1.1368683772161603E-13</v>
      </c>
      <c r="BE107" s="13">
        <f>BD107*VLOOKUP('Données projet'!$B$11,Paramètres!$A$1:$I$89,3,0)*VLOOKUP('Données projet'!$B$11,Paramètres!$A$1:$I$89,5,0)</f>
        <v>-1.0995790944434703E-13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295.35565287134125</v>
      </c>
      <c r="BJ107" s="59">
        <f t="shared" si="92"/>
        <v>244.451492444461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56.576891648345892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56.576891648345892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-1.1368683772161603E-13</v>
      </c>
      <c r="BZ107" s="13">
        <f>BY107*VLOOKUP('Données projet'!$B$12,Paramètres!$A$1:$I$89,3,0)*VLOOKUP('Données projet'!$B$12,Paramètres!$A$1:$I$89,5,0)</f>
        <v>-1.223725121235475E-13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324.61094137855798</v>
      </c>
      <c r="CE107" s="59">
        <f t="shared" si="94"/>
        <v>267.2998309535638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62.964605221546265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62.964605221546265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2.8421709430404007E-13</v>
      </c>
      <c r="CU107" s="17">
        <f>CT107*VLOOKUP('Données projet'!$B$13,Paramètres!$A$1:$I$89,3,0)*VLOOKUP('Données projet'!$B$13,Paramètres!$A$1:$I$89,5,0)</f>
        <v>1.69961822393816E-13</v>
      </c>
      <c r="CV107" s="13">
        <f t="shared" si="95"/>
        <v>2.4004382776176369E-12</v>
      </c>
      <c r="CW107" s="20">
        <f t="shared" si="67"/>
        <v>4.4767801741866136E-12</v>
      </c>
      <c r="CX107" s="59">
        <f t="shared" si="68"/>
        <v>293.33333333333781</v>
      </c>
      <c r="CY107" s="59">
        <f ca="1">AVERAGE(OFFSET($CX$3,0,0,'Données projet'!$E$13+1,1))-AVERAGE(OFFSET($H$3,0,0,'Données projet'!$E$13+1,1))</f>
        <v>319.9010109022521</v>
      </c>
      <c r="CZ107" s="59">
        <f t="shared" si="96"/>
        <v>441.82647565372287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50.718244308628982</v>
      </c>
      <c r="DG107" s="21">
        <f>EXP(-LN(2)/25)*DG106+(1-EXP(-LN(2)/25))/(LN(2)/25)*Calculateur!DB107*Calculateur!DD107*VLOOKUP('Données projet'!$B$13,Paramètres!$A$1:$I$89,3,0)*0.475*44/12</f>
        <v>15.38887177292958</v>
      </c>
      <c r="DH107" s="21">
        <f>EXP(-LN(2)/2)*DH106+(1-EXP(-LN(2)/2))/(LN(2)/2)*DB107*DE107*VLOOKUP('Données projet'!$B$13,Paramètres!$A$1:$I$89,3,0)*0.475*44/12</f>
        <v>4.7670034663149219E-7</v>
      </c>
      <c r="DI107" s="22">
        <f t="shared" si="69"/>
        <v>66.107116558258909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>
        <f>DO107*VLOOKUP('Données projet'!$B$14,Paramètres!$A$1:$I$89,3,0)*VLOOKUP('Données projet'!$B$14,Paramètres!$A$1:$I$89,5,0)</f>
        <v>0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229.61973863654862</v>
      </c>
      <c r="DU107" s="59">
        <f t="shared" si="98"/>
        <v>254.08208375594052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44.859914770720309</v>
      </c>
      <c r="EB107" s="21">
        <f>EXP(-LN(2)/25)*EB106+(1-EXP(-LN(2)/25))/(LN(2)/25)*Calculateur!DW107*Calculateur!DY107*VLOOKUP('Données projet'!$B$14,Paramètres!$A$1:$I$89,3,0)*0.475*44/12</f>
        <v>14.767478578127106</v>
      </c>
      <c r="EC107" s="21">
        <f>EXP(-LN(2)/2)*EC106+(1-EXP(-LN(2)/2))/(LN(2)/2)*DW107*DZ107*VLOOKUP('Données projet'!$B$14,Paramètres!$A$1:$I$89,3,0)*0.475*44/12</f>
        <v>1.0741192143889711E-5</v>
      </c>
      <c r="ED107" s="22">
        <f t="shared" si="72"/>
        <v>59.627404090039555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2.4</v>
      </c>
      <c r="N108" s="13">
        <f>IF('Données projet'!$A$36&gt;35,N107+M108-V107,IF(A108&lt;'Données projet'!$A$36,$K$205^A108,IF(A108='Données projet'!$A$36,'Données projet'!$B$36,N107+M108-V107)))</f>
        <v>272.99999999999983</v>
      </c>
      <c r="O108" s="13">
        <f>N108*VLOOKUP('Données projet'!$B$9,Paramètres!$A$1:$I$89,3,0)*VLOOKUP('Données projet'!$B$9,Paramètres!$A$1:$I$89,5,0)</f>
        <v>247.01039999999983</v>
      </c>
      <c r="P108" s="13">
        <f t="shared" si="87"/>
        <v>59.945315462121762</v>
      </c>
      <c r="Q108" s="20">
        <f t="shared" si="107"/>
        <v>534.61453776319513</v>
      </c>
      <c r="R108" s="59">
        <f t="shared" si="55"/>
        <v>827.94787109652839</v>
      </c>
      <c r="S108" s="59">
        <f ca="1">AVERAGE(OFFSET($R$3,0,0,'Données projet'!$E$9+1,1))-AVERAGE(OFFSET($H$3,0,0,'Données projet'!$E$9+1,1))</f>
        <v>373.59295497283125</v>
      </c>
      <c r="T108" s="59">
        <f t="shared" si="88"/>
        <v>231.36959598460686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28.210417737745203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28.210417737745203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2.4</v>
      </c>
      <c r="AI108" s="13">
        <f>IF('Données projet'!$A$62&gt;35,AI107+AH108-AQ107,IF(A108&lt;'Données projet'!$A$62,$AF$205^A108,IF(A108='Données projet'!$A$62,'Données projet'!$B$62,AI107+AH108-AQ107)))</f>
        <v>272.99999999999983</v>
      </c>
      <c r="AJ108" s="13">
        <f>AI108*VLOOKUP('Données projet'!$B$10,Paramètres!$A$1:$I$89,3,0)*VLOOKUP('Données projet'!$B$10,Paramètres!$A$1:$I$89,5,0)</f>
        <v>276.82199999999983</v>
      </c>
      <c r="AK108" s="13">
        <f t="shared" si="89"/>
        <v>66.29496059864374</v>
      </c>
      <c r="AL108" s="20">
        <f t="shared" si="58"/>
        <v>597.59537304263756</v>
      </c>
      <c r="AM108" s="59">
        <f t="shared" si="59"/>
        <v>890.92870637597093</v>
      </c>
      <c r="AN108" s="59">
        <f ca="1">AVERAGE(OFFSET($AM$3,0,0,'Données projet'!$E$10+1,1))-AVERAGE(OFFSET($H$3,0,0,'Données projet'!$E$10+1,1))</f>
        <v>413.81510455446738</v>
      </c>
      <c r="AO108" s="59">
        <f t="shared" si="90"/>
        <v>254.25036207346602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31.615123326783429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31.615123326783429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-1.1368683772161603E-13</v>
      </c>
      <c r="BE108" s="13">
        <f>BD108*VLOOKUP('Données projet'!$B$11,Paramètres!$A$1:$I$89,3,0)*VLOOKUP('Données projet'!$B$11,Paramètres!$A$1:$I$89,5,0)</f>
        <v>-1.0995790944434703E-13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295.35565287134125</v>
      </c>
      <c r="BJ108" s="59">
        <f t="shared" si="92"/>
        <v>244.451492444461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55.467453311618307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55.467453311618307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-1.1368683772161603E-13</v>
      </c>
      <c r="BZ108" s="13">
        <f>BY108*VLOOKUP('Données projet'!$B$12,Paramètres!$A$1:$I$89,3,0)*VLOOKUP('Données projet'!$B$12,Paramètres!$A$1:$I$89,5,0)</f>
        <v>-1.223725121235475E-13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324.61094137855798</v>
      </c>
      <c r="CE108" s="59">
        <f t="shared" si="94"/>
        <v>267.2998309535638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61.729907717768789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61.729907717768789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2.8421709430404007E-13</v>
      </c>
      <c r="CU108" s="17">
        <f>CT108*VLOOKUP('Données projet'!$B$13,Paramètres!$A$1:$I$89,3,0)*VLOOKUP('Données projet'!$B$13,Paramètres!$A$1:$I$89,5,0)</f>
        <v>1.69961822393816E-13</v>
      </c>
      <c r="CV108" s="13">
        <f t="shared" si="95"/>
        <v>2.4004382776176369E-12</v>
      </c>
      <c r="CW108" s="20">
        <f t="shared" si="67"/>
        <v>4.4767801741866136E-12</v>
      </c>
      <c r="CX108" s="59">
        <f t="shared" si="68"/>
        <v>293.33333333333781</v>
      </c>
      <c r="CY108" s="59">
        <f ca="1">AVERAGE(OFFSET($CX$3,0,0,'Données projet'!$E$13+1,1))-AVERAGE(OFFSET($H$3,0,0,'Données projet'!$E$13+1,1))</f>
        <v>319.9010109022521</v>
      </c>
      <c r="CZ108" s="59">
        <f t="shared" si="96"/>
        <v>441.82647565372287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49.723690472811214</v>
      </c>
      <c r="DG108" s="21">
        <f>EXP(-LN(2)/25)*DG107+(1-EXP(-LN(2)/25))/(LN(2)/25)*Calculateur!DB108*Calculateur!DD108*VLOOKUP('Données projet'!$B$13,Paramètres!$A$1:$I$89,3,0)*0.475*44/12</f>
        <v>14.968062265033225</v>
      </c>
      <c r="DH108" s="21">
        <f>EXP(-LN(2)/2)*DH107+(1-EXP(-LN(2)/2))/(LN(2)/2)*DB108*DE108*VLOOKUP('Données projet'!$B$13,Paramètres!$A$1:$I$89,3,0)*0.475*44/12</f>
        <v>3.3707804769710595E-7</v>
      </c>
      <c r="DI108" s="22">
        <f t="shared" si="69"/>
        <v>64.691753074922488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>
        <f>DO108*VLOOKUP('Données projet'!$B$14,Paramètres!$A$1:$I$89,3,0)*VLOOKUP('Données projet'!$B$14,Paramètres!$A$1:$I$89,5,0)</f>
        <v>0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229.61973863654862</v>
      </c>
      <c r="DU108" s="59">
        <f t="shared" si="98"/>
        <v>254.08208375594052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43.980239203912738</v>
      </c>
      <c r="EB108" s="21">
        <f>EXP(-LN(2)/25)*EB107+(1-EXP(-LN(2)/25))/(LN(2)/25)*Calculateur!DW108*Calculateur!DY108*VLOOKUP('Données projet'!$B$14,Paramètres!$A$1:$I$89,3,0)*0.475*44/12</f>
        <v>14.363661099820273</v>
      </c>
      <c r="EC108" s="21">
        <f>EXP(-LN(2)/2)*EC107+(1-EXP(-LN(2)/2))/(LN(2)/2)*DW108*DZ108*VLOOKUP('Données projet'!$B$14,Paramètres!$A$1:$I$89,3,0)*0.475*44/12</f>
        <v>7.5951698029720856E-6</v>
      </c>
      <c r="ED108" s="22">
        <f t="shared" si="72"/>
        <v>58.343907898902813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2.4</v>
      </c>
      <c r="N109" s="13">
        <f>IF('Données projet'!$A$36&gt;35,N108+M109-V108,IF(A109&lt;'Données projet'!$A$36,$K$205^A109,IF(A109='Données projet'!$A$36,'Données projet'!$B$36,N108+M109-V108)))</f>
        <v>275.39999999999981</v>
      </c>
      <c r="O109" s="13">
        <f>N109*VLOOKUP('Données projet'!$B$9,Paramètres!$A$1:$I$89,3,0)*VLOOKUP('Données projet'!$B$9,Paramètres!$A$1:$I$89,5,0)</f>
        <v>249.18191999999982</v>
      </c>
      <c r="P109" s="13">
        <f t="shared" si="87"/>
        <v>60.410727929515545</v>
      </c>
      <c r="Q109" s="20">
        <f t="shared" si="107"/>
        <v>539.20719514390589</v>
      </c>
      <c r="R109" s="59">
        <f t="shared" si="55"/>
        <v>832.54052847723915</v>
      </c>
      <c r="S109" s="59">
        <f ca="1">AVERAGE(OFFSET($R$3,0,0,'Données projet'!$E$9+1,1))-AVERAGE(OFFSET($H$3,0,0,'Données projet'!$E$9+1,1))</f>
        <v>373.59295497283125</v>
      </c>
      <c r="T109" s="59">
        <f t="shared" si="88"/>
        <v>231.36959598460686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27.657228652563823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27.657228652563823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2.4</v>
      </c>
      <c r="AI109" s="13">
        <f>IF('Données projet'!$A$62&gt;35,AI108+AH109-AQ108,IF(A109&lt;'Données projet'!$A$62,$AF$205^A109,IF(A109='Données projet'!$A$62,'Données projet'!$B$62,AI108+AH109-AQ108)))</f>
        <v>275.39999999999981</v>
      </c>
      <c r="AJ109" s="13">
        <f>AI109*VLOOKUP('Données projet'!$B$10,Paramètres!$A$1:$I$89,3,0)*VLOOKUP('Données projet'!$B$10,Paramètres!$A$1:$I$89,5,0)</f>
        <v>279.25559999999984</v>
      </c>
      <c r="AK109" s="13">
        <f t="shared" si="89"/>
        <v>66.809671397146104</v>
      </c>
      <c r="AL109" s="20">
        <f t="shared" si="58"/>
        <v>602.73034768336242</v>
      </c>
      <c r="AM109" s="59">
        <f t="shared" si="59"/>
        <v>896.06368101669568</v>
      </c>
      <c r="AN109" s="59">
        <f ca="1">AVERAGE(OFFSET($AM$3,0,0,'Données projet'!$E$10+1,1))-AVERAGE(OFFSET($H$3,0,0,'Données projet'!$E$10+1,1))</f>
        <v>413.81510455446738</v>
      </c>
      <c r="AO109" s="59">
        <f t="shared" si="90"/>
        <v>254.25036207346602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30.995170041666366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30.995170041666366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-1.1368683772161603E-13</v>
      </c>
      <c r="BE109" s="13">
        <f>BD109*VLOOKUP('Données projet'!$B$11,Paramètres!$A$1:$I$89,3,0)*VLOOKUP('Données projet'!$B$11,Paramètres!$A$1:$I$89,5,0)</f>
        <v>-1.0995790944434703E-13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295.35565287134125</v>
      </c>
      <c r="BJ109" s="59">
        <f t="shared" si="92"/>
        <v>244.451492444461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54.379770383983377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54.379770383983377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-1.1368683772161603E-13</v>
      </c>
      <c r="BZ109" s="13">
        <f>BY109*VLOOKUP('Données projet'!$B$12,Paramètres!$A$1:$I$89,3,0)*VLOOKUP('Données projet'!$B$12,Paramètres!$A$1:$I$89,5,0)</f>
        <v>-1.223725121235475E-13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324.61094137855798</v>
      </c>
      <c r="CE109" s="59">
        <f t="shared" si="94"/>
        <v>267.2998309535638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60.519421878949274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60.519421878949274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2.8421709430404007E-13</v>
      </c>
      <c r="CU109" s="17">
        <f>CT109*VLOOKUP('Données projet'!$B$13,Paramètres!$A$1:$I$89,3,0)*VLOOKUP('Données projet'!$B$13,Paramètres!$A$1:$I$89,5,0)</f>
        <v>1.69961822393816E-13</v>
      </c>
      <c r="CV109" s="13">
        <f t="shared" si="95"/>
        <v>2.4004382776176369E-12</v>
      </c>
      <c r="CW109" s="20">
        <f t="shared" si="67"/>
        <v>4.4767801741866136E-12</v>
      </c>
      <c r="CX109" s="59">
        <f t="shared" si="68"/>
        <v>293.33333333333781</v>
      </c>
      <c r="CY109" s="59">
        <f ca="1">AVERAGE(OFFSET($CX$3,0,0,'Données projet'!$E$13+1,1))-AVERAGE(OFFSET($H$3,0,0,'Données projet'!$E$13+1,1))</f>
        <v>319.9010109022521</v>
      </c>
      <c r="CZ109" s="59">
        <f t="shared" si="96"/>
        <v>441.82647565372287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48.748639231095886</v>
      </c>
      <c r="DG109" s="21">
        <f>EXP(-LN(2)/25)*DG108+(1-EXP(-LN(2)/25))/(LN(2)/25)*Calculateur!DB109*Calculateur!DD109*VLOOKUP('Données projet'!$B$13,Paramètres!$A$1:$I$89,3,0)*0.475*44/12</f>
        <v>14.558759815259707</v>
      </c>
      <c r="DH109" s="21">
        <f>EXP(-LN(2)/2)*DH108+(1-EXP(-LN(2)/2))/(LN(2)/2)*DB109*DE109*VLOOKUP('Données projet'!$B$13,Paramètres!$A$1:$I$89,3,0)*0.475*44/12</f>
        <v>2.3835017331574615E-7</v>
      </c>
      <c r="DI109" s="22">
        <f t="shared" si="69"/>
        <v>63.307399284705767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>
        <f>DO109*VLOOKUP('Données projet'!$B$14,Paramètres!$A$1:$I$89,3,0)*VLOOKUP('Données projet'!$B$14,Paramètres!$A$1:$I$89,5,0)</f>
        <v>0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229.61973863654862</v>
      </c>
      <c r="DU109" s="59">
        <f t="shared" si="98"/>
        <v>254.08208375594052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43.117813538421146</v>
      </c>
      <c r="EB109" s="21">
        <f>EXP(-LN(2)/25)*EB108+(1-EXP(-LN(2)/25))/(LN(2)/25)*Calculateur!DW109*Calculateur!DY109*VLOOKUP('Données projet'!$B$14,Paramètres!$A$1:$I$89,3,0)*0.475*44/12</f>
        <v>13.970886031693579</v>
      </c>
      <c r="EC109" s="21">
        <f>EXP(-LN(2)/2)*EC108+(1-EXP(-LN(2)/2))/(LN(2)/2)*DW109*DZ109*VLOOKUP('Données projet'!$B$14,Paramètres!$A$1:$I$89,3,0)*0.475*44/12</f>
        <v>5.3705960719448565E-6</v>
      </c>
      <c r="ED109" s="22">
        <f t="shared" si="72"/>
        <v>57.088704940710798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2.4</v>
      </c>
      <c r="N110" s="13">
        <f>IF('Données projet'!$A$36&gt;35,N109+M110-V109,IF(A110&lt;'Données projet'!$A$36,$K$205^A110,IF(A110='Données projet'!$A$36,'Données projet'!$B$36,N109+M110-V109)))</f>
        <v>277.79999999999978</v>
      </c>
      <c r="O110" s="13">
        <f>N110*VLOOKUP('Données projet'!$B$9,Paramètres!$A$1:$I$89,3,0)*VLOOKUP('Données projet'!$B$9,Paramètres!$A$1:$I$89,5,0)</f>
        <v>251.35343999999978</v>
      </c>
      <c r="P110" s="13">
        <f t="shared" si="87"/>
        <v>60.875668525284958</v>
      </c>
      <c r="Q110" s="20">
        <f t="shared" si="107"/>
        <v>543.7990306815376</v>
      </c>
      <c r="R110" s="59">
        <f t="shared" si="55"/>
        <v>837.13236401487097</v>
      </c>
      <c r="S110" s="59">
        <f ca="1">AVERAGE(OFFSET($R$3,0,0,'Données projet'!$E$9+1,1))-AVERAGE(OFFSET($H$3,0,0,'Données projet'!$E$9+1,1))</f>
        <v>373.59295497283125</v>
      </c>
      <c r="T110" s="59">
        <f t="shared" si="88"/>
        <v>231.36959598460686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27.114887267930825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27.114887267930825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2.4</v>
      </c>
      <c r="AI110" s="13">
        <f>IF('Données projet'!$A$62&gt;35,AI109+AH110-AQ109,IF(A110&lt;'Données projet'!$A$62,$AF$205^A110,IF(A110='Données projet'!$A$62,'Données projet'!$B$62,AI109+AH110-AQ109)))</f>
        <v>277.79999999999978</v>
      </c>
      <c r="AJ110" s="13">
        <f>AI110*VLOOKUP('Données projet'!$B$10,Paramètres!$A$1:$I$89,3,0)*VLOOKUP('Données projet'!$B$10,Paramètres!$A$1:$I$89,5,0)</f>
        <v>281.6891999999998</v>
      </c>
      <c r="AK110" s="13">
        <f t="shared" si="89"/>
        <v>67.32386034151358</v>
      </c>
      <c r="AL110" s="20">
        <f t="shared" si="58"/>
        <v>607.86441342813578</v>
      </c>
      <c r="AM110" s="59">
        <f t="shared" si="59"/>
        <v>901.19774676146903</v>
      </c>
      <c r="AN110" s="59">
        <f ca="1">AVERAGE(OFFSET($AM$3,0,0,'Données projet'!$E$10+1,1))-AVERAGE(OFFSET($H$3,0,0,'Données projet'!$E$10+1,1))</f>
        <v>413.81510455446738</v>
      </c>
      <c r="AO110" s="59">
        <f t="shared" si="90"/>
        <v>254.25036207346602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30.387373662336284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30.387373662336284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-1.1368683772161603E-13</v>
      </c>
      <c r="BE110" s="13">
        <f>BD110*VLOOKUP('Données projet'!$B$11,Paramètres!$A$1:$I$89,3,0)*VLOOKUP('Données projet'!$B$11,Paramètres!$A$1:$I$89,5,0)</f>
        <v>-1.0995790944434703E-13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295.35565287134125</v>
      </c>
      <c r="BJ110" s="59">
        <f t="shared" si="92"/>
        <v>244.451492444461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53.313416255138293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53.313416255138293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-1.1368683772161603E-13</v>
      </c>
      <c r="BZ110" s="13">
        <f>BY110*VLOOKUP('Données projet'!$B$12,Paramètres!$A$1:$I$89,3,0)*VLOOKUP('Données projet'!$B$12,Paramètres!$A$1:$I$89,5,0)</f>
        <v>-1.223725121235475E-13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324.61094137855798</v>
      </c>
      <c r="CE110" s="59">
        <f t="shared" si="94"/>
        <v>267.2998309535638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59.332672929105549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59.332672929105549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2.8421709430404007E-13</v>
      </c>
      <c r="CU110" s="17">
        <f>CT110*VLOOKUP('Données projet'!$B$13,Paramètres!$A$1:$I$89,3,0)*VLOOKUP('Données projet'!$B$13,Paramètres!$A$1:$I$89,5,0)</f>
        <v>1.69961822393816E-13</v>
      </c>
      <c r="CV110" s="13">
        <f t="shared" si="95"/>
        <v>2.4004382776176369E-12</v>
      </c>
      <c r="CW110" s="20">
        <f t="shared" si="67"/>
        <v>4.4767801741866136E-12</v>
      </c>
      <c r="CX110" s="59">
        <f t="shared" si="68"/>
        <v>293.33333333333781</v>
      </c>
      <c r="CY110" s="59">
        <f ca="1">AVERAGE(OFFSET($CX$3,0,0,'Données projet'!$E$13+1,1))-AVERAGE(OFFSET($H$3,0,0,'Données projet'!$E$13+1,1))</f>
        <v>319.9010109022521</v>
      </c>
      <c r="CZ110" s="59">
        <f t="shared" si="96"/>
        <v>441.82647565372287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47.792708149508066</v>
      </c>
      <c r="DG110" s="21">
        <f>EXP(-LN(2)/25)*DG109+(1-EXP(-LN(2)/25))/(LN(2)/25)*Calculateur!DB110*Calculateur!DD110*VLOOKUP('Données projet'!$B$13,Paramètres!$A$1:$I$89,3,0)*0.475*44/12</f>
        <v>14.160649762499526</v>
      </c>
      <c r="DH110" s="21">
        <f>EXP(-LN(2)/2)*DH109+(1-EXP(-LN(2)/2))/(LN(2)/2)*DB110*DE110*VLOOKUP('Données projet'!$B$13,Paramètres!$A$1:$I$89,3,0)*0.475*44/12</f>
        <v>1.68539023848553E-7</v>
      </c>
      <c r="DI110" s="22">
        <f t="shared" si="69"/>
        <v>61.953358080546614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>
        <f>DO110*VLOOKUP('Données projet'!$B$14,Paramètres!$A$1:$I$89,3,0)*VLOOKUP('Données projet'!$B$14,Paramètres!$A$1:$I$89,5,0)</f>
        <v>0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229.61973863654862</v>
      </c>
      <c r="DU110" s="59">
        <f t="shared" si="98"/>
        <v>254.08208375594052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42.272299514202132</v>
      </c>
      <c r="EB110" s="21">
        <f>EXP(-LN(2)/25)*EB109+(1-EXP(-LN(2)/25))/(LN(2)/25)*Calculateur!DW110*Calculateur!DY110*VLOOKUP('Données projet'!$B$14,Paramètres!$A$1:$I$89,3,0)*0.475*44/12</f>
        <v>13.588851418459953</v>
      </c>
      <c r="EC110" s="21">
        <f>EXP(-LN(2)/2)*EC109+(1-EXP(-LN(2)/2))/(LN(2)/2)*DW110*DZ110*VLOOKUP('Données projet'!$B$14,Paramètres!$A$1:$I$89,3,0)*0.475*44/12</f>
        <v>3.7975849014860436E-6</v>
      </c>
      <c r="ED110" s="22">
        <f t="shared" si="72"/>
        <v>55.861154730246987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2.4</v>
      </c>
      <c r="N111" s="13">
        <f>IF('Données projet'!$A$36&gt;35,N110+M111-V110,IF(A111&lt;'Données projet'!$A$36,$K$205^A111,IF(A111='Données projet'!$A$36,'Données projet'!$B$36,N110+M111-V110)))</f>
        <v>280.19999999999976</v>
      </c>
      <c r="O111" s="13">
        <f>N111*VLOOKUP('Données projet'!$B$9,Paramètres!$A$1:$I$89,3,0)*VLOOKUP('Données projet'!$B$9,Paramètres!$A$1:$I$89,5,0)</f>
        <v>253.52495999999977</v>
      </c>
      <c r="P111" s="13">
        <f t="shared" si="87"/>
        <v>61.34014179842216</v>
      </c>
      <c r="Q111" s="20">
        <f t="shared" si="107"/>
        <v>548.39005229891814</v>
      </c>
      <c r="R111" s="59">
        <f t="shared" si="55"/>
        <v>841.72338563225139</v>
      </c>
      <c r="S111" s="59">
        <f ca="1">AVERAGE(OFFSET($R$3,0,0,'Données projet'!$E$9+1,1))-AVERAGE(OFFSET($H$3,0,0,'Données projet'!$E$9+1,1))</f>
        <v>373.59295497283125</v>
      </c>
      <c r="T111" s="59">
        <f t="shared" si="88"/>
        <v>231.36959598460686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26.583180867054899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26.583180867054899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2.4</v>
      </c>
      <c r="AI111" s="13">
        <f>IF('Données projet'!$A$62&gt;35,AI110+AH111-AQ110,IF(A111&lt;'Données projet'!$A$62,$AF$205^A111,IF(A111='Données projet'!$A$62,'Données projet'!$B$62,AI110+AH111-AQ110)))</f>
        <v>280.19999999999976</v>
      </c>
      <c r="AJ111" s="13">
        <f>AI111*VLOOKUP('Données projet'!$B$10,Paramètres!$A$1:$I$89,3,0)*VLOOKUP('Données projet'!$B$10,Paramètres!$A$1:$I$89,5,0)</f>
        <v>284.12279999999976</v>
      </c>
      <c r="AK111" s="13">
        <f t="shared" si="89"/>
        <v>67.8375324625855</v>
      </c>
      <c r="AL111" s="20">
        <f t="shared" si="58"/>
        <v>612.99757903900263</v>
      </c>
      <c r="AM111" s="59">
        <f t="shared" si="59"/>
        <v>906.33091237233589</v>
      </c>
      <c r="AN111" s="59">
        <f ca="1">AVERAGE(OFFSET($AM$3,0,0,'Données projet'!$E$10+1,1))-AVERAGE(OFFSET($H$3,0,0,'Données projet'!$E$10+1,1))</f>
        <v>413.81510455446738</v>
      </c>
      <c r="AO111" s="59">
        <f t="shared" si="90"/>
        <v>254.25036207346602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29.791495799285677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29.791495799285677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-1.1368683772161603E-13</v>
      </c>
      <c r="BE111" s="13">
        <f>BD111*VLOOKUP('Données projet'!$B$11,Paramètres!$A$1:$I$89,3,0)*VLOOKUP('Données projet'!$B$11,Paramètres!$A$1:$I$89,5,0)</f>
        <v>-1.0995790944434703E-13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295.35565287134125</v>
      </c>
      <c r="BJ111" s="59">
        <f t="shared" si="92"/>
        <v>244.451492444461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52.267972680348066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52.267972680348066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-1.1368683772161603E-13</v>
      </c>
      <c r="BZ111" s="13">
        <f>BY111*VLOOKUP('Données projet'!$B$12,Paramètres!$A$1:$I$89,3,0)*VLOOKUP('Données projet'!$B$12,Paramètres!$A$1:$I$89,5,0)</f>
        <v>-1.223725121235475E-13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324.61094137855798</v>
      </c>
      <c r="CE111" s="59">
        <f t="shared" si="94"/>
        <v>267.2998309535638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58.16919540232287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58.16919540232287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2.8421709430404007E-13</v>
      </c>
      <c r="CU111" s="17">
        <f>CT111*VLOOKUP('Données projet'!$B$13,Paramètres!$A$1:$I$89,3,0)*VLOOKUP('Données projet'!$B$13,Paramètres!$A$1:$I$89,5,0)</f>
        <v>1.69961822393816E-13</v>
      </c>
      <c r="CV111" s="13">
        <f t="shared" si="95"/>
        <v>2.4004382776176369E-12</v>
      </c>
      <c r="CW111" s="20">
        <f t="shared" si="67"/>
        <v>4.4767801741866136E-12</v>
      </c>
      <c r="CX111" s="59">
        <f t="shared" si="68"/>
        <v>293.33333333333781</v>
      </c>
      <c r="CY111" s="59">
        <f ca="1">AVERAGE(OFFSET($CX$3,0,0,'Données projet'!$E$13+1,1))-AVERAGE(OFFSET($H$3,0,0,'Données projet'!$E$13+1,1))</f>
        <v>319.9010109022521</v>
      </c>
      <c r="CZ111" s="59">
        <f t="shared" si="96"/>
        <v>441.82647565372287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46.855522293369795</v>
      </c>
      <c r="DG111" s="21">
        <f>EXP(-LN(2)/25)*DG110+(1-EXP(-LN(2)/25))/(LN(2)/25)*Calculateur!DB111*Calculateur!DD111*VLOOKUP('Données projet'!$B$13,Paramètres!$A$1:$I$89,3,0)*0.475*44/12</f>
        <v>13.773426050067769</v>
      </c>
      <c r="DH111" s="21">
        <f>EXP(-LN(2)/2)*DH110+(1-EXP(-LN(2)/2))/(LN(2)/2)*DB111*DE111*VLOOKUP('Données projet'!$B$13,Paramètres!$A$1:$I$89,3,0)*0.475*44/12</f>
        <v>1.1917508665787309E-7</v>
      </c>
      <c r="DI111" s="22">
        <f t="shared" si="69"/>
        <v>60.628948462612648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>
        <f>DO111*VLOOKUP('Données projet'!$B$14,Paramètres!$A$1:$I$89,3,0)*VLOOKUP('Données projet'!$B$14,Paramètres!$A$1:$I$89,5,0)</f>
        <v>0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229.61973863654862</v>
      </c>
      <c r="DU111" s="59">
        <f t="shared" si="98"/>
        <v>254.08208375594052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41.443365504285417</v>
      </c>
      <c r="EB111" s="21">
        <f>EXP(-LN(2)/25)*EB110+(1-EXP(-LN(2)/25))/(LN(2)/25)*Calculateur!DW111*Calculateur!DY111*VLOOKUP('Données projet'!$B$14,Paramètres!$A$1:$I$89,3,0)*0.475*44/12</f>
        <v>13.217263561815527</v>
      </c>
      <c r="EC111" s="21">
        <f>EXP(-LN(2)/2)*EC110+(1-EXP(-LN(2)/2))/(LN(2)/2)*DW111*DZ111*VLOOKUP('Données projet'!$B$14,Paramètres!$A$1:$I$89,3,0)*0.475*44/12</f>
        <v>2.6852980359724287E-6</v>
      </c>
      <c r="ED111" s="22">
        <f t="shared" si="72"/>
        <v>54.660631751398981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2.4</v>
      </c>
      <c r="N112" s="13">
        <f>IF('Données projet'!$A$36&gt;35,N111+M112-V111,IF(A112&lt;'Données projet'!$A$36,$K$205^A112,IF(A112='Données projet'!$A$36,'Données projet'!$B$36,N111+M112-V111)))</f>
        <v>282.59999999999974</v>
      </c>
      <c r="O112" s="13">
        <f>N112*VLOOKUP('Données projet'!$B$9,Paramètres!$A$1:$I$89,3,0)*VLOOKUP('Données projet'!$B$9,Paramètres!$A$1:$I$89,5,0)</f>
        <v>255.69647999999978</v>
      </c>
      <c r="P112" s="13">
        <f t="shared" si="87"/>
        <v>61.80415221549498</v>
      </c>
      <c r="Q112" s="20">
        <f t="shared" si="107"/>
        <v>552.98026777532004</v>
      </c>
      <c r="R112" s="59">
        <f t="shared" si="55"/>
        <v>846.3136011086533</v>
      </c>
      <c r="S112" s="59">
        <f ca="1">AVERAGE(OFFSET($R$3,0,0,'Données projet'!$E$9+1,1))-AVERAGE(OFFSET($H$3,0,0,'Données projet'!$E$9+1,1))</f>
        <v>373.59295497283125</v>
      </c>
      <c r="T112" s="59">
        <f t="shared" si="88"/>
        <v>231.36959598460686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26.061900904391269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26.061900904391269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2.4</v>
      </c>
      <c r="AI112" s="13">
        <f>IF('Données projet'!$A$62&gt;35,AI111+AH112-AQ111,IF(A112&lt;'Données projet'!$A$62,$AF$205^A112,IF(A112='Données projet'!$A$62,'Données projet'!$B$62,AI111+AH112-AQ111)))</f>
        <v>282.59999999999974</v>
      </c>
      <c r="AJ112" s="13">
        <f>AI112*VLOOKUP('Données projet'!$B$10,Paramètres!$A$1:$I$89,3,0)*VLOOKUP('Données projet'!$B$10,Paramètres!$A$1:$I$89,5,0)</f>
        <v>286.55639999999971</v>
      </c>
      <c r="AK112" s="13">
        <f t="shared" si="89"/>
        <v>68.350692700046267</v>
      </c>
      <c r="AL112" s="20">
        <f t="shared" si="58"/>
        <v>618.12985311924672</v>
      </c>
      <c r="AM112" s="59">
        <f t="shared" si="59"/>
        <v>911.46318645257998</v>
      </c>
      <c r="AN112" s="59">
        <f ca="1">AVERAGE(OFFSET($AM$3,0,0,'Données projet'!$E$10+1,1))-AVERAGE(OFFSET($H$3,0,0,'Données projet'!$E$10+1,1))</f>
        <v>413.81510455446738</v>
      </c>
      <c r="AO112" s="59">
        <f t="shared" si="90"/>
        <v>254.25036207346602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29.207302737679882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29.207302737679882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-1.1368683772161603E-13</v>
      </c>
      <c r="BE112" s="13">
        <f>BD112*VLOOKUP('Données projet'!$B$11,Paramètres!$A$1:$I$89,3,0)*VLOOKUP('Données projet'!$B$11,Paramètres!$A$1:$I$89,5,0)</f>
        <v>-1.0995790944434703E-13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295.35565287134125</v>
      </c>
      <c r="BJ112" s="59">
        <f t="shared" si="92"/>
        <v>244.451492444461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51.243029616401856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51.243029616401856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-1.1368683772161603E-13</v>
      </c>
      <c r="BZ112" s="13">
        <f>BY112*VLOOKUP('Données projet'!$B$12,Paramètres!$A$1:$I$89,3,0)*VLOOKUP('Données projet'!$B$12,Paramètres!$A$1:$I$89,5,0)</f>
        <v>-1.223725121235475E-13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324.61094137855798</v>
      </c>
      <c r="CE112" s="59">
        <f t="shared" si="94"/>
        <v>267.2998309535638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57.028532960189182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57.028532960189182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2.8421709430404007E-13</v>
      </c>
      <c r="CU112" s="17">
        <f>CT112*VLOOKUP('Données projet'!$B$13,Paramètres!$A$1:$I$89,3,0)*VLOOKUP('Données projet'!$B$13,Paramètres!$A$1:$I$89,5,0)</f>
        <v>1.69961822393816E-13</v>
      </c>
      <c r="CV112" s="13">
        <f t="shared" si="95"/>
        <v>2.4004382776176369E-12</v>
      </c>
      <c r="CW112" s="20">
        <f t="shared" si="67"/>
        <v>4.4767801741866136E-12</v>
      </c>
      <c r="CX112" s="59">
        <f t="shared" si="68"/>
        <v>293.33333333333781</v>
      </c>
      <c r="CY112" s="59">
        <f ca="1">AVERAGE(OFFSET($CX$3,0,0,'Données projet'!$E$13+1,1))-AVERAGE(OFFSET($H$3,0,0,'Données projet'!$E$13+1,1))</f>
        <v>319.9010109022521</v>
      </c>
      <c r="CZ112" s="59">
        <f t="shared" si="96"/>
        <v>441.82647565372287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45.936714080243469</v>
      </c>
      <c r="DG112" s="21">
        <f>EXP(-LN(2)/25)*DG111+(1-EXP(-LN(2)/25))/(LN(2)/25)*Calculateur!DB112*Calculateur!DD112*VLOOKUP('Données projet'!$B$13,Paramètres!$A$1:$I$89,3,0)*0.475*44/12</f>
        <v>13.396790990415671</v>
      </c>
      <c r="DH112" s="21">
        <f>EXP(-LN(2)/2)*DH111+(1-EXP(-LN(2)/2))/(LN(2)/2)*DB112*DE112*VLOOKUP('Données projet'!$B$13,Paramètres!$A$1:$I$89,3,0)*0.475*44/12</f>
        <v>8.4269511924276515E-8</v>
      </c>
      <c r="DI112" s="22">
        <f t="shared" si="69"/>
        <v>59.333505154928652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>
        <f>DO112*VLOOKUP('Données projet'!$B$14,Paramètres!$A$1:$I$89,3,0)*VLOOKUP('Données projet'!$B$14,Paramètres!$A$1:$I$89,5,0)</f>
        <v>0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229.61973863654862</v>
      </c>
      <c r="DU112" s="59">
        <f t="shared" si="98"/>
        <v>254.08208375594052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40.630686384703345</v>
      </c>
      <c r="EB112" s="21">
        <f>EXP(-LN(2)/25)*EB111+(1-EXP(-LN(2)/25))/(LN(2)/25)*Calculateur!DW112*Calculateur!DY112*VLOOKUP('Données projet'!$B$14,Paramètres!$A$1:$I$89,3,0)*0.475*44/12</f>
        <v>12.855836794651999</v>
      </c>
      <c r="EC112" s="21">
        <f>EXP(-LN(2)/2)*EC111+(1-EXP(-LN(2)/2))/(LN(2)/2)*DW112*DZ112*VLOOKUP('Données projet'!$B$14,Paramètres!$A$1:$I$89,3,0)*0.475*44/12</f>
        <v>1.898792450743022E-6</v>
      </c>
      <c r="ED112" s="22">
        <f t="shared" si="72"/>
        <v>53.486525078147793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285</v>
      </c>
      <c r="L113" s="12">
        <f>VLOOKUP(A113,'Données projet'!$A$35:$I$55,9,0)</f>
        <v>2.4</v>
      </c>
      <c r="M113" s="12">
        <f t="array" ref="M113">INDEX(L:L,MIN(IF(ISNUMBER(L113:L309),ROW(L113:L309),"")))</f>
        <v>2.4</v>
      </c>
      <c r="N113" s="13">
        <f>IF('Données projet'!$A$36&gt;35,N112+M113-V112,IF(A113&lt;'Données projet'!$A$36,$K$205^A113,IF(A113='Données projet'!$A$36,'Données projet'!$B$36,N112+M113-V112)))</f>
        <v>284.99999999999972</v>
      </c>
      <c r="O113" s="13">
        <f>N113*VLOOKUP('Données projet'!$B$9,Paramètres!$A$1:$I$89,3,0)*VLOOKUP('Données projet'!$B$9,Paramètres!$A$1:$I$89,5,0)</f>
        <v>257.86799999999971</v>
      </c>
      <c r="P113" s="13">
        <f t="shared" si="87"/>
        <v>62.267704162827471</v>
      </c>
      <c r="Q113" s="20">
        <f t="shared" si="107"/>
        <v>557.56968475025735</v>
      </c>
      <c r="R113" s="59">
        <f t="shared" si="55"/>
        <v>850.90301808359072</v>
      </c>
      <c r="S113" s="59">
        <f ca="1">AVERAGE(OFFSET($R$3,0,0,'Données projet'!$E$9+1,1))-AVERAGE(OFFSET($H$3,0,0,'Données projet'!$E$9+1,1))</f>
        <v>373.59295497283125</v>
      </c>
      <c r="T113" s="59">
        <f t="shared" si="88"/>
        <v>231.36959598460686</v>
      </c>
      <c r="U113" s="15">
        <f>IF(ISNA(VLOOKUP(A113,'Données projet'!$A$35:$I$55,3,0)),0,VLOOKUP(A113,'Données projet'!$A$35:$I$55,3,0))</f>
        <v>17</v>
      </c>
      <c r="V113" s="15">
        <f>IF(ISNA(VLOOKUP(A113,'Données projet'!$A$35:$I$55,4,0)),0,VLOOKUP(A113,'Données projet'!$A$35:$I$55,4,0))</f>
        <v>19</v>
      </c>
      <c r="W113" s="16">
        <f>IF(ISNA(VLOOKUP(A113,'Données projet'!$A$35:$I$55,5,0)),0%,VLOOKUP(A113,'Données projet'!$A$35:$I$55,5,0)*VLOOKUP('Données projet'!$B$9,Paramètres!$A$1:$I$89,7,0))</f>
        <v>0.34400000000000003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32.088343585533728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32.088343585533728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285</v>
      </c>
      <c r="AG113" s="12">
        <f>VLOOKUP(A113,'Données projet'!$A$61:$I$81,9,0)</f>
        <v>2.4</v>
      </c>
      <c r="AH113" s="12">
        <f t="array" ref="AH113">INDEX(AG:AG,MIN(IF(ISNUMBER(AG113:AG309),ROW(AG113:AG309),"")))</f>
        <v>2.4</v>
      </c>
      <c r="AI113" s="13">
        <f>IF('Données projet'!$A$62&gt;35,AI112+AH113-AQ112,IF(A113&lt;'Données projet'!$A$62,$AF$205^A113,IF(A113='Données projet'!$A$62,'Données projet'!$B$62,AI112+AH113-AQ112)))</f>
        <v>284.99999999999972</v>
      </c>
      <c r="AJ113" s="13">
        <f>AI113*VLOOKUP('Données projet'!$B$10,Paramètres!$A$1:$I$89,3,0)*VLOOKUP('Données projet'!$B$10,Paramètres!$A$1:$I$89,5,0)</f>
        <v>288.98999999999972</v>
      </c>
      <c r="AK113" s="13">
        <f t="shared" si="89"/>
        <v>68.863345904836791</v>
      </c>
      <c r="AL113" s="20">
        <f t="shared" si="58"/>
        <v>623.26124411759019</v>
      </c>
      <c r="AM113" s="59">
        <f t="shared" si="59"/>
        <v>916.59457745092345</v>
      </c>
      <c r="AN113" s="59">
        <f ca="1">AVERAGE(OFFSET($AM$3,0,0,'Données projet'!$E$10+1,1))-AVERAGE(OFFSET($H$3,0,0,'Données projet'!$E$10+1,1))</f>
        <v>413.81510455446738</v>
      </c>
      <c r="AO113" s="59">
        <f t="shared" si="90"/>
        <v>254.25036207346602</v>
      </c>
      <c r="AP113" s="15">
        <f>IF(ISNA(VLOOKUP(A113,'Données projet'!$A$61:$I$81,3,0)),0,VLOOKUP(A113,'Données projet'!$A$61:$I$81,3,0))</f>
        <v>17</v>
      </c>
      <c r="AQ113" s="15">
        <f>IF(ISNA(VLOOKUP(A113,'Données projet'!$A$61:$I$81,4,0)),0,VLOOKUP(A113,'Données projet'!$A$61:$I$81,4,0))</f>
        <v>19</v>
      </c>
      <c r="AR113" s="16">
        <f>IF(ISNA(VLOOKUP(A113,'Données projet'!$A$61:$I$81,5,0)),0%,VLOOKUP(A113,'Données projet'!$A$61:$I$81,5,0)*VLOOKUP('Données projet'!$B$10,Paramètres!$A$1:$I$89,7,0))</f>
        <v>0.34400000000000003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35.961074707925739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35.961074707925739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-1.1368683772161603E-13</v>
      </c>
      <c r="BE113" s="13">
        <f>BD113*VLOOKUP('Données projet'!$B$11,Paramètres!$A$1:$I$89,3,0)*VLOOKUP('Données projet'!$B$11,Paramètres!$A$1:$I$89,5,0)</f>
        <v>-1.0995790944434703E-13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295.35565287134125</v>
      </c>
      <c r="BJ113" s="59">
        <f t="shared" si="92"/>
        <v>244.451492444461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50.238185060786087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50.238185060786087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-1.1368683772161603E-13</v>
      </c>
      <c r="BZ113" s="13">
        <f>BY113*VLOOKUP('Données projet'!$B$12,Paramètres!$A$1:$I$89,3,0)*VLOOKUP('Données projet'!$B$12,Paramètres!$A$1:$I$89,5,0)</f>
        <v>-1.223725121235475E-13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324.61094137855798</v>
      </c>
      <c r="CE113" s="59">
        <f t="shared" si="94"/>
        <v>267.2998309535638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55.910238212810349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55.910238212810349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2.8421709430404007E-13</v>
      </c>
      <c r="CU113" s="17">
        <f>CT113*VLOOKUP('Données projet'!$B$13,Paramètres!$A$1:$I$89,3,0)*VLOOKUP('Données projet'!$B$13,Paramètres!$A$1:$I$89,5,0)</f>
        <v>1.69961822393816E-13</v>
      </c>
      <c r="CV113" s="13">
        <f t="shared" si="95"/>
        <v>2.4004382776176369E-12</v>
      </c>
      <c r="CW113" s="20">
        <f t="shared" si="67"/>
        <v>4.4767801741866136E-12</v>
      </c>
      <c r="CX113" s="59">
        <f t="shared" si="68"/>
        <v>293.33333333333781</v>
      </c>
      <c r="CY113" s="59">
        <f ca="1">AVERAGE(OFFSET($CX$3,0,0,'Données projet'!$E$13+1,1))-AVERAGE(OFFSET($H$3,0,0,'Données projet'!$E$13+1,1))</f>
        <v>319.9010109022521</v>
      </c>
      <c r="CZ113" s="59">
        <f t="shared" si="96"/>
        <v>441.82647565372287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45.035923135758871</v>
      </c>
      <c r="DG113" s="21">
        <f>EXP(-LN(2)/25)*DG112+(1-EXP(-LN(2)/25))/(LN(2)/25)*Calculateur!DB113*Calculateur!DD113*VLOOKUP('Données projet'!$B$13,Paramètres!$A$1:$I$89,3,0)*0.475*44/12</f>
        <v>13.030455036276134</v>
      </c>
      <c r="DH113" s="21">
        <f>EXP(-LN(2)/2)*DH112+(1-EXP(-LN(2)/2))/(LN(2)/2)*DB113*DE113*VLOOKUP('Données projet'!$B$13,Paramètres!$A$1:$I$89,3,0)*0.475*44/12</f>
        <v>5.9587543328936557E-8</v>
      </c>
      <c r="DI113" s="22">
        <f t="shared" si="69"/>
        <v>58.066378231622544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>
        <f>DO113*VLOOKUP('Données projet'!$B$14,Paramètres!$A$1:$I$89,3,0)*VLOOKUP('Données projet'!$B$14,Paramètres!$A$1:$I$89,5,0)</f>
        <v>0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229.61973863654862</v>
      </c>
      <c r="DU113" s="59">
        <f t="shared" si="98"/>
        <v>254.08208375594052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39.83394340697096</v>
      </c>
      <c r="EB113" s="21">
        <f>EXP(-LN(2)/25)*EB112+(1-EXP(-LN(2)/25))/(LN(2)/25)*Calculateur!DW113*Calculateur!DY113*VLOOKUP('Données projet'!$B$14,Paramètres!$A$1:$I$89,3,0)*0.475*44/12</f>
        <v>12.504293261443166</v>
      </c>
      <c r="EC113" s="21">
        <f>EXP(-LN(2)/2)*EC112+(1-EXP(-LN(2)/2))/(LN(2)/2)*DW113*DZ113*VLOOKUP('Données projet'!$B$14,Paramètres!$A$1:$I$89,3,0)*0.475*44/12</f>
        <v>1.3426490179862145E-6</v>
      </c>
      <c r="ED113" s="22">
        <f t="shared" si="72"/>
        <v>52.338238011063147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1.9</v>
      </c>
      <c r="N114" s="13">
        <f>IF('Données projet'!$A$36&gt;35,N113+M114-V113,IF(A114&lt;'Données projet'!$A$36,$K$205^A114,IF(A114='Données projet'!$A$36,'Données projet'!$B$36,N113+M114-V113)))</f>
        <v>267.89999999999969</v>
      </c>
      <c r="O114" s="13">
        <f>N114*VLOOKUP('Données projet'!$B$9,Paramètres!$A$1:$I$89,3,0)*VLOOKUP('Données projet'!$B$9,Paramètres!$A$1:$I$89,5,0)</f>
        <v>242.39591999999971</v>
      </c>
      <c r="P114" s="13">
        <f t="shared" si="87"/>
        <v>58.954725941114695</v>
      </c>
      <c r="Q114" s="20">
        <f t="shared" si="107"/>
        <v>524.85237501410757</v>
      </c>
      <c r="R114" s="59">
        <f t="shared" si="55"/>
        <v>818.18570834744082</v>
      </c>
      <c r="S114" s="59">
        <f ca="1">AVERAGE(OFFSET($R$3,0,0,'Données projet'!$E$9+1,1))-AVERAGE(OFFSET($H$3,0,0,'Données projet'!$E$9+1,1))</f>
        <v>373.59295497283125</v>
      </c>
      <c r="T114" s="59">
        <f t="shared" si="88"/>
        <v>231.36959598460686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31.459110739778428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31.459110739778428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1.9</v>
      </c>
      <c r="AI114" s="13">
        <f>IF('Données projet'!$A$62&gt;35,AI113+AH114-AQ113,IF(A114&lt;'Données projet'!$A$62,$AF$205^A114,IF(A114='Données projet'!$A$62,'Données projet'!$B$62,AI113+AH114-AQ113)))</f>
        <v>267.89999999999969</v>
      </c>
      <c r="AJ114" s="13">
        <f>AI114*VLOOKUP('Données projet'!$B$10,Paramètres!$A$1:$I$89,3,0)*VLOOKUP('Données projet'!$B$10,Paramètres!$A$1:$I$89,5,0)</f>
        <v>271.65059999999971</v>
      </c>
      <c r="AK114" s="13">
        <f t="shared" si="89"/>
        <v>65.199443913839758</v>
      </c>
      <c r="AL114" s="20">
        <f t="shared" si="58"/>
        <v>586.68049314993721</v>
      </c>
      <c r="AM114" s="59">
        <f t="shared" si="59"/>
        <v>880.01382648327058</v>
      </c>
      <c r="AN114" s="59">
        <f ca="1">AVERAGE(OFFSET($AM$3,0,0,'Données projet'!$E$10+1,1))-AVERAGE(OFFSET($H$3,0,0,'Données projet'!$E$10+1,1))</f>
        <v>413.81510455446738</v>
      </c>
      <c r="AO114" s="59">
        <f t="shared" si="90"/>
        <v>254.25036207346602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35.255899966993077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35.255899966993077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-1.1368683772161603E-13</v>
      </c>
      <c r="BE114" s="13">
        <f>BD114*VLOOKUP('Données projet'!$B$11,Paramètres!$A$1:$I$89,3,0)*VLOOKUP('Données projet'!$B$11,Paramètres!$A$1:$I$89,5,0)</f>
        <v>-1.0995790944434703E-13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295.35565287134125</v>
      </c>
      <c r="BJ114" s="59">
        <f t="shared" si="92"/>
        <v>244.451492444461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49.253044894011289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49.253044894011289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-1.1368683772161603E-13</v>
      </c>
      <c r="BZ114" s="13">
        <f>BY114*VLOOKUP('Données projet'!$B$12,Paramètres!$A$1:$I$89,3,0)*VLOOKUP('Données projet'!$B$12,Paramètres!$A$1:$I$89,5,0)</f>
        <v>-1.223725121235475E-13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324.61094137855798</v>
      </c>
      <c r="CE114" s="59">
        <f t="shared" si="94"/>
        <v>267.2998309535638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54.813872543335165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54.813872543335165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2.8421709430404007E-13</v>
      </c>
      <c r="CU114" s="17">
        <f>CT114*VLOOKUP('Données projet'!$B$13,Paramètres!$A$1:$I$89,3,0)*VLOOKUP('Données projet'!$B$13,Paramètres!$A$1:$I$89,5,0)</f>
        <v>1.69961822393816E-13</v>
      </c>
      <c r="CV114" s="13">
        <f t="shared" si="95"/>
        <v>2.4004382776176369E-12</v>
      </c>
      <c r="CW114" s="20">
        <f t="shared" si="67"/>
        <v>4.4767801741866136E-12</v>
      </c>
      <c r="CX114" s="59">
        <f t="shared" si="68"/>
        <v>293.33333333333781</v>
      </c>
      <c r="CY114" s="59">
        <f ca="1">AVERAGE(OFFSET($CX$3,0,0,'Données projet'!$E$13+1,1))-AVERAGE(OFFSET($H$3,0,0,'Données projet'!$E$13+1,1))</f>
        <v>319.9010109022521</v>
      </c>
      <c r="CZ114" s="59">
        <f t="shared" si="96"/>
        <v>441.82647565372287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44.152796152267392</v>
      </c>
      <c r="DG114" s="21">
        <f>EXP(-LN(2)/25)*DG113+(1-EXP(-LN(2)/25))/(LN(2)/25)*Calculateur!DB114*Calculateur!DD114*VLOOKUP('Données projet'!$B$13,Paramètres!$A$1:$I$89,3,0)*0.475*44/12</f>
        <v>12.674136558067314</v>
      </c>
      <c r="DH114" s="21">
        <f>EXP(-LN(2)/2)*DH113+(1-EXP(-LN(2)/2))/(LN(2)/2)*DB114*DE114*VLOOKUP('Données projet'!$B$13,Paramètres!$A$1:$I$89,3,0)*0.475*44/12</f>
        <v>4.2134755962138264E-8</v>
      </c>
      <c r="DI114" s="22">
        <f t="shared" si="69"/>
        <v>56.82693275246946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>
        <f>DO114*VLOOKUP('Données projet'!$B$14,Paramètres!$A$1:$I$89,3,0)*VLOOKUP('Données projet'!$B$14,Paramètres!$A$1:$I$89,5,0)</f>
        <v>0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229.61973863654862</v>
      </c>
      <c r="DU114" s="59">
        <f t="shared" si="98"/>
        <v>254.08208375594052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39.052824073066674</v>
      </c>
      <c r="EB114" s="21">
        <f>EXP(-LN(2)/25)*EB113+(1-EXP(-LN(2)/25))/(LN(2)/25)*Calculateur!DW114*Calculateur!DY114*VLOOKUP('Données projet'!$B$14,Paramètres!$A$1:$I$89,3,0)*0.475*44/12</f>
        <v>12.162362704636799</v>
      </c>
      <c r="EC114" s="21">
        <f>EXP(-LN(2)/2)*EC113+(1-EXP(-LN(2)/2))/(LN(2)/2)*DW114*DZ114*VLOOKUP('Données projet'!$B$14,Paramètres!$A$1:$I$89,3,0)*0.475*44/12</f>
        <v>9.4939622537151123E-7</v>
      </c>
      <c r="ED114" s="22">
        <f t="shared" si="72"/>
        <v>51.215187727099696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1.9</v>
      </c>
      <c r="N115" s="13">
        <f>IF('Données projet'!$A$36&gt;35,N114+M115-V114,IF(A115&lt;'Données projet'!$A$36,$K$205^A115,IF(A115='Données projet'!$A$36,'Données projet'!$B$36,N114+M115-V114)))</f>
        <v>269.79999999999967</v>
      </c>
      <c r="O115" s="13">
        <f>N115*VLOOKUP('Données projet'!$B$9,Paramètres!$A$1:$I$89,3,0)*VLOOKUP('Données projet'!$B$9,Paramètres!$A$1:$I$89,5,0)</f>
        <v>244.11503999999971</v>
      </c>
      <c r="P115" s="13">
        <f t="shared" si="87"/>
        <v>59.324023461758955</v>
      </c>
      <c r="Q115" s="20">
        <f t="shared" si="107"/>
        <v>528.48970219589626</v>
      </c>
      <c r="R115" s="59">
        <f t="shared" si="55"/>
        <v>821.82303552922963</v>
      </c>
      <c r="S115" s="59">
        <f ca="1">AVERAGE(OFFSET($R$3,0,0,'Données projet'!$E$9+1,1))-AVERAGE(OFFSET($H$3,0,0,'Données projet'!$E$9+1,1))</f>
        <v>373.59295497283125</v>
      </c>
      <c r="T115" s="59">
        <f t="shared" si="88"/>
        <v>231.36959598460686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30.84221676633425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30.84221676633425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1.9</v>
      </c>
      <c r="AI115" s="13">
        <f>IF('Données projet'!$A$62&gt;35,AI114+AH115-AQ114,IF(A115&lt;'Données projet'!$A$62,$AF$205^A115,IF(A115='Données projet'!$A$62,'Données projet'!$B$62,AI114+AH115-AQ114)))</f>
        <v>269.79999999999967</v>
      </c>
      <c r="AJ115" s="13">
        <f>AI115*VLOOKUP('Données projet'!$B$10,Paramètres!$A$1:$I$89,3,0)*VLOOKUP('Données projet'!$B$10,Paramètres!$A$1:$I$89,5,0)</f>
        <v>273.57719999999972</v>
      </c>
      <c r="AK115" s="13">
        <f t="shared" si="89"/>
        <v>65.607858889914979</v>
      </c>
      <c r="AL115" s="20">
        <f t="shared" si="58"/>
        <v>590.74731089993463</v>
      </c>
      <c r="AM115" s="59">
        <f t="shared" si="59"/>
        <v>884.080644233268</v>
      </c>
      <c r="AN115" s="59">
        <f ca="1">AVERAGE(OFFSET($AM$3,0,0,'Données projet'!$E$10+1,1))-AVERAGE(OFFSET($H$3,0,0,'Données projet'!$E$10+1,1))</f>
        <v>413.81510455446738</v>
      </c>
      <c r="AO115" s="59">
        <f t="shared" si="90"/>
        <v>254.25036207346602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34.564553272615981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34.564553272615981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-1.1368683772161603E-13</v>
      </c>
      <c r="BE115" s="13">
        <f>BD115*VLOOKUP('Données projet'!$B$11,Paramètres!$A$1:$I$89,3,0)*VLOOKUP('Données projet'!$B$11,Paramètres!$A$1:$I$89,5,0)</f>
        <v>-1.0995790944434703E-13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295.35565287134125</v>
      </c>
      <c r="BJ115" s="59">
        <f t="shared" si="92"/>
        <v>244.451492444461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48.287222725030773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48.287222725030773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-1.1368683772161603E-13</v>
      </c>
      <c r="BZ115" s="13">
        <f>BY115*VLOOKUP('Données projet'!$B$12,Paramètres!$A$1:$I$89,3,0)*VLOOKUP('Données projet'!$B$12,Paramètres!$A$1:$I$89,5,0)</f>
        <v>-1.223725121235475E-13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324.61094137855798</v>
      </c>
      <c r="CE115" s="59">
        <f t="shared" si="94"/>
        <v>267.2998309535638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53.739005935921362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53.739005935921362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2.8421709430404007E-13</v>
      </c>
      <c r="CU115" s="17">
        <f>CT115*VLOOKUP('Données projet'!$B$13,Paramètres!$A$1:$I$89,3,0)*VLOOKUP('Données projet'!$B$13,Paramètres!$A$1:$I$89,5,0)</f>
        <v>1.69961822393816E-13</v>
      </c>
      <c r="CV115" s="13">
        <f t="shared" si="95"/>
        <v>2.4004382776176369E-12</v>
      </c>
      <c r="CW115" s="20">
        <f t="shared" si="67"/>
        <v>4.4767801741866136E-12</v>
      </c>
      <c r="CX115" s="59">
        <f t="shared" si="68"/>
        <v>293.33333333333781</v>
      </c>
      <c r="CY115" s="59">
        <f ca="1">AVERAGE(OFFSET($CX$3,0,0,'Données projet'!$E$13+1,1))-AVERAGE(OFFSET($H$3,0,0,'Données projet'!$E$13+1,1))</f>
        <v>319.9010109022521</v>
      </c>
      <c r="CZ115" s="59">
        <f t="shared" si="96"/>
        <v>441.82647565372287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43.286986750267914</v>
      </c>
      <c r="DG115" s="21">
        <f>EXP(-LN(2)/25)*DG114+(1-EXP(-LN(2)/25))/(LN(2)/25)*Calculateur!DB115*Calculateur!DD115*VLOOKUP('Données projet'!$B$13,Paramètres!$A$1:$I$89,3,0)*0.475*44/12</f>
        <v>12.327561627383089</v>
      </c>
      <c r="DH115" s="21">
        <f>EXP(-LN(2)/2)*DH114+(1-EXP(-LN(2)/2))/(LN(2)/2)*DB115*DE115*VLOOKUP('Données projet'!$B$13,Paramètres!$A$1:$I$89,3,0)*0.475*44/12</f>
        <v>2.9793771664468282E-8</v>
      </c>
      <c r="DI115" s="22">
        <f t="shared" si="69"/>
        <v>55.614548407444779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>
        <f>DO115*VLOOKUP('Données projet'!$B$14,Paramètres!$A$1:$I$89,3,0)*VLOOKUP('Données projet'!$B$14,Paramètres!$A$1:$I$89,5,0)</f>
        <v>0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229.61973863654862</v>
      </c>
      <c r="DU115" s="59">
        <f t="shared" si="98"/>
        <v>254.08208375594052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38.287022012864504</v>
      </c>
      <c r="EB115" s="21">
        <f>EXP(-LN(2)/25)*EB114+(1-EXP(-LN(2)/25))/(LN(2)/25)*Calculateur!DW115*Calculateur!DY115*VLOOKUP('Données projet'!$B$14,Paramètres!$A$1:$I$89,3,0)*0.475*44/12</f>
        <v>11.829782256887649</v>
      </c>
      <c r="EC115" s="21">
        <f>EXP(-LN(2)/2)*EC114+(1-EXP(-LN(2)/2))/(LN(2)/2)*DW115*DZ115*VLOOKUP('Données projet'!$B$14,Paramètres!$A$1:$I$89,3,0)*0.475*44/12</f>
        <v>6.7132450899310738E-7</v>
      </c>
      <c r="ED115" s="22">
        <f t="shared" si="72"/>
        <v>50.116804941076659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1.9</v>
      </c>
      <c r="N116" s="13">
        <f>IF('Données projet'!$A$36&gt;35,N115+M116-V115,IF(A116&lt;'Données projet'!$A$36,$K$205^A116,IF(A116='Données projet'!$A$36,'Données projet'!$B$36,N115+M116-V115)))</f>
        <v>271.69999999999965</v>
      </c>
      <c r="O116" s="13">
        <f>N116*VLOOKUP('Données projet'!$B$9,Paramètres!$A$1:$I$89,3,0)*VLOOKUP('Données projet'!$B$9,Paramètres!$A$1:$I$89,5,0)</f>
        <v>245.83415999999968</v>
      </c>
      <c r="P116" s="13">
        <f t="shared" si="87"/>
        <v>59.693018383856781</v>
      </c>
      <c r="Q116" s="20">
        <f t="shared" si="107"/>
        <v>532.12650235188346</v>
      </c>
      <c r="R116" s="59">
        <f t="shared" si="55"/>
        <v>825.45983568521683</v>
      </c>
      <c r="S116" s="59">
        <f ca="1">AVERAGE(OFFSET($R$3,0,0,'Données projet'!$E$9+1,1))-AVERAGE(OFFSET($H$3,0,0,'Données projet'!$E$9+1,1))</f>
        <v>373.59295497283125</v>
      </c>
      <c r="T116" s="59">
        <f t="shared" si="88"/>
        <v>231.36959598460686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30.237419707441141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30.237419707441141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1.9</v>
      </c>
      <c r="AI116" s="13">
        <f>IF('Données projet'!$A$62&gt;35,AI115+AH116-AQ115,IF(A116&lt;'Données projet'!$A$62,$AF$205^A116,IF(A116='Données projet'!$A$62,'Données projet'!$B$62,AI115+AH116-AQ115)))</f>
        <v>271.69999999999965</v>
      </c>
      <c r="AJ116" s="13">
        <f>AI116*VLOOKUP('Données projet'!$B$10,Paramètres!$A$1:$I$89,3,0)*VLOOKUP('Données projet'!$B$10,Paramètres!$A$1:$I$89,5,0)</f>
        <v>275.50379999999967</v>
      </c>
      <c r="AK116" s="13">
        <f t="shared" si="89"/>
        <v>66.015939215007819</v>
      </c>
      <c r="AL116" s="20">
        <f t="shared" si="58"/>
        <v>594.81354579947129</v>
      </c>
      <c r="AM116" s="59">
        <f t="shared" si="59"/>
        <v>888.14687913280454</v>
      </c>
      <c r="AN116" s="59">
        <f ca="1">AVERAGE(OFFSET($AM$3,0,0,'Données projet'!$E$10+1,1))-AVERAGE(OFFSET($H$3,0,0,'Données projet'!$E$10+1,1))</f>
        <v>413.81510455446738</v>
      </c>
      <c r="AO116" s="59">
        <f t="shared" si="90"/>
        <v>254.25036207346602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33.886763465235774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33.886763465235774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-1.1368683772161603E-13</v>
      </c>
      <c r="BE116" s="13">
        <f>BD116*VLOOKUP('Données projet'!$B$11,Paramètres!$A$1:$I$89,3,0)*VLOOKUP('Données projet'!$B$11,Paramètres!$A$1:$I$89,5,0)</f>
        <v>-1.0995790944434703E-13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295.35565287134125</v>
      </c>
      <c r="BJ116" s="59">
        <f t="shared" si="92"/>
        <v>244.451492444461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47.340339739690606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47.340339739690606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-1.1368683772161603E-13</v>
      </c>
      <c r="BZ116" s="13">
        <f>BY116*VLOOKUP('Données projet'!$B$12,Paramètres!$A$1:$I$89,3,0)*VLOOKUP('Données projet'!$B$12,Paramètres!$A$1:$I$89,5,0)</f>
        <v>-1.223725121235475E-13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324.61094137855798</v>
      </c>
      <c r="CE116" s="59">
        <f t="shared" si="94"/>
        <v>267.2998309535638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52.685216807075051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52.685216807075051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2.8421709430404007E-13</v>
      </c>
      <c r="CU116" s="17">
        <f>CT116*VLOOKUP('Données projet'!$B$13,Paramètres!$A$1:$I$89,3,0)*VLOOKUP('Données projet'!$B$13,Paramètres!$A$1:$I$89,5,0)</f>
        <v>1.69961822393816E-13</v>
      </c>
      <c r="CV116" s="13">
        <f t="shared" si="95"/>
        <v>2.4004382776176369E-12</v>
      </c>
      <c r="CW116" s="20">
        <f t="shared" si="67"/>
        <v>4.4767801741866136E-12</v>
      </c>
      <c r="CX116" s="59">
        <f t="shared" si="68"/>
        <v>293.33333333333781</v>
      </c>
      <c r="CY116" s="59">
        <f ca="1">AVERAGE(OFFSET($CX$3,0,0,'Données projet'!$E$13+1,1))-AVERAGE(OFFSET($H$3,0,0,'Données projet'!$E$13+1,1))</f>
        <v>319.9010109022521</v>
      </c>
      <c r="CZ116" s="59">
        <f t="shared" si="96"/>
        <v>441.82647565372287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42.438155342550054</v>
      </c>
      <c r="DG116" s="21">
        <f>EXP(-LN(2)/25)*DG115+(1-EXP(-LN(2)/25))/(LN(2)/25)*Calculateur!DB116*Calculateur!DD116*VLOOKUP('Données projet'!$B$13,Paramètres!$A$1:$I$89,3,0)*0.475*44/12</f>
        <v>11.990463806404007</v>
      </c>
      <c r="DH116" s="21">
        <f>EXP(-LN(2)/2)*DH115+(1-EXP(-LN(2)/2))/(LN(2)/2)*DB116*DE116*VLOOKUP('Données projet'!$B$13,Paramètres!$A$1:$I$89,3,0)*0.475*44/12</f>
        <v>2.1067377981069135E-8</v>
      </c>
      <c r="DI116" s="22">
        <f t="shared" si="69"/>
        <v>54.428619170021442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>
        <f>DO116*VLOOKUP('Données projet'!$B$14,Paramètres!$A$1:$I$89,3,0)*VLOOKUP('Données projet'!$B$14,Paramètres!$A$1:$I$89,5,0)</f>
        <v>0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229.61973863654862</v>
      </c>
      <c r="DU116" s="59">
        <f t="shared" si="98"/>
        <v>254.08208375594052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37.536236863969762</v>
      </c>
      <c r="EB116" s="21">
        <f>EXP(-LN(2)/25)*EB115+(1-EXP(-LN(2)/25))/(LN(2)/25)*Calculateur!DW116*Calculateur!DY116*VLOOKUP('Données projet'!$B$14,Paramètres!$A$1:$I$89,3,0)*0.475*44/12</f>
        <v>11.506296238971844</v>
      </c>
      <c r="EC116" s="21">
        <f>EXP(-LN(2)/2)*EC115+(1-EXP(-LN(2)/2))/(LN(2)/2)*DW116*DZ116*VLOOKUP('Données projet'!$B$14,Paramètres!$A$1:$I$89,3,0)*0.475*44/12</f>
        <v>4.7469811268575567E-7</v>
      </c>
      <c r="ED116" s="22">
        <f t="shared" si="72"/>
        <v>49.042533577639716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1.9</v>
      </c>
      <c r="N117" s="13">
        <f>IF('Données projet'!$A$36&gt;35,N116+M117-V116,IF(A117&lt;'Données projet'!$A$36,$K$205^A117,IF(A117='Données projet'!$A$36,'Données projet'!$B$36,N116+M117-V116)))</f>
        <v>273.59999999999962</v>
      </c>
      <c r="O117" s="13">
        <f>N117*VLOOKUP('Données projet'!$B$9,Paramètres!$A$1:$I$89,3,0)*VLOOKUP('Données projet'!$B$9,Paramètres!$A$1:$I$89,5,0)</f>
        <v>247.55327999999963</v>
      </c>
      <c r="P117" s="13">
        <f t="shared" si="87"/>
        <v>60.061713068870198</v>
      </c>
      <c r="Q117" s="20">
        <f t="shared" si="107"/>
        <v>535.76277959494826</v>
      </c>
      <c r="R117" s="59">
        <f t="shared" si="55"/>
        <v>829.09611292828163</v>
      </c>
      <c r="S117" s="59">
        <f ca="1">AVERAGE(OFFSET($R$3,0,0,'Données projet'!$E$9+1,1))-AVERAGE(OFFSET($H$3,0,0,'Données projet'!$E$9+1,1))</f>
        <v>373.59295497283125</v>
      </c>
      <c r="T117" s="59">
        <f t="shared" si="88"/>
        <v>231.36959598460686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29.644482349983146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29.644482349983146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1.9</v>
      </c>
      <c r="AI117" s="13">
        <f>IF('Données projet'!$A$62&gt;35,AI116+AH117-AQ116,IF(A117&lt;'Données projet'!$A$62,$AF$205^A117,IF(A117='Données projet'!$A$62,'Données projet'!$B$62,AI116+AH117-AQ116)))</f>
        <v>273.59999999999962</v>
      </c>
      <c r="AJ117" s="13">
        <f>AI117*VLOOKUP('Données projet'!$B$10,Paramètres!$A$1:$I$89,3,0)*VLOOKUP('Données projet'!$B$10,Paramètres!$A$1:$I$89,5,0)</f>
        <v>277.43039999999968</v>
      </c>
      <c r="AK117" s="13">
        <f t="shared" si="89"/>
        <v>66.423687500715616</v>
      </c>
      <c r="AL117" s="20">
        <f t="shared" si="58"/>
        <v>598.87920239707921</v>
      </c>
      <c r="AM117" s="59">
        <f t="shared" si="59"/>
        <v>892.21253573041258</v>
      </c>
      <c r="AN117" s="59">
        <f ca="1">AVERAGE(OFFSET($AM$3,0,0,'Données projet'!$E$10+1,1))-AVERAGE(OFFSET($H$3,0,0,'Données projet'!$E$10+1,1))</f>
        <v>413.81510455446738</v>
      </c>
      <c r="AO117" s="59">
        <f t="shared" si="90"/>
        <v>254.25036207346602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33.22226470256733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33.22226470256733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-1.1368683772161603E-13</v>
      </c>
      <c r="BE117" s="13">
        <f>BD117*VLOOKUP('Données projet'!$B$11,Paramètres!$A$1:$I$89,3,0)*VLOOKUP('Données projet'!$B$11,Paramètres!$A$1:$I$89,5,0)</f>
        <v>-1.0995790944434703E-13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295.35565287134125</v>
      </c>
      <c r="BJ117" s="59">
        <f t="shared" si="92"/>
        <v>244.451492444461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46.412024552151372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46.412024552151372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-1.1368683772161603E-13</v>
      </c>
      <c r="BZ117" s="13">
        <f>BY117*VLOOKUP('Données projet'!$B$12,Paramètres!$A$1:$I$89,3,0)*VLOOKUP('Données projet'!$B$12,Paramètres!$A$1:$I$89,5,0)</f>
        <v>-1.223725121235475E-13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324.61094137855798</v>
      </c>
      <c r="CE117" s="59">
        <f t="shared" si="94"/>
        <v>267.2998309535638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51.652091840297516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51.652091840297516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2.8421709430404007E-13</v>
      </c>
      <c r="CU117" s="17">
        <f>CT117*VLOOKUP('Données projet'!$B$13,Paramètres!$A$1:$I$89,3,0)*VLOOKUP('Données projet'!$B$13,Paramètres!$A$1:$I$89,5,0)</f>
        <v>1.69961822393816E-13</v>
      </c>
      <c r="CV117" s="13">
        <f t="shared" si="95"/>
        <v>2.4004382776176369E-12</v>
      </c>
      <c r="CW117" s="20">
        <f t="shared" si="67"/>
        <v>4.4767801741866136E-12</v>
      </c>
      <c r="CX117" s="59">
        <f t="shared" si="68"/>
        <v>293.33333333333781</v>
      </c>
      <c r="CY117" s="59">
        <f ca="1">AVERAGE(OFFSET($CX$3,0,0,'Données projet'!$E$13+1,1))-AVERAGE(OFFSET($H$3,0,0,'Données projet'!$E$13+1,1))</f>
        <v>319.9010109022521</v>
      </c>
      <c r="CZ117" s="59">
        <f t="shared" si="96"/>
        <v>441.82647565372287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41.605969001001505</v>
      </c>
      <c r="DG117" s="21">
        <f>EXP(-LN(2)/25)*DG116+(1-EXP(-LN(2)/25))/(LN(2)/25)*Calculateur!DB117*Calculateur!DD117*VLOOKUP('Données projet'!$B$13,Paramètres!$A$1:$I$89,3,0)*0.475*44/12</f>
        <v>11.662583943066803</v>
      </c>
      <c r="DH117" s="21">
        <f>EXP(-LN(2)/2)*DH116+(1-EXP(-LN(2)/2))/(LN(2)/2)*DB117*DE117*VLOOKUP('Données projet'!$B$13,Paramètres!$A$1:$I$89,3,0)*0.475*44/12</f>
        <v>1.4896885832234144E-8</v>
      </c>
      <c r="DI117" s="22">
        <f t="shared" si="69"/>
        <v>53.268552958965188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>
        <f>DO117*VLOOKUP('Données projet'!$B$14,Paramètres!$A$1:$I$89,3,0)*VLOOKUP('Données projet'!$B$14,Paramètres!$A$1:$I$89,5,0)</f>
        <v>0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229.61973863654862</v>
      </c>
      <c r="DU117" s="59">
        <f t="shared" si="98"/>
        <v>254.08208375594052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36.800174153911122</v>
      </c>
      <c r="EB117" s="21">
        <f>EXP(-LN(2)/25)*EB116+(1-EXP(-LN(2)/25))/(LN(2)/25)*Calculateur!DW117*Calculateur!DY117*VLOOKUP('Données projet'!$B$14,Paramètres!$A$1:$I$89,3,0)*0.475*44/12</f>
        <v>11.191655963227337</v>
      </c>
      <c r="EC117" s="21">
        <f>EXP(-LN(2)/2)*EC116+(1-EXP(-LN(2)/2))/(LN(2)/2)*DW117*DZ117*VLOOKUP('Données projet'!$B$14,Paramètres!$A$1:$I$89,3,0)*0.475*44/12</f>
        <v>3.3566225449655374E-7</v>
      </c>
      <c r="ED117" s="22">
        <f t="shared" si="72"/>
        <v>47.99183045280072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1.9</v>
      </c>
      <c r="N118" s="13">
        <f>IF('Données projet'!$A$36&gt;35,N117+M118-V117,IF(A118&lt;'Données projet'!$A$36,$K$205^A118,IF(A118='Données projet'!$A$36,'Données projet'!$B$36,N117+M118-V117)))</f>
        <v>275.4999999999996</v>
      </c>
      <c r="O118" s="13">
        <f>N118*VLOOKUP('Données projet'!$B$9,Paramètres!$A$1:$I$89,3,0)*VLOOKUP('Données projet'!$B$9,Paramètres!$A$1:$I$89,5,0)</f>
        <v>249.27239999999964</v>
      </c>
      <c r="P118" s="13">
        <f t="shared" si="87"/>
        <v>60.430109843567656</v>
      </c>
      <c r="Q118" s="20">
        <f t="shared" si="107"/>
        <v>539.39853797754631</v>
      </c>
      <c r="R118" s="59">
        <f t="shared" si="55"/>
        <v>832.73187131087957</v>
      </c>
      <c r="S118" s="59">
        <f ca="1">AVERAGE(OFFSET($R$3,0,0,'Données projet'!$E$9+1,1))-AVERAGE(OFFSET($H$3,0,0,'Données projet'!$E$9+1,1))</f>
        <v>373.59295497283125</v>
      </c>
      <c r="T118" s="59">
        <f t="shared" si="88"/>
        <v>231.36959598460686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29.063172132448827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29.063172132448827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1.9</v>
      </c>
      <c r="AI118" s="13">
        <f>IF('Données projet'!$A$62&gt;35,AI117+AH118-AQ117,IF(A118&lt;'Données projet'!$A$62,$AF$205^A118,IF(A118='Données projet'!$A$62,'Données projet'!$B$62,AI117+AH118-AQ117)))</f>
        <v>275.4999999999996</v>
      </c>
      <c r="AJ118" s="13">
        <f>AI118*VLOOKUP('Données projet'!$B$10,Paramètres!$A$1:$I$89,3,0)*VLOOKUP('Données projet'!$B$10,Paramètres!$A$1:$I$89,5,0)</f>
        <v>279.35699999999963</v>
      </c>
      <c r="AK118" s="13">
        <f t="shared" si="89"/>
        <v>66.831106320267438</v>
      </c>
      <c r="AL118" s="20">
        <f t="shared" si="58"/>
        <v>602.94428517446511</v>
      </c>
      <c r="AM118" s="59">
        <f t="shared" si="59"/>
        <v>896.27761850779848</v>
      </c>
      <c r="AN118" s="59">
        <f ca="1">AVERAGE(OFFSET($AM$3,0,0,'Données projet'!$E$10+1,1))-AVERAGE(OFFSET($H$3,0,0,'Données projet'!$E$10+1,1))</f>
        <v>413.81510455446738</v>
      </c>
      <c r="AO118" s="59">
        <f t="shared" si="90"/>
        <v>254.25036207346602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32.570796355330593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32.570796355330593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-1.1368683772161603E-13</v>
      </c>
      <c r="BE118" s="13">
        <f>BD118*VLOOKUP('Données projet'!$B$11,Paramètres!$A$1:$I$89,3,0)*VLOOKUP('Données projet'!$B$11,Paramètres!$A$1:$I$89,5,0)</f>
        <v>-1.0995790944434703E-13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295.35565287134125</v>
      </c>
      <c r="BJ118" s="59">
        <f t="shared" si="92"/>
        <v>244.451492444461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45.501913059223426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45.501913059223426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-1.1368683772161603E-13</v>
      </c>
      <c r="BZ118" s="13">
        <f>BY118*VLOOKUP('Données projet'!$B$12,Paramètres!$A$1:$I$89,3,0)*VLOOKUP('Données projet'!$B$12,Paramètres!$A$1:$I$89,5,0)</f>
        <v>-1.223725121235475E-13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324.61094137855798</v>
      </c>
      <c r="CE118" s="59">
        <f t="shared" si="94"/>
        <v>267.2998309535638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50.639225823974478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50.639225823974478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2.8421709430404007E-13</v>
      </c>
      <c r="CU118" s="17">
        <f>CT118*VLOOKUP('Données projet'!$B$13,Paramètres!$A$1:$I$89,3,0)*VLOOKUP('Données projet'!$B$13,Paramètres!$A$1:$I$89,5,0)</f>
        <v>1.69961822393816E-13</v>
      </c>
      <c r="CV118" s="13">
        <f t="shared" si="95"/>
        <v>2.4004382776176369E-12</v>
      </c>
      <c r="CW118" s="20">
        <f t="shared" si="67"/>
        <v>4.4767801741866136E-12</v>
      </c>
      <c r="CX118" s="59">
        <f t="shared" si="68"/>
        <v>293.33333333333781</v>
      </c>
      <c r="CY118" s="59">
        <f ca="1">AVERAGE(OFFSET($CX$3,0,0,'Données projet'!$E$13+1,1))-AVERAGE(OFFSET($H$3,0,0,'Données projet'!$E$13+1,1))</f>
        <v>319.9010109022521</v>
      </c>
      <c r="CZ118" s="59">
        <f t="shared" si="96"/>
        <v>441.82647565372287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40.79010132602717</v>
      </c>
      <c r="DG118" s="21">
        <f>EXP(-LN(2)/25)*DG117+(1-EXP(-LN(2)/25))/(LN(2)/25)*Calculateur!DB118*Calculateur!DD118*VLOOKUP('Données projet'!$B$13,Paramètres!$A$1:$I$89,3,0)*0.475*44/12</f>
        <v>11.343669971835007</v>
      </c>
      <c r="DH118" s="21">
        <f>EXP(-LN(2)/2)*DH117+(1-EXP(-LN(2)/2))/(LN(2)/2)*DB118*DE118*VLOOKUP('Données projet'!$B$13,Paramètres!$A$1:$I$89,3,0)*0.475*44/12</f>
        <v>1.0533688990534569E-8</v>
      </c>
      <c r="DI118" s="22">
        <f t="shared" si="69"/>
        <v>52.133771308395865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>
        <f>DO118*VLOOKUP('Données projet'!$B$14,Paramètres!$A$1:$I$89,3,0)*VLOOKUP('Données projet'!$B$14,Paramètres!$A$1:$I$89,5,0)</f>
        <v>0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229.61973863654862</v>
      </c>
      <c r="DU118" s="59">
        <f t="shared" si="98"/>
        <v>254.08208375594052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36.078545184642813</v>
      </c>
      <c r="EB118" s="21">
        <f>EXP(-LN(2)/25)*EB117+(1-EXP(-LN(2)/25))/(LN(2)/25)*Calculateur!DW118*Calculateur!DY118*VLOOKUP('Données projet'!$B$14,Paramètres!$A$1:$I$89,3,0)*0.475*44/12</f>
        <v>10.885619542369277</v>
      </c>
      <c r="EC118" s="21">
        <f>EXP(-LN(2)/2)*EC117+(1-EXP(-LN(2)/2))/(LN(2)/2)*DW118*DZ118*VLOOKUP('Données projet'!$B$14,Paramètres!$A$1:$I$89,3,0)*0.475*44/12</f>
        <v>2.3734905634287786E-7</v>
      </c>
      <c r="ED118" s="22">
        <f t="shared" si="72"/>
        <v>46.964164964361146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1.9</v>
      </c>
      <c r="N119" s="13">
        <f>IF('Données projet'!$A$36&gt;35,N118+M119-V118,IF(A119&lt;'Données projet'!$A$36,$K$205^A119,IF(A119='Données projet'!$A$36,'Données projet'!$B$36,N118+M119-V118)))</f>
        <v>277.39999999999958</v>
      </c>
      <c r="O119" s="13">
        <f>N119*VLOOKUP('Données projet'!$B$9,Paramètres!$A$1:$I$89,3,0)*VLOOKUP('Données projet'!$B$9,Paramètres!$A$1:$I$89,5,0)</f>
        <v>250.99151999999961</v>
      </c>
      <c r="P119" s="13">
        <f t="shared" si="87"/>
        <v>60.7982110007693</v>
      </c>
      <c r="Q119" s="20">
        <f t="shared" si="107"/>
        <v>543.03378149300579</v>
      </c>
      <c r="R119" s="59">
        <f t="shared" si="55"/>
        <v>836.36711482633905</v>
      </c>
      <c r="S119" s="59">
        <f ca="1">AVERAGE(OFFSET($R$3,0,0,'Données projet'!$E$9+1,1))-AVERAGE(OFFSET($H$3,0,0,'Données projet'!$E$9+1,1))</f>
        <v>373.59295497283125</v>
      </c>
      <c r="T119" s="59">
        <f t="shared" si="88"/>
        <v>231.36959598460686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28.493261053716132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28.493261053716132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1.9</v>
      </c>
      <c r="AI119" s="13">
        <f>IF('Données projet'!$A$62&gt;35,AI118+AH119-AQ118,IF(A119&lt;'Données projet'!$A$62,$AF$205^A119,IF(A119='Données projet'!$A$62,'Données projet'!$B$62,AI118+AH119-AQ118)))</f>
        <v>277.39999999999958</v>
      </c>
      <c r="AJ119" s="13">
        <f>AI119*VLOOKUP('Données projet'!$B$10,Paramètres!$A$1:$I$89,3,0)*VLOOKUP('Données projet'!$B$10,Paramètres!$A$1:$I$89,5,0)</f>
        <v>281.28359999999964</v>
      </c>
      <c r="AK119" s="13">
        <f t="shared" si="89"/>
        <v>67.238198209347814</v>
      </c>
      <c r="AL119" s="20">
        <f t="shared" si="58"/>
        <v>607.00879854794687</v>
      </c>
      <c r="AM119" s="59">
        <f t="shared" si="59"/>
        <v>900.34213188128024</v>
      </c>
      <c r="AN119" s="59">
        <f ca="1">AVERAGE(OFFSET($AM$3,0,0,'Données projet'!$E$10+1,1))-AVERAGE(OFFSET($H$3,0,0,'Données projet'!$E$10+1,1))</f>
        <v>413.81510455446738</v>
      </c>
      <c r="AO119" s="59">
        <f t="shared" si="90"/>
        <v>254.25036207346602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31.93210290502671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31.93210290502671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-1.1368683772161603E-13</v>
      </c>
      <c r="BE119" s="13">
        <f>BD119*VLOOKUP('Données projet'!$B$11,Paramètres!$A$1:$I$89,3,0)*VLOOKUP('Données projet'!$B$11,Paramètres!$A$1:$I$89,5,0)</f>
        <v>-1.0995790944434703E-13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295.35565287134125</v>
      </c>
      <c r="BJ119" s="59">
        <f t="shared" si="92"/>
        <v>244.451492444461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44.6096482975586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44.6096482975586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-1.1368683772161603E-13</v>
      </c>
      <c r="BZ119" s="13">
        <f>BY119*VLOOKUP('Données projet'!$B$12,Paramètres!$A$1:$I$89,3,0)*VLOOKUP('Données projet'!$B$12,Paramètres!$A$1:$I$89,5,0)</f>
        <v>-1.223725121235475E-13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324.61094137855798</v>
      </c>
      <c r="CE119" s="59">
        <f t="shared" si="94"/>
        <v>267.2998309535638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49.646221492444262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49.646221492444262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2.8421709430404007E-13</v>
      </c>
      <c r="CU119" s="17">
        <f>CT119*VLOOKUP('Données projet'!$B$13,Paramètres!$A$1:$I$89,3,0)*VLOOKUP('Données projet'!$B$13,Paramètres!$A$1:$I$89,5,0)</f>
        <v>1.69961822393816E-13</v>
      </c>
      <c r="CV119" s="13">
        <f t="shared" si="95"/>
        <v>2.4004382776176369E-12</v>
      </c>
      <c r="CW119" s="20">
        <f t="shared" si="67"/>
        <v>4.4767801741866136E-12</v>
      </c>
      <c r="CX119" s="59">
        <f t="shared" si="68"/>
        <v>293.33333333333781</v>
      </c>
      <c r="CY119" s="59">
        <f ca="1">AVERAGE(OFFSET($CX$3,0,0,'Données projet'!$E$13+1,1))-AVERAGE(OFFSET($H$3,0,0,'Données projet'!$E$13+1,1))</f>
        <v>319.9010109022521</v>
      </c>
      <c r="CZ119" s="59">
        <f t="shared" si="96"/>
        <v>441.82647565372287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39.990232318528939</v>
      </c>
      <c r="DG119" s="21">
        <f>EXP(-LN(2)/25)*DG118+(1-EXP(-LN(2)/25))/(LN(2)/25)*Calculateur!DB119*Calculateur!DD119*VLOOKUP('Données projet'!$B$13,Paramètres!$A$1:$I$89,3,0)*0.475*44/12</f>
        <v>11.033476719917502</v>
      </c>
      <c r="DH119" s="21">
        <f>EXP(-LN(2)/2)*DH118+(1-EXP(-LN(2)/2))/(LN(2)/2)*DB119*DE119*VLOOKUP('Données projet'!$B$13,Paramètres!$A$1:$I$89,3,0)*0.475*44/12</f>
        <v>7.4484429161170729E-9</v>
      </c>
      <c r="DI119" s="22">
        <f t="shared" si="69"/>
        <v>51.023709045894883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>
        <f>DO119*VLOOKUP('Données projet'!$B$14,Paramètres!$A$1:$I$89,3,0)*VLOOKUP('Données projet'!$B$14,Paramètres!$A$1:$I$89,5,0)</f>
        <v>0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229.61973863654862</v>
      </c>
      <c r="DU119" s="59">
        <f t="shared" si="98"/>
        <v>254.08208375594052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35.371066919311644</v>
      </c>
      <c r="EB119" s="21">
        <f>EXP(-LN(2)/25)*EB118+(1-EXP(-LN(2)/25))/(LN(2)/25)*Calculateur!DW119*Calculateur!DY119*VLOOKUP('Données projet'!$B$14,Paramètres!$A$1:$I$89,3,0)*0.475*44/12</f>
        <v>10.587951703533337</v>
      </c>
      <c r="EC119" s="21">
        <f>EXP(-LN(2)/2)*EC118+(1-EXP(-LN(2)/2))/(LN(2)/2)*DW119*DZ119*VLOOKUP('Données projet'!$B$14,Paramètres!$A$1:$I$89,3,0)*0.475*44/12</f>
        <v>1.678311272482769E-7</v>
      </c>
      <c r="ED119" s="22">
        <f t="shared" si="72"/>
        <v>45.959018790676105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1.9</v>
      </c>
      <c r="N120" s="13">
        <f>IF('Données projet'!$A$36&gt;35,N119+M120-V119,IF(A120&lt;'Données projet'!$A$36,$K$205^A120,IF(A120='Données projet'!$A$36,'Données projet'!$B$36,N119+M120-V119)))</f>
        <v>279.29999999999956</v>
      </c>
      <c r="O120" s="13">
        <f>N120*VLOOKUP('Données projet'!$B$9,Paramètres!$A$1:$I$89,3,0)*VLOOKUP('Données projet'!$B$9,Paramètres!$A$1:$I$89,5,0)</f>
        <v>252.71063999999961</v>
      </c>
      <c r="P120" s="13">
        <f t="shared" si="87"/>
        <v>61.166018800071058</v>
      </c>
      <c r="Q120" s="20">
        <f t="shared" si="107"/>
        <v>546.66851407678973</v>
      </c>
      <c r="R120" s="59">
        <f t="shared" si="55"/>
        <v>840.00184741012299</v>
      </c>
      <c r="S120" s="59">
        <f ca="1">AVERAGE(OFFSET($R$3,0,0,'Données projet'!$E$9+1,1))-AVERAGE(OFFSET($H$3,0,0,'Données projet'!$E$9+1,1))</f>
        <v>373.59295497283125</v>
      </c>
      <c r="T120" s="59">
        <f t="shared" si="88"/>
        <v>231.36959598460686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27.934525583625952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27.934525583625952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1.9</v>
      </c>
      <c r="AI120" s="13">
        <f>IF('Données projet'!$A$62&gt;35,AI119+AH120-AQ119,IF(A120&lt;'Données projet'!$A$62,$AF$205^A120,IF(A120='Données projet'!$A$62,'Données projet'!$B$62,AI119+AH120-AQ119)))</f>
        <v>279.29999999999956</v>
      </c>
      <c r="AJ120" s="13">
        <f>AI120*VLOOKUP('Données projet'!$B$10,Paramètres!$A$1:$I$89,3,0)*VLOOKUP('Données projet'!$B$10,Paramètres!$A$1:$I$89,5,0)</f>
        <v>283.21019999999959</v>
      </c>
      <c r="AK120" s="13">
        <f t="shared" si="89"/>
        <v>67.644965666898216</v>
      </c>
      <c r="AL120" s="20">
        <f t="shared" si="58"/>
        <v>611.07274686984704</v>
      </c>
      <c r="AM120" s="59">
        <f t="shared" si="59"/>
        <v>904.40608020318041</v>
      </c>
      <c r="AN120" s="59">
        <f ca="1">AVERAGE(OFFSET($AM$3,0,0,'Données projet'!$E$10+1,1))-AVERAGE(OFFSET($H$3,0,0,'Données projet'!$E$10+1,1))</f>
        <v>413.81510455446738</v>
      </c>
      <c r="AO120" s="59">
        <f t="shared" si="90"/>
        <v>254.25036207346602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31.305933843718748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31.305933843718748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-1.1368683772161603E-13</v>
      </c>
      <c r="BE120" s="13">
        <f>BD120*VLOOKUP('Données projet'!$B$11,Paramètres!$A$1:$I$89,3,0)*VLOOKUP('Données projet'!$B$11,Paramètres!$A$1:$I$89,5,0)</f>
        <v>-1.0995790944434703E-13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295.35565287134125</v>
      </c>
      <c r="BJ120" s="59">
        <f t="shared" si="92"/>
        <v>244.451492444461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43.73488030364225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43.73488030364225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-1.1368683772161603E-13</v>
      </c>
      <c r="BZ120" s="13">
        <f>BY120*VLOOKUP('Données projet'!$B$12,Paramètres!$A$1:$I$89,3,0)*VLOOKUP('Données projet'!$B$12,Paramètres!$A$1:$I$89,5,0)</f>
        <v>-1.223725121235475E-13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324.61094137855798</v>
      </c>
      <c r="CE120" s="59">
        <f t="shared" si="94"/>
        <v>267.2998309535638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48.672689370182518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48.672689370182518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2.8421709430404007E-13</v>
      </c>
      <c r="CU120" s="17">
        <f>CT120*VLOOKUP('Données projet'!$B$13,Paramètres!$A$1:$I$89,3,0)*VLOOKUP('Données projet'!$B$13,Paramètres!$A$1:$I$89,5,0)</f>
        <v>1.69961822393816E-13</v>
      </c>
      <c r="CV120" s="13">
        <f t="shared" si="95"/>
        <v>2.4004382776176369E-12</v>
      </c>
      <c r="CW120" s="20">
        <f t="shared" si="67"/>
        <v>4.4767801741866136E-12</v>
      </c>
      <c r="CX120" s="59">
        <f t="shared" si="68"/>
        <v>293.33333333333781</v>
      </c>
      <c r="CY120" s="59">
        <f ca="1">AVERAGE(OFFSET($CX$3,0,0,'Données projet'!$E$13+1,1))-AVERAGE(OFFSET($H$3,0,0,'Données projet'!$E$13+1,1))</f>
        <v>319.9010109022521</v>
      </c>
      <c r="CZ120" s="59">
        <f t="shared" si="96"/>
        <v>441.82647565372287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39.206048254395824</v>
      </c>
      <c r="DG120" s="21">
        <f>EXP(-LN(2)/25)*DG119+(1-EXP(-LN(2)/25))/(LN(2)/25)*Calculateur!DB120*Calculateur!DD120*VLOOKUP('Données projet'!$B$13,Paramètres!$A$1:$I$89,3,0)*0.475*44/12</f>
        <v>10.731765718786034</v>
      </c>
      <c r="DH120" s="21">
        <f>EXP(-LN(2)/2)*DH119+(1-EXP(-LN(2)/2))/(LN(2)/2)*DB120*DE120*VLOOKUP('Données projet'!$B$13,Paramètres!$A$1:$I$89,3,0)*0.475*44/12</f>
        <v>5.2668444952672855E-9</v>
      </c>
      <c r="DI120" s="22">
        <f t="shared" si="69"/>
        <v>49.937813978448702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>
        <f>DO120*VLOOKUP('Données projet'!$B$14,Paramètres!$A$1:$I$89,3,0)*VLOOKUP('Données projet'!$B$14,Paramètres!$A$1:$I$89,5,0)</f>
        <v>0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229.61973863654862</v>
      </c>
      <c r="DU120" s="59">
        <f t="shared" si="98"/>
        <v>254.08208375594052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34.677461871244489</v>
      </c>
      <c r="EB120" s="21">
        <f>EXP(-LN(2)/25)*EB119+(1-EXP(-LN(2)/25))/(LN(2)/25)*Calculateur!DW120*Calculateur!DY120*VLOOKUP('Données projet'!$B$14,Paramètres!$A$1:$I$89,3,0)*0.475*44/12</f>
        <v>10.298423607404036</v>
      </c>
      <c r="EC120" s="21">
        <f>EXP(-LN(2)/2)*EC119+(1-EXP(-LN(2)/2))/(LN(2)/2)*DW120*DZ120*VLOOKUP('Données projet'!$B$14,Paramètres!$A$1:$I$89,3,0)*0.475*44/12</f>
        <v>1.1867452817143896E-7</v>
      </c>
      <c r="ED120" s="22">
        <f t="shared" si="72"/>
        <v>44.97588559732305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1.9</v>
      </c>
      <c r="N121" s="13">
        <f>IF('Données projet'!$A$36&gt;35,N120+M121-V120,IF(A121&lt;'Données projet'!$A$36,$K$205^A121,IF(A121='Données projet'!$A$36,'Données projet'!$B$36,N120+M121-V120)))</f>
        <v>281.19999999999953</v>
      </c>
      <c r="O121" s="13">
        <f>N121*VLOOKUP('Données projet'!$B$9,Paramètres!$A$1:$I$89,3,0)*VLOOKUP('Données projet'!$B$9,Paramètres!$A$1:$I$89,5,0)</f>
        <v>254.42975999999956</v>
      </c>
      <c r="P121" s="13">
        <f t="shared" si="87"/>
        <v>61.53353546854914</v>
      </c>
      <c r="Q121" s="20">
        <f t="shared" si="107"/>
        <v>550.30273960772229</v>
      </c>
      <c r="R121" s="59">
        <f t="shared" si="55"/>
        <v>843.63607294105555</v>
      </c>
      <c r="S121" s="59">
        <f ca="1">AVERAGE(OFFSET($R$3,0,0,'Données projet'!$E$9+1,1))-AVERAGE(OFFSET($H$3,0,0,'Données projet'!$E$9+1,1))</f>
        <v>373.59295497283125</v>
      </c>
      <c r="T121" s="59">
        <f t="shared" si="88"/>
        <v>231.36959598460686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27.386746575309253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27.386746575309253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1.9</v>
      </c>
      <c r="AI121" s="13">
        <f>IF('Données projet'!$A$62&gt;35,AI120+AH121-AQ120,IF(A121&lt;'Données projet'!$A$62,$AF$205^A121,IF(A121='Données projet'!$A$62,'Données projet'!$B$62,AI120+AH121-AQ120)))</f>
        <v>281.19999999999953</v>
      </c>
      <c r="AJ121" s="13">
        <f>AI121*VLOOKUP('Données projet'!$B$10,Paramètres!$A$1:$I$89,3,0)*VLOOKUP('Données projet'!$B$10,Paramètres!$A$1:$I$89,5,0)</f>
        <v>285.1367999999996</v>
      </c>
      <c r="AK121" s="13">
        <f t="shared" si="89"/>
        <v>68.051411155895579</v>
      </c>
      <c r="AL121" s="20">
        <f t="shared" si="58"/>
        <v>615.1361344298507</v>
      </c>
      <c r="AM121" s="59">
        <f t="shared" si="59"/>
        <v>908.46946776318396</v>
      </c>
      <c r="AN121" s="59">
        <f ca="1">AVERAGE(OFFSET($AM$3,0,0,'Données projet'!$E$10+1,1))-AVERAGE(OFFSET($H$3,0,0,'Données projet'!$E$10+1,1))</f>
        <v>413.81510455446738</v>
      </c>
      <c r="AO121" s="59">
        <f t="shared" si="90"/>
        <v>254.25036207346602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30.692043575777621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30.692043575777621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-1.1368683772161603E-13</v>
      </c>
      <c r="BE121" s="13">
        <f>BD121*VLOOKUP('Données projet'!$B$11,Paramètres!$A$1:$I$89,3,0)*VLOOKUP('Données projet'!$B$11,Paramètres!$A$1:$I$89,5,0)</f>
        <v>-1.0995790944434703E-13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295.35565287134125</v>
      </c>
      <c r="BJ121" s="59">
        <f t="shared" si="92"/>
        <v>244.451492444461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42.877265976530808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42.877265976530808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-1.1368683772161603E-13</v>
      </c>
      <c r="BZ121" s="13">
        <f>BY121*VLOOKUP('Données projet'!$B$12,Paramètres!$A$1:$I$89,3,0)*VLOOKUP('Données projet'!$B$12,Paramètres!$A$1:$I$89,5,0)</f>
        <v>-1.223725121235475E-13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324.61094137855798</v>
      </c>
      <c r="CE121" s="59">
        <f t="shared" si="94"/>
        <v>267.2998309535638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47.718247619042366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47.718247619042366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2.8421709430404007E-13</v>
      </c>
      <c r="CU121" s="17">
        <f>CT121*VLOOKUP('Données projet'!$B$13,Paramètres!$A$1:$I$89,3,0)*VLOOKUP('Données projet'!$B$13,Paramètres!$A$1:$I$89,5,0)</f>
        <v>1.69961822393816E-13</v>
      </c>
      <c r="CV121" s="13">
        <f t="shared" si="95"/>
        <v>2.4004382776176369E-12</v>
      </c>
      <c r="CW121" s="20">
        <f t="shared" si="67"/>
        <v>4.4767801741866136E-12</v>
      </c>
      <c r="CX121" s="59">
        <f t="shared" si="68"/>
        <v>293.33333333333781</v>
      </c>
      <c r="CY121" s="59">
        <f ca="1">AVERAGE(OFFSET($CX$3,0,0,'Données projet'!$E$13+1,1))-AVERAGE(OFFSET($H$3,0,0,'Données projet'!$E$13+1,1))</f>
        <v>319.9010109022521</v>
      </c>
      <c r="CZ121" s="59">
        <f t="shared" si="96"/>
        <v>441.82647565372287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38.437241561455309</v>
      </c>
      <c r="DG121" s="21">
        <f>EXP(-LN(2)/25)*DG120+(1-EXP(-LN(2)/25))/(LN(2)/25)*Calculateur!DB121*Calculateur!DD121*VLOOKUP('Données projet'!$B$13,Paramètres!$A$1:$I$89,3,0)*0.475*44/12</f>
        <v>10.4383050208468</v>
      </c>
      <c r="DH121" s="21">
        <f>EXP(-LN(2)/2)*DH120+(1-EXP(-LN(2)/2))/(LN(2)/2)*DB121*DE121*VLOOKUP('Données projet'!$B$13,Paramètres!$A$1:$I$89,3,0)*0.475*44/12</f>
        <v>3.7242214580585369E-9</v>
      </c>
      <c r="DI121" s="22">
        <f t="shared" si="69"/>
        <v>48.875546586026331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>
        <f>DO121*VLOOKUP('Données projet'!$B$14,Paramètres!$A$1:$I$89,3,0)*VLOOKUP('Données projet'!$B$14,Paramètres!$A$1:$I$89,5,0)</f>
        <v>0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229.61973863654862</v>
      </c>
      <c r="DU121" s="59">
        <f t="shared" si="98"/>
        <v>254.08208375594052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33.997457995112619</v>
      </c>
      <c r="EB121" s="21">
        <f>EXP(-LN(2)/25)*EB120+(1-EXP(-LN(2)/25))/(LN(2)/25)*Calculateur!DW121*Calculateur!DY121*VLOOKUP('Données projet'!$B$14,Paramètres!$A$1:$I$89,3,0)*0.475*44/12</f>
        <v>10.016812672289012</v>
      </c>
      <c r="EC121" s="21">
        <f>EXP(-LN(2)/2)*EC120+(1-EXP(-LN(2)/2))/(LN(2)/2)*DW121*DZ121*VLOOKUP('Données projet'!$B$14,Paramètres!$A$1:$I$89,3,0)*0.475*44/12</f>
        <v>8.3915563624138462E-8</v>
      </c>
      <c r="ED121" s="22">
        <f t="shared" si="72"/>
        <v>44.014270751317198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1.9</v>
      </c>
      <c r="N122" s="13">
        <f>IF('Données projet'!$A$36&gt;35,N121+M122-V121,IF(A122&lt;'Données projet'!$A$36,$K$205^A122,IF(A122='Données projet'!$A$36,'Données projet'!$B$36,N121+M122-V121)))</f>
        <v>283.09999999999951</v>
      </c>
      <c r="O122" s="13">
        <f>N122*VLOOKUP('Données projet'!$B$9,Paramètres!$A$1:$I$89,3,0)*VLOOKUP('Données projet'!$B$9,Paramètres!$A$1:$I$89,5,0)</f>
        <v>256.14887999999951</v>
      </c>
      <c r="P122" s="13">
        <f t="shared" si="87"/>
        <v>61.900763201444228</v>
      </c>
      <c r="Q122" s="20">
        <f t="shared" si="107"/>
        <v>553.93646190918116</v>
      </c>
      <c r="R122" s="59">
        <f t="shared" si="55"/>
        <v>847.26979524251442</v>
      </c>
      <c r="S122" s="59">
        <f ca="1">AVERAGE(OFFSET($R$3,0,0,'Données projet'!$E$9+1,1))-AVERAGE(OFFSET($H$3,0,0,'Données projet'!$E$9+1,1))</f>
        <v>373.59295497283125</v>
      </c>
      <c r="T122" s="59">
        <f t="shared" si="88"/>
        <v>231.36959598460686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26.849709179233439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26.849709179233439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1.9</v>
      </c>
      <c r="AI122" s="13">
        <f>IF('Données projet'!$A$62&gt;35,AI121+AH122-AQ121,IF(A122&lt;'Données projet'!$A$62,$AF$205^A122,IF(A122='Données projet'!$A$62,'Données projet'!$B$62,AI121+AH122-AQ121)))</f>
        <v>283.09999999999951</v>
      </c>
      <c r="AJ122" s="13">
        <f>AI122*VLOOKUP('Données projet'!$B$10,Paramètres!$A$1:$I$89,3,0)*VLOOKUP('Données projet'!$B$10,Paramètres!$A$1:$I$89,5,0)</f>
        <v>287.06339999999955</v>
      </c>
      <c r="AK122" s="13">
        <f t="shared" si="89"/>
        <v>68.457537104109036</v>
      </c>
      <c r="AL122" s="20">
        <f t="shared" si="58"/>
        <v>619.19896545632253</v>
      </c>
      <c r="AM122" s="59">
        <f t="shared" si="59"/>
        <v>912.5322987896559</v>
      </c>
      <c r="AN122" s="59">
        <f ca="1">AVERAGE(OFFSET($AM$3,0,0,'Données projet'!$E$10+1,1))-AVERAGE(OFFSET($H$3,0,0,'Données projet'!$E$10+1,1))</f>
        <v>413.81510455446738</v>
      </c>
      <c r="AO122" s="59">
        <f t="shared" si="90"/>
        <v>254.25036207346602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30.090191321554727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30.090191321554727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-1.1368683772161603E-13</v>
      </c>
      <c r="BE122" s="13">
        <f>BD122*VLOOKUP('Données projet'!$B$11,Paramètres!$A$1:$I$89,3,0)*VLOOKUP('Données projet'!$B$11,Paramètres!$A$1:$I$89,5,0)</f>
        <v>-1.0995790944434703E-13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295.35565287134125</v>
      </c>
      <c r="BJ122" s="59">
        <f t="shared" si="92"/>
        <v>244.451492444461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42.036468943280937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42.036468943280937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-1.1368683772161603E-13</v>
      </c>
      <c r="BZ122" s="13">
        <f>BY122*VLOOKUP('Données projet'!$B$12,Paramètres!$A$1:$I$89,3,0)*VLOOKUP('Données projet'!$B$12,Paramètres!$A$1:$I$89,5,0)</f>
        <v>-1.223725121235475E-13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324.61094137855798</v>
      </c>
      <c r="CE122" s="59">
        <f t="shared" si="94"/>
        <v>267.2998309535638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46.782521888490088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46.782521888490088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2.8421709430404007E-13</v>
      </c>
      <c r="CU122" s="17">
        <f>CT122*VLOOKUP('Données projet'!$B$13,Paramètres!$A$1:$I$89,3,0)*VLOOKUP('Données projet'!$B$13,Paramètres!$A$1:$I$89,5,0)</f>
        <v>1.69961822393816E-13</v>
      </c>
      <c r="CV122" s="13">
        <f t="shared" si="95"/>
        <v>2.4004382776176369E-12</v>
      </c>
      <c r="CW122" s="20">
        <f t="shared" si="67"/>
        <v>4.4767801741866136E-12</v>
      </c>
      <c r="CX122" s="59">
        <f t="shared" si="68"/>
        <v>293.33333333333781</v>
      </c>
      <c r="CY122" s="59">
        <f ca="1">AVERAGE(OFFSET($CX$3,0,0,'Données projet'!$E$13+1,1))-AVERAGE(OFFSET($H$3,0,0,'Données projet'!$E$13+1,1))</f>
        <v>319.9010109022521</v>
      </c>
      <c r="CZ122" s="59">
        <f t="shared" si="96"/>
        <v>441.82647565372287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37.68351069883758</v>
      </c>
      <c r="DG122" s="21">
        <f>EXP(-LN(2)/25)*DG121+(1-EXP(-LN(2)/25))/(LN(2)/25)*Calculateur!DB122*Calculateur!DD122*VLOOKUP('Données projet'!$B$13,Paramètres!$A$1:$I$89,3,0)*0.475*44/12</f>
        <v>10.15286902112514</v>
      </c>
      <c r="DH122" s="21">
        <f>EXP(-LN(2)/2)*DH121+(1-EXP(-LN(2)/2))/(LN(2)/2)*DB122*DE122*VLOOKUP('Données projet'!$B$13,Paramètres!$A$1:$I$89,3,0)*0.475*44/12</f>
        <v>2.6334222476336432E-9</v>
      </c>
      <c r="DI122" s="22">
        <f t="shared" si="69"/>
        <v>47.836379722596142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>
        <f>DO122*VLOOKUP('Données projet'!$B$14,Paramètres!$A$1:$I$89,3,0)*VLOOKUP('Données projet'!$B$14,Paramètres!$A$1:$I$89,5,0)</f>
        <v>0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229.61973863654862</v>
      </c>
      <c r="DU122" s="59">
        <f t="shared" si="98"/>
        <v>254.08208375594052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33.330788580230291</v>
      </c>
      <c r="EB122" s="21">
        <f>EXP(-LN(2)/25)*EB121+(1-EXP(-LN(2)/25))/(LN(2)/25)*Calculateur!DW122*Calculateur!DY122*VLOOKUP('Données projet'!$B$14,Paramètres!$A$1:$I$89,3,0)*0.475*44/12</f>
        <v>9.7429024030039848</v>
      </c>
      <c r="EC122" s="21">
        <f>EXP(-LN(2)/2)*EC121+(1-EXP(-LN(2)/2))/(LN(2)/2)*DW122*DZ122*VLOOKUP('Données projet'!$B$14,Paramètres!$A$1:$I$89,3,0)*0.475*44/12</f>
        <v>5.9337264085719485E-8</v>
      </c>
      <c r="ED122" s="22">
        <f t="shared" si="72"/>
        <v>43.073691042571539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285</v>
      </c>
      <c r="L123" s="12">
        <f>VLOOKUP(A123,'Données projet'!$A$35:$I$55,9,0)</f>
        <v>1.9</v>
      </c>
      <c r="M123" s="12">
        <f t="array" ref="M123">INDEX(L:L,MIN(IF(ISNUMBER(L123:L319),ROW(L123:L319),"")))</f>
        <v>1.9</v>
      </c>
      <c r="N123" s="13">
        <f>IF('Données projet'!$A$36&gt;35,N122+M123-V122,IF(A123&lt;'Données projet'!$A$36,$K$205^A123,IF(A123='Données projet'!$A$36,'Données projet'!$B$36,N122+M123-V122)))</f>
        <v>284.99999999999949</v>
      </c>
      <c r="O123" s="13">
        <f>N123*VLOOKUP('Données projet'!$B$9,Paramètres!$A$1:$I$89,3,0)*VLOOKUP('Données projet'!$B$9,Paramètres!$A$1:$I$89,5,0)</f>
        <v>257.86799999999954</v>
      </c>
      <c r="P123" s="13">
        <f t="shared" si="87"/>
        <v>62.267704162827414</v>
      </c>
      <c r="Q123" s="20">
        <f t="shared" si="107"/>
        <v>557.5696847502569</v>
      </c>
      <c r="R123" s="59">
        <f t="shared" si="55"/>
        <v>850.90301808359027</v>
      </c>
      <c r="S123" s="59">
        <f ca="1">AVERAGE(OFFSET($R$3,0,0,'Données projet'!$E$9+1,1))-AVERAGE(OFFSET($H$3,0,0,'Données projet'!$E$9+1,1))</f>
        <v>373.59295497283125</v>
      </c>
      <c r="T123" s="59">
        <f t="shared" si="88"/>
        <v>231.36959598460686</v>
      </c>
      <c r="U123" s="15">
        <f>IF(ISNA(VLOOKUP(A123,'Données projet'!$A$35:$I$55,3,0)),0,VLOOKUP(A123,'Données projet'!$A$35:$I$55,3,0))</f>
        <v>18</v>
      </c>
      <c r="V123" s="15">
        <f>IF(ISNA(VLOOKUP(A123,'Données projet'!$A$35:$I$55,4,0)),0,VLOOKUP(A123,'Données projet'!$A$35:$I$55,4,0))</f>
        <v>285</v>
      </c>
      <c r="W123" s="16">
        <f>IF(ISNA(VLOOKUP(A123,'Données projet'!$A$35:$I$55,5,0)),0%,VLOOKUP(A123,'Données projet'!$A$35:$I$55,5,0)*VLOOKUP('Données projet'!$B$9,Paramètres!$A$1:$I$89,7,0))</f>
        <v>0.34400000000000003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124.38571268424876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124.38571268424876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285</v>
      </c>
      <c r="AG123" s="12">
        <f>VLOOKUP(A123,'Données projet'!$A$61:$I$81,9,0)</f>
        <v>1.9</v>
      </c>
      <c r="AH123" s="12">
        <f t="array" ref="AH123">INDEX(AG:AG,MIN(IF(ISNUMBER(AG123:AG319),ROW(AG123:AG319),"")))</f>
        <v>1.9</v>
      </c>
      <c r="AI123" s="13">
        <f>IF('Données projet'!$A$62&gt;35,AI122+AH123-AQ122,IF(A123&lt;'Données projet'!$A$62,$AF$205^A123,IF(A123='Données projet'!$A$62,'Données projet'!$B$62,AI122+AH123-AQ122)))</f>
        <v>284.99999999999949</v>
      </c>
      <c r="AJ123" s="13">
        <f>AI123*VLOOKUP('Données projet'!$B$10,Paramètres!$A$1:$I$89,3,0)*VLOOKUP('Données projet'!$B$10,Paramètres!$A$1:$I$89,5,0)</f>
        <v>288.9899999999995</v>
      </c>
      <c r="AK123" s="13">
        <f t="shared" si="89"/>
        <v>68.86334590483672</v>
      </c>
      <c r="AL123" s="20">
        <f t="shared" si="58"/>
        <v>623.26124411758963</v>
      </c>
      <c r="AM123" s="59">
        <f t="shared" si="59"/>
        <v>916.594577450923</v>
      </c>
      <c r="AN123" s="59">
        <f ca="1">AVERAGE(OFFSET($AM$3,0,0,'Données projet'!$E$10+1,1))-AVERAGE(OFFSET($H$3,0,0,'Données projet'!$E$10+1,1))</f>
        <v>413.81510455446738</v>
      </c>
      <c r="AO123" s="59">
        <f t="shared" si="90"/>
        <v>254.25036207346602</v>
      </c>
      <c r="AP123" s="15">
        <f>IF(ISNA(VLOOKUP(A123,'Données projet'!$A$61:$I$81,3,0)),0,VLOOKUP(A123,'Données projet'!$A$61:$I$81,3,0))</f>
        <v>18</v>
      </c>
      <c r="AQ123" s="15">
        <f>IF(ISNA(VLOOKUP(A123,'Données projet'!$A$61:$I$81,4,0)),0,VLOOKUP(A123,'Données projet'!$A$61:$I$81,4,0))</f>
        <v>285</v>
      </c>
      <c r="AR123" s="16">
        <f>IF(ISNA(VLOOKUP(A123,'Données projet'!$A$61:$I$81,5,0)),0%,VLOOKUP(A123,'Données projet'!$A$61:$I$81,5,0)*VLOOKUP('Données projet'!$B$10,Paramètres!$A$1:$I$89,7,0))</f>
        <v>0.34400000000000003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139.39778145648569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139.39778145648569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-1.1368683772161603E-13</v>
      </c>
      <c r="BE123" s="13">
        <f>BD123*VLOOKUP('Données projet'!$B$11,Paramètres!$A$1:$I$89,3,0)*VLOOKUP('Données projet'!$B$11,Paramètres!$A$1:$I$89,5,0)</f>
        <v>-1.0995790944434703E-13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295.35565287134125</v>
      </c>
      <c r="BJ123" s="59">
        <f t="shared" si="92"/>
        <v>244.451492444461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41.212159427017539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41.212159427017539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-1.1368683772161603E-13</v>
      </c>
      <c r="BZ123" s="13">
        <f>BY123*VLOOKUP('Données projet'!$B$12,Paramètres!$A$1:$I$89,3,0)*VLOOKUP('Données projet'!$B$12,Paramètres!$A$1:$I$89,5,0)</f>
        <v>-1.223725121235475E-13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324.61094137855798</v>
      </c>
      <c r="CE123" s="59">
        <f t="shared" si="94"/>
        <v>267.2998309535638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45.865145168777602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45.865145168777602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2.8421709430404007E-13</v>
      </c>
      <c r="CU123" s="17">
        <f>CT123*VLOOKUP('Données projet'!$B$13,Paramètres!$A$1:$I$89,3,0)*VLOOKUP('Données projet'!$B$13,Paramètres!$A$1:$I$89,5,0)</f>
        <v>1.69961822393816E-13</v>
      </c>
      <c r="CV123" s="13">
        <f t="shared" si="95"/>
        <v>2.4004382776176369E-12</v>
      </c>
      <c r="CW123" s="20">
        <f t="shared" si="67"/>
        <v>4.4767801741866136E-12</v>
      </c>
      <c r="CX123" s="59">
        <f t="shared" si="68"/>
        <v>293.33333333333781</v>
      </c>
      <c r="CY123" s="59">
        <f ca="1">AVERAGE(OFFSET($CX$3,0,0,'Données projet'!$E$13+1,1))-AVERAGE(OFFSET($H$3,0,0,'Données projet'!$E$13+1,1))</f>
        <v>319.9010109022521</v>
      </c>
      <c r="CZ123" s="59">
        <f t="shared" si="96"/>
        <v>441.82647565372287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36.944560038705355</v>
      </c>
      <c r="DG123" s="21">
        <f>EXP(-LN(2)/25)*DG122+(1-EXP(-LN(2)/25))/(LN(2)/25)*Calculateur!DB123*Calculateur!DD123*VLOOKUP('Données projet'!$B$13,Paramètres!$A$1:$I$89,3,0)*0.475*44/12</f>
        <v>9.8752382838262953</v>
      </c>
      <c r="DH123" s="21">
        <f>EXP(-LN(2)/2)*DH122+(1-EXP(-LN(2)/2))/(LN(2)/2)*DB123*DE123*VLOOKUP('Données projet'!$B$13,Paramètres!$A$1:$I$89,3,0)*0.475*44/12</f>
        <v>1.8621107290292688E-9</v>
      </c>
      <c r="DI123" s="22">
        <f t="shared" si="69"/>
        <v>46.819798324393766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>
        <f>DO123*VLOOKUP('Données projet'!$B$14,Paramètres!$A$1:$I$89,3,0)*VLOOKUP('Données projet'!$B$14,Paramètres!$A$1:$I$89,5,0)</f>
        <v>0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229.61973863654862</v>
      </c>
      <c r="DU123" s="59">
        <f t="shared" si="98"/>
        <v>254.08208375594052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32.677192145945611</v>
      </c>
      <c r="EB123" s="21">
        <f>EXP(-LN(2)/25)*EB122+(1-EXP(-LN(2)/25))/(LN(2)/25)*Calculateur!DW123*Calculateur!DY123*VLOOKUP('Données projet'!$B$14,Paramètres!$A$1:$I$89,3,0)*0.475*44/12</f>
        <v>9.4764822244368716</v>
      </c>
      <c r="EC123" s="21">
        <f>EXP(-LN(2)/2)*EC122+(1-EXP(-LN(2)/2))/(LN(2)/2)*DW123*DZ123*VLOOKUP('Données projet'!$B$14,Paramètres!$A$1:$I$89,3,0)*0.475*44/12</f>
        <v>4.1957781812069238E-8</v>
      </c>
      <c r="ED123" s="22">
        <f t="shared" si="72"/>
        <v>42.153674412340266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-5.1159076974727213E-13</v>
      </c>
      <c r="O124" s="13">
        <f>N124*VLOOKUP('Données projet'!$B$9,Paramètres!$A$1:$I$89,3,0)*VLOOKUP('Données projet'!$B$9,Paramètres!$A$1:$I$89,5,0)</f>
        <v>-4.6288732846733184E-13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373.59295497283125</v>
      </c>
      <c r="T124" s="59">
        <f t="shared" si="88"/>
        <v>231.36959598460686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121.94658472630405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121.94658472630405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-5.1159076974727213E-13</v>
      </c>
      <c r="AJ124" s="13">
        <f>AI124*VLOOKUP('Données projet'!$B$10,Paramètres!$A$1:$I$89,3,0)*VLOOKUP('Données projet'!$B$10,Paramètres!$A$1:$I$89,5,0)</f>
        <v>-5.1875304052373401E-13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413.81510455446738</v>
      </c>
      <c r="AO124" s="59">
        <f t="shared" si="90"/>
        <v>254.25036207346602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136.66427598637526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136.66427598637526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-1.1368683772161603E-13</v>
      </c>
      <c r="BE124" s="13">
        <f>BD124*VLOOKUP('Données projet'!$B$11,Paramètres!$A$1:$I$89,3,0)*VLOOKUP('Données projet'!$B$11,Paramètres!$A$1:$I$89,5,0)</f>
        <v>-1.0995790944434703E-13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295.35565287134125</v>
      </c>
      <c r="BJ124" s="59">
        <f t="shared" si="92"/>
        <v>244.451492444461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40.404014117588908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40.404014117588908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-1.1368683772161603E-13</v>
      </c>
      <c r="BZ124" s="13">
        <f>BY124*VLOOKUP('Données projet'!$B$12,Paramètres!$A$1:$I$89,3,0)*VLOOKUP('Données projet'!$B$12,Paramètres!$A$1:$I$89,5,0)</f>
        <v>-1.223725121235475E-13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324.61094137855798</v>
      </c>
      <c r="CE124" s="59">
        <f t="shared" si="94"/>
        <v>267.2998309535638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44.965757646994128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44.965757646994128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2.8421709430404007E-13</v>
      </c>
      <c r="CU124" s="17">
        <f>CT124*VLOOKUP('Données projet'!$B$13,Paramètres!$A$1:$I$89,3,0)*VLOOKUP('Données projet'!$B$13,Paramètres!$A$1:$I$89,5,0)</f>
        <v>1.69961822393816E-13</v>
      </c>
      <c r="CV124" s="13">
        <f t="shared" si="95"/>
        <v>2.4004382776176369E-12</v>
      </c>
      <c r="CW124" s="20">
        <f t="shared" si="67"/>
        <v>4.4767801741866136E-12</v>
      </c>
      <c r="CX124" s="59">
        <f t="shared" si="68"/>
        <v>293.33333333333781</v>
      </c>
      <c r="CY124" s="59">
        <f ca="1">AVERAGE(OFFSET($CX$3,0,0,'Données projet'!$E$13+1,1))-AVERAGE(OFFSET($H$3,0,0,'Données projet'!$E$13+1,1))</f>
        <v>319.9010109022521</v>
      </c>
      <c r="CZ124" s="59">
        <f t="shared" si="96"/>
        <v>441.82647565372287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36.220099750302921</v>
      </c>
      <c r="DG124" s="21">
        <f>EXP(-LN(2)/25)*DG123+(1-EXP(-LN(2)/25))/(LN(2)/25)*Calculateur!DB124*Calculateur!DD124*VLOOKUP('Données projet'!$B$13,Paramètres!$A$1:$I$89,3,0)*0.475*44/12</f>
        <v>9.6051993736388539</v>
      </c>
      <c r="DH124" s="21">
        <f>EXP(-LN(2)/2)*DH123+(1-EXP(-LN(2)/2))/(LN(2)/2)*DB124*DE124*VLOOKUP('Données projet'!$B$13,Paramètres!$A$1:$I$89,3,0)*0.475*44/12</f>
        <v>1.3167111238168218E-9</v>
      </c>
      <c r="DI124" s="22">
        <f t="shared" si="69"/>
        <v>45.825299125258489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>
        <f>DO124*VLOOKUP('Données projet'!$B$14,Paramètres!$A$1:$I$89,3,0)*VLOOKUP('Données projet'!$B$14,Paramètres!$A$1:$I$89,5,0)</f>
        <v>0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229.61973863654862</v>
      </c>
      <c r="DU124" s="59">
        <f t="shared" si="98"/>
        <v>254.08208375594052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32.036412339082794</v>
      </c>
      <c r="EB124" s="21">
        <f>EXP(-LN(2)/25)*EB123+(1-EXP(-LN(2)/25))/(LN(2)/25)*Calculateur!DW124*Calculateur!DY124*VLOOKUP('Données projet'!$B$14,Paramètres!$A$1:$I$89,3,0)*0.475*44/12</f>
        <v>9.2173473196631033</v>
      </c>
      <c r="EC124" s="21">
        <f>EXP(-LN(2)/2)*EC123+(1-EXP(-LN(2)/2))/(LN(2)/2)*DW124*DZ124*VLOOKUP('Données projet'!$B$14,Paramètres!$A$1:$I$89,3,0)*0.475*44/12</f>
        <v>2.9668632042859749E-8</v>
      </c>
      <c r="ED124" s="22">
        <f t="shared" si="72"/>
        <v>41.253759688414533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-5.1159076974727213E-13</v>
      </c>
      <c r="O125" s="13">
        <f>N125*VLOOKUP('Données projet'!$B$9,Paramètres!$A$1:$I$89,3,0)*VLOOKUP('Données projet'!$B$9,Paramètres!$A$1:$I$89,5,0)</f>
        <v>-4.6288732846733184E-13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373.59295497283125</v>
      </c>
      <c r="T125" s="59">
        <f t="shared" si="88"/>
        <v>231.36959598460686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119.55528657989349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119.55528657989349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-5.1159076974727213E-13</v>
      </c>
      <c r="AJ125" s="13">
        <f>AI125*VLOOKUP('Données projet'!$B$10,Paramètres!$A$1:$I$89,3,0)*VLOOKUP('Données projet'!$B$10,Paramètres!$A$1:$I$89,5,0)</f>
        <v>-5.1875304052373401E-13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413.81510455446738</v>
      </c>
      <c r="AO125" s="59">
        <f t="shared" si="90"/>
        <v>254.25036207346602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133.98437289125997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133.98437289125997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-1.1368683772161603E-13</v>
      </c>
      <c r="BE125" s="13">
        <f>BD125*VLOOKUP('Données projet'!$B$11,Paramètres!$A$1:$I$89,3,0)*VLOOKUP('Données projet'!$B$11,Paramètres!$A$1:$I$89,5,0)</f>
        <v>-1.0995790944434703E-13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295.35565287134125</v>
      </c>
      <c r="BJ125" s="59">
        <f t="shared" si="92"/>
        <v>244.451492444461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39.611716044758204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39.611716044758204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-1.1368683772161603E-13</v>
      </c>
      <c r="BZ125" s="13">
        <f>BY125*VLOOKUP('Données projet'!$B$12,Paramètres!$A$1:$I$89,3,0)*VLOOKUP('Données projet'!$B$12,Paramètres!$A$1:$I$89,5,0)</f>
        <v>-1.223725121235475E-13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324.61094137855798</v>
      </c>
      <c r="CE125" s="59">
        <f t="shared" si="94"/>
        <v>267.2998309535638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44.084006565940605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44.084006565940605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2.8421709430404007E-13</v>
      </c>
      <c r="CU125" s="17">
        <f>CT125*VLOOKUP('Données projet'!$B$13,Paramètres!$A$1:$I$89,3,0)*VLOOKUP('Données projet'!$B$13,Paramètres!$A$1:$I$89,5,0)</f>
        <v>1.69961822393816E-13</v>
      </c>
      <c r="CV125" s="13">
        <f t="shared" si="95"/>
        <v>2.4004382776176369E-12</v>
      </c>
      <c r="CW125" s="20">
        <f t="shared" si="67"/>
        <v>4.4767801741866136E-12</v>
      </c>
      <c r="CX125" s="59">
        <f t="shared" si="68"/>
        <v>293.33333333333781</v>
      </c>
      <c r="CY125" s="59">
        <f ca="1">AVERAGE(OFFSET($CX$3,0,0,'Données projet'!$E$13+1,1))-AVERAGE(OFFSET($H$3,0,0,'Données projet'!$E$13+1,1))</f>
        <v>319.9010109022521</v>
      </c>
      <c r="CZ125" s="59">
        <f t="shared" si="96"/>
        <v>441.82647565372287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35.509845686278915</v>
      </c>
      <c r="DG125" s="21">
        <f>EXP(-LN(2)/25)*DG124+(1-EXP(-LN(2)/25))/(LN(2)/25)*Calculateur!DB125*Calculateur!DD125*VLOOKUP('Données projet'!$B$13,Paramètres!$A$1:$I$89,3,0)*0.475*44/12</f>
        <v>9.3425446916512165</v>
      </c>
      <c r="DH125" s="21">
        <f>EXP(-LN(2)/2)*DH124+(1-EXP(-LN(2)/2))/(LN(2)/2)*DB125*DE125*VLOOKUP('Données projet'!$B$13,Paramètres!$A$1:$I$89,3,0)*0.475*44/12</f>
        <v>9.3105536451463453E-10</v>
      </c>
      <c r="DI125" s="22">
        <f t="shared" si="69"/>
        <v>44.852390378861188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>
        <f>DO125*VLOOKUP('Données projet'!$B$14,Paramètres!$A$1:$I$89,3,0)*VLOOKUP('Données projet'!$B$14,Paramètres!$A$1:$I$89,5,0)</f>
        <v>0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229.61973863654862</v>
      </c>
      <c r="DU125" s="59">
        <f t="shared" si="98"/>
        <v>254.08208375594052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31.408197833395466</v>
      </c>
      <c r="EB125" s="21">
        <f>EXP(-LN(2)/25)*EB124+(1-EXP(-LN(2)/25))/(LN(2)/25)*Calculateur!DW125*Calculateur!DY125*VLOOKUP('Données projet'!$B$14,Paramètres!$A$1:$I$89,3,0)*0.475*44/12</f>
        <v>8.965298472487687</v>
      </c>
      <c r="EC125" s="21">
        <f>EXP(-LN(2)/2)*EC124+(1-EXP(-LN(2)/2))/(LN(2)/2)*DW125*DZ125*VLOOKUP('Données projet'!$B$14,Paramètres!$A$1:$I$89,3,0)*0.475*44/12</f>
        <v>2.0978890906034622E-8</v>
      </c>
      <c r="ED125" s="22">
        <f t="shared" si="72"/>
        <v>40.373496326862039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-5.1159076974727213E-13</v>
      </c>
      <c r="O126" s="13">
        <f>N126*VLOOKUP('Données projet'!$B$9,Paramètres!$A$1:$I$89,3,0)*VLOOKUP('Données projet'!$B$9,Paramètres!$A$1:$I$89,5,0)</f>
        <v>-4.6288732846733184E-13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373.59295497283125</v>
      </c>
      <c r="T126" s="59">
        <f t="shared" si="88"/>
        <v>231.36959598460686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117.2108803315862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117.2108803315862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-5.1159076974727213E-13</v>
      </c>
      <c r="AJ126" s="13">
        <f>AI126*VLOOKUP('Données projet'!$B$10,Paramètres!$A$1:$I$89,3,0)*VLOOKUP('Données projet'!$B$10,Paramètres!$A$1:$I$89,5,0)</f>
        <v>-5.1875304052373401E-13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413.81510455446738</v>
      </c>
      <c r="AO126" s="59">
        <f t="shared" si="90"/>
        <v>254.25036207346602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131.35702106126041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131.35702106126041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-1.1368683772161603E-13</v>
      </c>
      <c r="BE126" s="13">
        <f>BD126*VLOOKUP('Données projet'!$B$11,Paramètres!$A$1:$I$89,3,0)*VLOOKUP('Données projet'!$B$11,Paramètres!$A$1:$I$89,5,0)</f>
        <v>-1.0995790944434703E-13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295.35565287134125</v>
      </c>
      <c r="BJ126" s="59">
        <f t="shared" si="92"/>
        <v>244.451492444461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38.834954453881608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38.834954453881608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-1.1368683772161603E-13</v>
      </c>
      <c r="BZ126" s="13">
        <f>BY126*VLOOKUP('Données projet'!$B$12,Paramètres!$A$1:$I$89,3,0)*VLOOKUP('Données projet'!$B$12,Paramètres!$A$1:$I$89,5,0)</f>
        <v>-1.223725121235475E-13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324.61094137855798</v>
      </c>
      <c r="CE126" s="59">
        <f t="shared" si="94"/>
        <v>267.2998309535638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43.219546085771491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43.219546085771491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2.8421709430404007E-13</v>
      </c>
      <c r="CU126" s="17">
        <f>CT126*VLOOKUP('Données projet'!$B$13,Paramètres!$A$1:$I$89,3,0)*VLOOKUP('Données projet'!$B$13,Paramètres!$A$1:$I$89,5,0)</f>
        <v>1.69961822393816E-13</v>
      </c>
      <c r="CV126" s="13">
        <f t="shared" si="95"/>
        <v>2.4004382776176369E-12</v>
      </c>
      <c r="CW126" s="20">
        <f t="shared" si="67"/>
        <v>4.4767801741866136E-12</v>
      </c>
      <c r="CX126" s="59">
        <f t="shared" si="68"/>
        <v>293.33333333333781</v>
      </c>
      <c r="CY126" s="59">
        <f ca="1">AVERAGE(OFFSET($CX$3,0,0,'Données projet'!$E$13+1,1))-AVERAGE(OFFSET($H$3,0,0,'Données projet'!$E$13+1,1))</f>
        <v>319.9010109022521</v>
      </c>
      <c r="CZ126" s="59">
        <f t="shared" si="96"/>
        <v>441.82647565372287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34.813519271238221</v>
      </c>
      <c r="DG126" s="21">
        <f>EXP(-LN(2)/25)*DG125+(1-EXP(-LN(2)/25))/(LN(2)/25)*Calculateur!DB126*Calculateur!DD126*VLOOKUP('Données projet'!$B$13,Paramètres!$A$1:$I$89,3,0)*0.475*44/12</f>
        <v>9.0870723157549413</v>
      </c>
      <c r="DH126" s="21">
        <f>EXP(-LN(2)/2)*DH125+(1-EXP(-LN(2)/2))/(LN(2)/2)*DB126*DE126*VLOOKUP('Données projet'!$B$13,Paramètres!$A$1:$I$89,3,0)*0.475*44/12</f>
        <v>6.5835556190841099E-10</v>
      </c>
      <c r="DI126" s="22">
        <f t="shared" si="69"/>
        <v>43.900591587651512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>
        <f>DO126*VLOOKUP('Données projet'!$B$14,Paramètres!$A$1:$I$89,3,0)*VLOOKUP('Données projet'!$B$14,Paramètres!$A$1:$I$89,5,0)</f>
        <v>0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229.61973863654862</v>
      </c>
      <c r="DU126" s="59">
        <f t="shared" si="98"/>
        <v>254.08208375594052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30.792302230991652</v>
      </c>
      <c r="EB126" s="21">
        <f>EXP(-LN(2)/25)*EB125+(1-EXP(-LN(2)/25))/(LN(2)/25)*Calculateur!DW126*Calculateur!DY126*VLOOKUP('Données projet'!$B$14,Paramètres!$A$1:$I$89,3,0)*0.475*44/12</f>
        <v>8.7201419142929542</v>
      </c>
      <c r="EC126" s="21">
        <f>EXP(-LN(2)/2)*EC125+(1-EXP(-LN(2)/2))/(LN(2)/2)*DW126*DZ126*VLOOKUP('Données projet'!$B$14,Paramètres!$A$1:$I$89,3,0)*0.475*44/12</f>
        <v>1.4834316021429876E-8</v>
      </c>
      <c r="ED126" s="22">
        <f t="shared" si="72"/>
        <v>39.512444160118918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-5.1159076974727213E-13</v>
      </c>
      <c r="O127" s="13">
        <f>N127*VLOOKUP('Données projet'!$B$9,Paramètres!$A$1:$I$89,3,0)*VLOOKUP('Données projet'!$B$9,Paramètres!$A$1:$I$89,5,0)</f>
        <v>-4.6288732846733184E-13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373.59295497283125</v>
      </c>
      <c r="T127" s="59">
        <f t="shared" si="88"/>
        <v>231.36959598460686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114.91244645986158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114.91244645986158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-5.1159076974727213E-13</v>
      </c>
      <c r="AJ127" s="13">
        <f>AI127*VLOOKUP('Données projet'!$B$10,Paramètres!$A$1:$I$89,3,0)*VLOOKUP('Données projet'!$B$10,Paramètres!$A$1:$I$89,5,0)</f>
        <v>-5.1875304052373401E-13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413.81510455446738</v>
      </c>
      <c r="AO127" s="59">
        <f t="shared" si="90"/>
        <v>254.25036207346602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128.78118999812077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128.78118999812077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-1.1368683772161603E-13</v>
      </c>
      <c r="BE127" s="13">
        <f>BD127*VLOOKUP('Données projet'!$B$11,Paramètres!$A$1:$I$89,3,0)*VLOOKUP('Données projet'!$B$11,Paramètres!$A$1:$I$89,5,0)</f>
        <v>-1.0995790944434703E-13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295.35565287134125</v>
      </c>
      <c r="BJ127" s="59">
        <f t="shared" si="92"/>
        <v>244.451492444461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38.07342468402431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38.07342468402431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-1.1368683772161603E-13</v>
      </c>
      <c r="BZ127" s="13">
        <f>BY127*VLOOKUP('Données projet'!$B$12,Paramètres!$A$1:$I$89,3,0)*VLOOKUP('Données projet'!$B$12,Paramètres!$A$1:$I$89,5,0)</f>
        <v>-1.223725121235475E-13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324.61094137855798</v>
      </c>
      <c r="CE127" s="59">
        <f t="shared" si="94"/>
        <v>267.2998309535638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42.372037148349662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42.372037148349662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2.8421709430404007E-13</v>
      </c>
      <c r="CU127" s="17">
        <f>CT127*VLOOKUP('Données projet'!$B$13,Paramètres!$A$1:$I$89,3,0)*VLOOKUP('Données projet'!$B$13,Paramètres!$A$1:$I$89,5,0)</f>
        <v>1.69961822393816E-13</v>
      </c>
      <c r="CV127" s="13">
        <f t="shared" si="95"/>
        <v>2.4004382776176369E-12</v>
      </c>
      <c r="CW127" s="20">
        <f t="shared" si="67"/>
        <v>4.4767801741866136E-12</v>
      </c>
      <c r="CX127" s="59">
        <f t="shared" si="68"/>
        <v>293.33333333333781</v>
      </c>
      <c r="CY127" s="59">
        <f ca="1">AVERAGE(OFFSET($CX$3,0,0,'Données projet'!$E$13+1,1))-AVERAGE(OFFSET($H$3,0,0,'Données projet'!$E$13+1,1))</f>
        <v>319.9010109022521</v>
      </c>
      <c r="CZ127" s="59">
        <f t="shared" si="96"/>
        <v>441.82647565372287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34.130847392479296</v>
      </c>
      <c r="DG127" s="21">
        <f>EXP(-LN(2)/25)*DG126+(1-EXP(-LN(2)/25))/(LN(2)/25)*Calculateur!DB127*Calculateur!DD127*VLOOKUP('Données projet'!$B$13,Paramètres!$A$1:$I$89,3,0)*0.475*44/12</f>
        <v>8.8385858454122577</v>
      </c>
      <c r="DH127" s="21">
        <f>EXP(-LN(2)/2)*DH126+(1-EXP(-LN(2)/2))/(LN(2)/2)*DB127*DE127*VLOOKUP('Données projet'!$B$13,Paramètres!$A$1:$I$89,3,0)*0.475*44/12</f>
        <v>4.6552768225731737E-10</v>
      </c>
      <c r="DI127" s="22">
        <f t="shared" si="69"/>
        <v>42.969433238357077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>
        <f>DO127*VLOOKUP('Données projet'!$B$14,Paramètres!$A$1:$I$89,3,0)*VLOOKUP('Données projet'!$B$14,Paramètres!$A$1:$I$89,5,0)</f>
        <v>0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229.61973863654862</v>
      </c>
      <c r="DU127" s="59">
        <f t="shared" si="98"/>
        <v>254.08208375594052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30.188483965691752</v>
      </c>
      <c r="EB127" s="21">
        <f>EXP(-LN(2)/25)*EB126+(1-EXP(-LN(2)/25))/(LN(2)/25)*Calculateur!DW127*Calculateur!DY127*VLOOKUP('Données projet'!$B$14,Paramètres!$A$1:$I$89,3,0)*0.475*44/12</f>
        <v>8.4816891750742798</v>
      </c>
      <c r="EC127" s="21">
        <f>EXP(-LN(2)/2)*EC126+(1-EXP(-LN(2)/2))/(LN(2)/2)*DW127*DZ127*VLOOKUP('Données projet'!$B$14,Paramètres!$A$1:$I$89,3,0)*0.475*44/12</f>
        <v>1.0489445453017313E-8</v>
      </c>
      <c r="ED127" s="22">
        <f t="shared" si="72"/>
        <v>38.670173151255476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-5.1159076974727213E-13</v>
      </c>
      <c r="O128" s="13">
        <f>N128*VLOOKUP('Données projet'!$B$9,Paramètres!$A$1:$I$89,3,0)*VLOOKUP('Données projet'!$B$9,Paramètres!$A$1:$I$89,5,0)</f>
        <v>-4.6288732846733184E-13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373.59295497283125</v>
      </c>
      <c r="T128" s="59">
        <f t="shared" si="88"/>
        <v>231.36959598460686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112.65908347445526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112.65908347445526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-5.1159076974727213E-13</v>
      </c>
      <c r="AJ128" s="13">
        <f>AI128*VLOOKUP('Données projet'!$B$10,Paramètres!$A$1:$I$89,3,0)*VLOOKUP('Données projet'!$B$10,Paramètres!$A$1:$I$89,5,0)</f>
        <v>-5.1875304052373401E-13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413.81510455446738</v>
      </c>
      <c r="AO128" s="59">
        <f t="shared" si="90"/>
        <v>254.25036207346602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126.25586941102748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126.25586941102748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-1.1368683772161603E-13</v>
      </c>
      <c r="BE128" s="13">
        <f>BD128*VLOOKUP('Données projet'!$B$11,Paramètres!$A$1:$I$89,3,0)*VLOOKUP('Données projet'!$B$11,Paramètres!$A$1:$I$89,5,0)</f>
        <v>-1.0995790944434703E-13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295.35565287134125</v>
      </c>
      <c r="BJ128" s="59">
        <f t="shared" si="92"/>
        <v>244.451492444461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37.326828048466616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37.326828048466616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-1.1368683772161603E-13</v>
      </c>
      <c r="BZ128" s="13">
        <f>BY128*VLOOKUP('Données projet'!$B$12,Paramètres!$A$1:$I$89,3,0)*VLOOKUP('Données projet'!$B$12,Paramètres!$A$1:$I$89,5,0)</f>
        <v>-1.223725121235475E-13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324.61094137855798</v>
      </c>
      <c r="CE128" s="59">
        <f t="shared" si="94"/>
        <v>267.2998309535638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41.541147344261262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41.541147344261262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2.8421709430404007E-13</v>
      </c>
      <c r="CU128" s="17">
        <f>CT128*VLOOKUP('Données projet'!$B$13,Paramètres!$A$1:$I$89,3,0)*VLOOKUP('Données projet'!$B$13,Paramètres!$A$1:$I$89,5,0)</f>
        <v>1.69961822393816E-13</v>
      </c>
      <c r="CV128" s="13">
        <f t="shared" si="95"/>
        <v>2.4004382776176369E-12</v>
      </c>
      <c r="CW128" s="20">
        <f t="shared" si="67"/>
        <v>4.4767801741866136E-12</v>
      </c>
      <c r="CX128" s="59">
        <f t="shared" si="68"/>
        <v>293.33333333333781</v>
      </c>
      <c r="CY128" s="59">
        <f ca="1">AVERAGE(OFFSET($CX$3,0,0,'Données projet'!$E$13+1,1))-AVERAGE(OFFSET($H$3,0,0,'Données projet'!$E$13+1,1))</f>
        <v>319.9010109022521</v>
      </c>
      <c r="CZ128" s="59">
        <f t="shared" si="96"/>
        <v>441.82647565372287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33.461562292874106</v>
      </c>
      <c r="DG128" s="21">
        <f>EXP(-LN(2)/25)*DG127+(1-EXP(-LN(2)/25))/(LN(2)/25)*Calculateur!DB128*Calculateur!DD128*VLOOKUP('Données projet'!$B$13,Paramètres!$A$1:$I$89,3,0)*0.475*44/12</f>
        <v>8.5968942506684307</v>
      </c>
      <c r="DH128" s="21">
        <f>EXP(-LN(2)/2)*DH127+(1-EXP(-LN(2)/2))/(LN(2)/2)*DB128*DE128*VLOOKUP('Données projet'!$B$13,Paramètres!$A$1:$I$89,3,0)*0.475*44/12</f>
        <v>3.2917778095420555E-10</v>
      </c>
      <c r="DI128" s="22">
        <f t="shared" si="69"/>
        <v>42.058456543871714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>
        <f>DO128*VLOOKUP('Données projet'!$B$14,Paramètres!$A$1:$I$89,3,0)*VLOOKUP('Données projet'!$B$14,Paramètres!$A$1:$I$89,5,0)</f>
        <v>0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229.61973863654862</v>
      </c>
      <c r="DU128" s="59">
        <f t="shared" si="98"/>
        <v>254.08208375594052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29.596506208281607</v>
      </c>
      <c r="EB128" s="21">
        <f>EXP(-LN(2)/25)*EB127+(1-EXP(-LN(2)/25))/(LN(2)/25)*Calculateur!DW128*Calculateur!DY128*VLOOKUP('Données projet'!$B$14,Paramètres!$A$1:$I$89,3,0)*0.475*44/12</f>
        <v>8.2497569385492255</v>
      </c>
      <c r="EC128" s="21">
        <f>EXP(-LN(2)/2)*EC127+(1-EXP(-LN(2)/2))/(LN(2)/2)*DW128*DZ128*VLOOKUP('Données projet'!$B$14,Paramètres!$A$1:$I$89,3,0)*0.475*44/12</f>
        <v>7.4171580107149397E-9</v>
      </c>
      <c r="ED128" s="22">
        <f t="shared" si="72"/>
        <v>37.846263154247993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-5.1159076974727213E-13</v>
      </c>
      <c r="O129" s="13">
        <f>N129*VLOOKUP('Données projet'!$B$9,Paramètres!$A$1:$I$89,3,0)*VLOOKUP('Données projet'!$B$9,Paramètres!$A$1:$I$89,5,0)</f>
        <v>-4.6288732846733184E-13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373.59295497283125</v>
      </c>
      <c r="T129" s="59">
        <f t="shared" si="88"/>
        <v>231.36959598460686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110.44990756277704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110.44990756277704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-5.1159076974727213E-13</v>
      </c>
      <c r="AJ129" s="13">
        <f>AI129*VLOOKUP('Données projet'!$B$10,Paramètres!$A$1:$I$89,3,0)*VLOOKUP('Données projet'!$B$10,Paramètres!$A$1:$I$89,5,0)</f>
        <v>-5.1875304052373401E-13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413.81510455446738</v>
      </c>
      <c r="AO129" s="59">
        <f t="shared" si="90"/>
        <v>254.25036207346602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123.78006882035361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123.78006882035361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-1.1368683772161603E-13</v>
      </c>
      <c r="BE129" s="13">
        <f>BD129*VLOOKUP('Données projet'!$B$11,Paramètres!$A$1:$I$89,3,0)*VLOOKUP('Données projet'!$B$11,Paramètres!$A$1:$I$89,5,0)</f>
        <v>-1.0995790944434703E-13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295.35565287134125</v>
      </c>
      <c r="BJ129" s="59">
        <f t="shared" si="92"/>
        <v>244.451492444461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36.594871717553232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36.594871717553232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-1.1368683772161603E-13</v>
      </c>
      <c r="BZ129" s="13">
        <f>BY129*VLOOKUP('Données projet'!$B$12,Paramètres!$A$1:$I$89,3,0)*VLOOKUP('Données projet'!$B$12,Paramètres!$A$1:$I$89,5,0)</f>
        <v>-1.223725121235475E-13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324.61094137855798</v>
      </c>
      <c r="CE129" s="59">
        <f t="shared" si="94"/>
        <v>267.2998309535638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40.726550782438295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40.726550782438295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2.8421709430404007E-13</v>
      </c>
      <c r="CU129" s="17">
        <f>CT129*VLOOKUP('Données projet'!$B$13,Paramètres!$A$1:$I$89,3,0)*VLOOKUP('Données projet'!$B$13,Paramètres!$A$1:$I$89,5,0)</f>
        <v>1.69961822393816E-13</v>
      </c>
      <c r="CV129" s="13">
        <f t="shared" si="95"/>
        <v>2.4004382776176369E-12</v>
      </c>
      <c r="CW129" s="20">
        <f t="shared" si="67"/>
        <v>4.4767801741866136E-12</v>
      </c>
      <c r="CX129" s="59">
        <f t="shared" si="68"/>
        <v>293.33333333333781</v>
      </c>
      <c r="CY129" s="59">
        <f ca="1">AVERAGE(OFFSET($CX$3,0,0,'Données projet'!$E$13+1,1))-AVERAGE(OFFSET($H$3,0,0,'Données projet'!$E$13+1,1))</f>
        <v>319.9010109022521</v>
      </c>
      <c r="CZ129" s="59">
        <f t="shared" si="96"/>
        <v>441.82647565372287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32.805401465848568</v>
      </c>
      <c r="DG129" s="21">
        <f>EXP(-LN(2)/25)*DG128+(1-EXP(-LN(2)/25))/(LN(2)/25)*Calculateur!DB129*Calculateur!DD129*VLOOKUP('Données projet'!$B$13,Paramètres!$A$1:$I$89,3,0)*0.475*44/12</f>
        <v>8.361811725292883</v>
      </c>
      <c r="DH129" s="21">
        <f>EXP(-LN(2)/2)*DH128+(1-EXP(-LN(2)/2))/(LN(2)/2)*DB129*DE129*VLOOKUP('Données projet'!$B$13,Paramètres!$A$1:$I$89,3,0)*0.475*44/12</f>
        <v>2.3276384112865871E-10</v>
      </c>
      <c r="DI129" s="22">
        <f t="shared" si="69"/>
        <v>41.167213191374216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>
        <f>DO129*VLOOKUP('Données projet'!$B$14,Paramètres!$A$1:$I$89,3,0)*VLOOKUP('Données projet'!$B$14,Paramètres!$A$1:$I$89,5,0)</f>
        <v>0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229.61973863654862</v>
      </c>
      <c r="DU129" s="59">
        <f t="shared" si="98"/>
        <v>254.08208375594052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29.016136773623497</v>
      </c>
      <c r="EB129" s="21">
        <f>EXP(-LN(2)/25)*EB128+(1-EXP(-LN(2)/25))/(LN(2)/25)*Calculateur!DW129*Calculateur!DY129*VLOOKUP('Données projet'!$B$14,Paramètres!$A$1:$I$89,3,0)*0.475*44/12</f>
        <v>8.0241669012287353</v>
      </c>
      <c r="EC129" s="21">
        <f>EXP(-LN(2)/2)*EC128+(1-EXP(-LN(2)/2))/(LN(2)/2)*DW129*DZ129*VLOOKUP('Données projet'!$B$14,Paramètres!$A$1:$I$89,3,0)*0.475*44/12</f>
        <v>5.2447227265086572E-9</v>
      </c>
      <c r="ED129" s="22">
        <f t="shared" si="72"/>
        <v>37.040303680096955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-5.1159076974727213E-13</v>
      </c>
      <c r="O130" s="13">
        <f>N130*VLOOKUP('Données projet'!$B$9,Paramètres!$A$1:$I$89,3,0)*VLOOKUP('Données projet'!$B$9,Paramètres!$A$1:$I$89,5,0)</f>
        <v>-4.6288732846733184E-13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373.59295497283125</v>
      </c>
      <c r="T130" s="59">
        <f t="shared" si="88"/>
        <v>231.36959598460686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108.28405224326258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108.28405224326258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-5.1159076974727213E-13</v>
      </c>
      <c r="AJ130" s="13">
        <f>AI130*VLOOKUP('Données projet'!$B$10,Paramètres!$A$1:$I$89,3,0)*VLOOKUP('Données projet'!$B$10,Paramètres!$A$1:$I$89,5,0)</f>
        <v>-5.1875304052373401E-13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413.81510455446738</v>
      </c>
      <c r="AO130" s="59">
        <f t="shared" si="90"/>
        <v>254.25036207346602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121.3528171691736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121.3528171691736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-1.1368683772161603E-13</v>
      </c>
      <c r="BE130" s="13">
        <f>BD130*VLOOKUP('Données projet'!$B$11,Paramètres!$A$1:$I$89,3,0)*VLOOKUP('Données projet'!$B$11,Paramètres!$A$1:$I$89,5,0)</f>
        <v>-1.0995790944434703E-13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295.35565287134125</v>
      </c>
      <c r="BJ130" s="59">
        <f t="shared" si="92"/>
        <v>244.451492444461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35.877268603839781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35.877268603839781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-1.1368683772161603E-13</v>
      </c>
      <c r="BZ130" s="13">
        <f>BY130*VLOOKUP('Données projet'!$B$12,Paramètres!$A$1:$I$89,3,0)*VLOOKUP('Données projet'!$B$12,Paramètres!$A$1:$I$89,5,0)</f>
        <v>-1.223725121235475E-13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324.61094137855798</v>
      </c>
      <c r="CE130" s="59">
        <f t="shared" si="94"/>
        <v>267.2998309535638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39.92792796233784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39.92792796233784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2.8421709430404007E-13</v>
      </c>
      <c r="CU130" s="17">
        <f>CT130*VLOOKUP('Données projet'!$B$13,Paramètres!$A$1:$I$89,3,0)*VLOOKUP('Données projet'!$B$13,Paramètres!$A$1:$I$89,5,0)</f>
        <v>1.69961822393816E-13</v>
      </c>
      <c r="CV130" s="13">
        <f t="shared" si="95"/>
        <v>2.4004382776176369E-12</v>
      </c>
      <c r="CW130" s="20">
        <f t="shared" si="67"/>
        <v>4.4767801741866136E-12</v>
      </c>
      <c r="CX130" s="59">
        <f t="shared" si="68"/>
        <v>293.33333333333781</v>
      </c>
      <c r="CY130" s="59">
        <f ca="1">AVERAGE(OFFSET($CX$3,0,0,'Données projet'!$E$13+1,1))-AVERAGE(OFFSET($H$3,0,0,'Données projet'!$E$13+1,1))</f>
        <v>319.9010109022521</v>
      </c>
      <c r="CZ130" s="59">
        <f t="shared" si="96"/>
        <v>441.82647565372287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32.162107552422412</v>
      </c>
      <c r="DG130" s="21">
        <f>EXP(-LN(2)/25)*DG129+(1-EXP(-LN(2)/25))/(LN(2)/25)*Calculateur!DB130*Calculateur!DD130*VLOOKUP('Données projet'!$B$13,Paramètres!$A$1:$I$89,3,0)*0.475*44/12</f>
        <v>8.1331575439361821</v>
      </c>
      <c r="DH130" s="21">
        <f>EXP(-LN(2)/2)*DH129+(1-EXP(-LN(2)/2))/(LN(2)/2)*DB130*DE130*VLOOKUP('Données projet'!$B$13,Paramètres!$A$1:$I$89,3,0)*0.475*44/12</f>
        <v>1.645888904771028E-10</v>
      </c>
      <c r="DI130" s="22">
        <f t="shared" si="69"/>
        <v>40.295265096523181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>
        <f>DO130*VLOOKUP('Données projet'!$B$14,Paramètres!$A$1:$I$89,3,0)*VLOOKUP('Données projet'!$B$14,Paramètres!$A$1:$I$89,5,0)</f>
        <v>0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229.61973863654862</v>
      </c>
      <c r="DU130" s="59">
        <f t="shared" si="98"/>
        <v>254.08208375594052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28.447148029588629</v>
      </c>
      <c r="EB130" s="21">
        <f>EXP(-LN(2)/25)*EB129+(1-EXP(-LN(2)/25))/(LN(2)/25)*Calculateur!DW130*Calculateur!DY130*VLOOKUP('Données projet'!$B$14,Paramètres!$A$1:$I$89,3,0)*0.475*44/12</f>
        <v>7.8047456353420381</v>
      </c>
      <c r="EC130" s="21">
        <f>EXP(-LN(2)/2)*EC129+(1-EXP(-LN(2)/2))/(LN(2)/2)*DW130*DZ130*VLOOKUP('Données projet'!$B$14,Paramètres!$A$1:$I$89,3,0)*0.475*44/12</f>
        <v>3.7085790053574703E-9</v>
      </c>
      <c r="ED130" s="22">
        <f t="shared" si="72"/>
        <v>36.251893668639248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-5.1159076974727213E-13</v>
      </c>
      <c r="O131" s="13">
        <f>N131*VLOOKUP('Données projet'!$B$9,Paramètres!$A$1:$I$89,3,0)*VLOOKUP('Données projet'!$B$9,Paramètres!$A$1:$I$89,5,0)</f>
        <v>-4.6288732846733184E-13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373.59295497283125</v>
      </c>
      <c r="T131" s="59">
        <f t="shared" si="88"/>
        <v>231.36959598460686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106.1606680255225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106.1606680255225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-5.1159076974727213E-13</v>
      </c>
      <c r="AJ131" s="13">
        <f>AI131*VLOOKUP('Données projet'!$B$10,Paramètres!$A$1:$I$89,3,0)*VLOOKUP('Données projet'!$B$10,Paramètres!$A$1:$I$89,5,0)</f>
        <v>-5.1875304052373401E-13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413.81510455446738</v>
      </c>
      <c r="AO131" s="59">
        <f t="shared" si="90"/>
        <v>254.25036207346602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118.97316244239592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118.97316244239592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-1.1368683772161603E-13</v>
      </c>
      <c r="BE131" s="13">
        <f>BD131*VLOOKUP('Données projet'!$B$11,Paramètres!$A$1:$I$89,3,0)*VLOOKUP('Données projet'!$B$11,Paramètres!$A$1:$I$89,5,0)</f>
        <v>-1.0995790944434703E-13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295.35565287134125</v>
      </c>
      <c r="BJ131" s="59">
        <f t="shared" si="92"/>
        <v>244.451492444461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35.173737249491566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35.173737249491566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-1.1368683772161603E-13</v>
      </c>
      <c r="BZ131" s="13">
        <f>BY131*VLOOKUP('Données projet'!$B$12,Paramètres!$A$1:$I$89,3,0)*VLOOKUP('Données projet'!$B$12,Paramètres!$A$1:$I$89,5,0)</f>
        <v>-1.223725121235475E-13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324.61094137855798</v>
      </c>
      <c r="CE131" s="59">
        <f t="shared" si="94"/>
        <v>267.2998309535638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39.144965648627732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39.144965648627732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2.8421709430404007E-13</v>
      </c>
      <c r="CU131" s="17">
        <f>CT131*VLOOKUP('Données projet'!$B$13,Paramètres!$A$1:$I$89,3,0)*VLOOKUP('Données projet'!$B$13,Paramètres!$A$1:$I$89,5,0)</f>
        <v>1.69961822393816E-13</v>
      </c>
      <c r="CV131" s="13">
        <f t="shared" si="95"/>
        <v>2.4004382776176369E-12</v>
      </c>
      <c r="CW131" s="20">
        <f t="shared" si="67"/>
        <v>4.4767801741866136E-12</v>
      </c>
      <c r="CX131" s="59">
        <f t="shared" si="68"/>
        <v>293.33333333333781</v>
      </c>
      <c r="CY131" s="59">
        <f ca="1">AVERAGE(OFFSET($CX$3,0,0,'Données projet'!$E$13+1,1))-AVERAGE(OFFSET($H$3,0,0,'Données projet'!$E$13+1,1))</f>
        <v>319.9010109022521</v>
      </c>
      <c r="CZ131" s="59">
        <f t="shared" si="96"/>
        <v>441.82647565372287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31.531428240268003</v>
      </c>
      <c r="DG131" s="21">
        <f>EXP(-LN(2)/25)*DG130+(1-EXP(-LN(2)/25))/(LN(2)/25)*Calculateur!DB131*Calculateur!DD131*VLOOKUP('Données projet'!$B$13,Paramètres!$A$1:$I$89,3,0)*0.475*44/12</f>
        <v>7.9107559231930802</v>
      </c>
      <c r="DH131" s="21">
        <f>EXP(-LN(2)/2)*DH130+(1-EXP(-LN(2)/2))/(LN(2)/2)*DB131*DE131*VLOOKUP('Données projet'!$B$13,Paramètres!$A$1:$I$89,3,0)*0.475*44/12</f>
        <v>1.1638192056432937E-10</v>
      </c>
      <c r="DI131" s="22">
        <f t="shared" si="69"/>
        <v>39.442184163577465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>
        <f>DO131*VLOOKUP('Données projet'!$B$14,Paramètres!$A$1:$I$89,3,0)*VLOOKUP('Données projet'!$B$14,Paramètres!$A$1:$I$89,5,0)</f>
        <v>0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229.61973863654862</v>
      </c>
      <c r="DU131" s="59">
        <f t="shared" si="98"/>
        <v>254.08208375594052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27.889316807775419</v>
      </c>
      <c r="EB131" s="21">
        <f>EXP(-LN(2)/25)*EB130+(1-EXP(-LN(2)/25))/(LN(2)/25)*Calculateur!DW131*Calculateur!DY131*VLOOKUP('Données projet'!$B$14,Paramètres!$A$1:$I$89,3,0)*0.475*44/12</f>
        <v>7.5913244555098753</v>
      </c>
      <c r="EC131" s="21">
        <f>EXP(-LN(2)/2)*EC130+(1-EXP(-LN(2)/2))/(LN(2)/2)*DW131*DZ131*VLOOKUP('Données projet'!$B$14,Paramètres!$A$1:$I$89,3,0)*0.475*44/12</f>
        <v>2.622361363254329E-9</v>
      </c>
      <c r="ED131" s="22">
        <f t="shared" si="72"/>
        <v>35.480641265907657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-5.1159076974727213E-13</v>
      </c>
      <c r="O132" s="13">
        <f>N132*VLOOKUP('Données projet'!$B$9,Paramètres!$A$1:$I$89,3,0)*VLOOKUP('Données projet'!$B$9,Paramètres!$A$1:$I$89,5,0)</f>
        <v>-4.6288732846733184E-13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373.59295497283125</v>
      </c>
      <c r="T132" s="59">
        <f t="shared" si="88"/>
        <v>231.36959598460686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104.07892207715581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104.07892207715581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-5.1159076974727213E-13</v>
      </c>
      <c r="AJ132" s="13">
        <f>AI132*VLOOKUP('Données projet'!$B$10,Paramètres!$A$1:$I$89,3,0)*VLOOKUP('Données projet'!$B$10,Paramètres!$A$1:$I$89,5,0)</f>
        <v>-5.1875304052373401E-13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413.81510455446738</v>
      </c>
      <c r="AO132" s="59">
        <f t="shared" si="90"/>
        <v>254.25036207346602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116.64017129336428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116.64017129336428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-1.1368683772161603E-13</v>
      </c>
      <c r="BE132" s="13">
        <f>BD132*VLOOKUP('Données projet'!$B$11,Paramètres!$A$1:$I$89,3,0)*VLOOKUP('Données projet'!$B$11,Paramètres!$A$1:$I$89,5,0)</f>
        <v>-1.0995790944434703E-13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295.35565287134125</v>
      </c>
      <c r="BJ132" s="59">
        <f t="shared" si="92"/>
        <v>244.451492444461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34.484001715890365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34.484001715890365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-1.1368683772161603E-13</v>
      </c>
      <c r="BZ132" s="13">
        <f>BY132*VLOOKUP('Données projet'!$B$12,Paramètres!$A$1:$I$89,3,0)*VLOOKUP('Données projet'!$B$12,Paramètres!$A$1:$I$89,5,0)</f>
        <v>-1.223725121235475E-13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324.61094137855798</v>
      </c>
      <c r="CE132" s="59">
        <f t="shared" si="94"/>
        <v>267.2998309535638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38.377356748329625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38.377356748329625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2.8421709430404007E-13</v>
      </c>
      <c r="CU132" s="17">
        <f>CT132*VLOOKUP('Données projet'!$B$13,Paramètres!$A$1:$I$89,3,0)*VLOOKUP('Données projet'!$B$13,Paramètres!$A$1:$I$89,5,0)</f>
        <v>1.69961822393816E-13</v>
      </c>
      <c r="CV132" s="13">
        <f t="shared" si="95"/>
        <v>2.4004382776176369E-12</v>
      </c>
      <c r="CW132" s="20">
        <f t="shared" ref="CW132:CW153" si="121">(CU132+CV132)*0.475*44/12</f>
        <v>4.4767801741866136E-12</v>
      </c>
      <c r="CX132" s="59">
        <f t="shared" ref="CX132:CX195" si="122">CW132+(CO132+CP132)*44/12</f>
        <v>293.33333333333781</v>
      </c>
      <c r="CY132" s="59">
        <f ca="1">AVERAGE(OFFSET($CX$3,0,0,'Données projet'!$E$13+1,1))-AVERAGE(OFFSET($H$3,0,0,'Données projet'!$E$13+1,1))</f>
        <v>319.9010109022521</v>
      </c>
      <c r="CZ132" s="59">
        <f t="shared" si="96"/>
        <v>441.82647565372287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30.913116164748544</v>
      </c>
      <c r="DG132" s="21">
        <f>EXP(-LN(2)/25)*DG131+(1-EXP(-LN(2)/25))/(LN(2)/25)*Calculateur!DB132*Calculateur!DD132*VLOOKUP('Données projet'!$B$13,Paramètres!$A$1:$I$89,3,0)*0.475*44/12</f>
        <v>7.6944358864647917</v>
      </c>
      <c r="DH132" s="21">
        <f>EXP(-LN(2)/2)*DH131+(1-EXP(-LN(2)/2))/(LN(2)/2)*DB132*DE132*VLOOKUP('Données projet'!$B$13,Paramètres!$A$1:$I$89,3,0)*0.475*44/12</f>
        <v>8.2294445238551413E-11</v>
      </c>
      <c r="DI132" s="22">
        <f t="shared" ref="DI132:DI153" si="123">SUM(DF132:DH132)</f>
        <v>38.607552051295627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>
        <f>DO132*VLOOKUP('Données projet'!$B$14,Paramètres!$A$1:$I$89,3,0)*VLOOKUP('Données projet'!$B$14,Paramètres!$A$1:$I$89,5,0)</f>
        <v>0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229.61973863654862</v>
      </c>
      <c r="DU132" s="59">
        <f t="shared" si="98"/>
        <v>254.08208375594052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27.342424315978519</v>
      </c>
      <c r="EB132" s="21">
        <f>EXP(-LN(2)/25)*EB131+(1-EXP(-LN(2)/25))/(LN(2)/25)*Calculateur!DW132*Calculateur!DY132*VLOOKUP('Données projet'!$B$14,Paramètres!$A$1:$I$89,3,0)*0.475*44/12</f>
        <v>7.3837392890635547</v>
      </c>
      <c r="EC132" s="21">
        <f>EXP(-LN(2)/2)*EC131+(1-EXP(-LN(2)/2))/(LN(2)/2)*DW132*DZ132*VLOOKUP('Données projet'!$B$14,Paramètres!$A$1:$I$89,3,0)*0.475*44/12</f>
        <v>1.8542895026787353E-9</v>
      </c>
      <c r="ED132" s="22">
        <f t="shared" ref="ED132:ED153" si="126">SUM(EA132:EC132)</f>
        <v>34.726163606896364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-5.1159076974727213E-13</v>
      </c>
      <c r="O133" s="13">
        <f>N133*VLOOKUP('Données projet'!$B$9,Paramètres!$A$1:$I$89,3,0)*VLOOKUP('Données projet'!$B$9,Paramètres!$A$1:$I$89,5,0)</f>
        <v>-4.6288732846733184E-13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373.59295497283125</v>
      </c>
      <c r="T133" s="59">
        <f t="shared" ref="T133:T196" si="142">$T$3</f>
        <v>231.36959598460686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102.03799789709694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102.03799789709694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-5.1159076974727213E-13</v>
      </c>
      <c r="AJ133" s="13">
        <f>AI133*VLOOKUP('Données projet'!$B$10,Paramètres!$A$1:$I$89,3,0)*VLOOKUP('Données projet'!$B$10,Paramètres!$A$1:$I$89,5,0)</f>
        <v>-5.1875304052373401E-13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413.81510455446738</v>
      </c>
      <c r="AO133" s="59">
        <f t="shared" ref="AO133:AO196" si="144">$AO$3</f>
        <v>254.25036207346602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114.35292867778105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114.35292867778105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-1.1368683772161603E-13</v>
      </c>
      <c r="BE133" s="13">
        <f>BD133*VLOOKUP('Données projet'!$B$11,Paramètres!$A$1:$I$89,3,0)*VLOOKUP('Données projet'!$B$11,Paramètres!$A$1:$I$89,5,0)</f>
        <v>-1.0995790944434703E-13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295.35565287134125</v>
      </c>
      <c r="BJ133" s="59">
        <f t="shared" ref="BJ133:BJ196" si="146">$BJ$3</f>
        <v>244.451492444461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33.807791475405949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33.807791475405949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-1.1368683772161603E-13</v>
      </c>
      <c r="BZ133" s="13">
        <f>BY133*VLOOKUP('Données projet'!$B$12,Paramètres!$A$1:$I$89,3,0)*VLOOKUP('Données projet'!$B$12,Paramètres!$A$1:$I$89,5,0)</f>
        <v>-1.223725121235475E-13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324.61094137855798</v>
      </c>
      <c r="CE133" s="59">
        <f t="shared" ref="CE133:CE196" si="148">$CE$3</f>
        <v>267.2998309535638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37.624800190371161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37.624800190371161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2.8421709430404007E-13</v>
      </c>
      <c r="CU133" s="17">
        <f>CT133*VLOOKUP('Données projet'!$B$13,Paramètres!$A$1:$I$89,3,0)*VLOOKUP('Données projet'!$B$13,Paramètres!$A$1:$I$89,5,0)</f>
        <v>1.69961822393816E-13</v>
      </c>
      <c r="CV133" s="13">
        <f t="shared" ref="CV133:CV153" si="149">EXP(-1.0587+0.8836*LN(CU133)+0.284)</f>
        <v>2.4004382776176369E-12</v>
      </c>
      <c r="CW133" s="20">
        <f t="shared" si="121"/>
        <v>4.4767801741866136E-12</v>
      </c>
      <c r="CX133" s="59">
        <f t="shared" si="122"/>
        <v>293.33333333333781</v>
      </c>
      <c r="CY133" s="59">
        <f ca="1">AVERAGE(OFFSET($CX$3,0,0,'Données projet'!$E$13+1,1))-AVERAGE(OFFSET($H$3,0,0,'Données projet'!$E$13+1,1))</f>
        <v>319.9010109022521</v>
      </c>
      <c r="CZ133" s="59">
        <f t="shared" ref="CZ133:CZ196" si="150">$CZ$3</f>
        <v>441.82647565372287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30.306928811896896</v>
      </c>
      <c r="DG133" s="21">
        <f>EXP(-LN(2)/25)*DG132+(1-EXP(-LN(2)/25))/(LN(2)/25)*Calculateur!DB133*Calculateur!DD133*VLOOKUP('Données projet'!$B$13,Paramètres!$A$1:$I$89,3,0)*0.475*44/12</f>
        <v>7.4840311325166144</v>
      </c>
      <c r="DH133" s="21">
        <f>EXP(-LN(2)/2)*DH132+(1-EXP(-LN(2)/2))/(LN(2)/2)*DB133*DE133*VLOOKUP('Données projet'!$B$13,Paramètres!$A$1:$I$89,3,0)*0.475*44/12</f>
        <v>5.8190960282164697E-11</v>
      </c>
      <c r="DI133" s="22">
        <f t="shared" si="123"/>
        <v>37.790959944471702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>
        <f>DO133*VLOOKUP('Données projet'!$B$14,Paramètres!$A$1:$I$89,3,0)*VLOOKUP('Données projet'!$B$14,Paramètres!$A$1:$I$89,5,0)</f>
        <v>0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229.61973863654862</v>
      </c>
      <c r="DU133" s="59">
        <f t="shared" ref="DU133:DU196" si="152">$DU$3</f>
        <v>254.08208375594052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26.806256052374273</v>
      </c>
      <c r="EB133" s="21">
        <f>EXP(-LN(2)/25)*EB132+(1-EXP(-LN(2)/25))/(LN(2)/25)*Calculateur!DW133*Calculateur!DY133*VLOOKUP('Données projet'!$B$14,Paramètres!$A$1:$I$89,3,0)*0.475*44/12</f>
        <v>7.1818305499101385</v>
      </c>
      <c r="EC133" s="21">
        <f>EXP(-LN(2)/2)*EC132+(1-EXP(-LN(2)/2))/(LN(2)/2)*DW133*DZ133*VLOOKUP('Données projet'!$B$14,Paramètres!$A$1:$I$89,3,0)*0.475*44/12</f>
        <v>1.3111806816271647E-9</v>
      </c>
      <c r="ED133" s="22">
        <f t="shared" si="126"/>
        <v>33.98808660359559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-5.1159076974727213E-13</v>
      </c>
      <c r="O134" s="13">
        <f>N134*VLOOKUP('Données projet'!$B$9,Paramètres!$A$1:$I$89,3,0)*VLOOKUP('Données projet'!$B$9,Paramètres!$A$1:$I$89,5,0)</f>
        <v>-4.6288732846733184E-13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373.59295497283125</v>
      </c>
      <c r="T134" s="59">
        <f t="shared" si="142"/>
        <v>231.36959598460686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100.03709499536819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100.03709499536819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-5.1159076974727213E-13</v>
      </c>
      <c r="AJ134" s="13">
        <f>AI134*VLOOKUP('Données projet'!$B$10,Paramètres!$A$1:$I$89,3,0)*VLOOKUP('Données projet'!$B$10,Paramètres!$A$1:$I$89,5,0)</f>
        <v>-5.1875304052373401E-13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413.81510455446738</v>
      </c>
      <c r="AO134" s="59">
        <f t="shared" si="144"/>
        <v>254.25036207346602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112.11053749480918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112.11053749480918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-1.1368683772161603E-13</v>
      </c>
      <c r="BE134" s="13">
        <f>BD134*VLOOKUP('Données projet'!$B$11,Paramètres!$A$1:$I$89,3,0)*VLOOKUP('Données projet'!$B$11,Paramètres!$A$1:$I$89,5,0)</f>
        <v>-1.0995790944434703E-13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295.35565287134125</v>
      </c>
      <c r="BJ134" s="59">
        <f t="shared" si="146"/>
        <v>244.451492444461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33.144841305289908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33.144841305289908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-1.1368683772161603E-13</v>
      </c>
      <c r="BZ134" s="13">
        <f>BY134*VLOOKUP('Données projet'!$B$12,Paramètres!$A$1:$I$89,3,0)*VLOOKUP('Données projet'!$B$12,Paramètres!$A$1:$I$89,5,0)</f>
        <v>-1.223725121235475E-13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324.61094137855798</v>
      </c>
      <c r="CE134" s="59">
        <f t="shared" si="148"/>
        <v>267.2998309535638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36.887000807500087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36.887000807500087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2.8421709430404007E-13</v>
      </c>
      <c r="CU134" s="17">
        <f>CT134*VLOOKUP('Données projet'!$B$13,Paramètres!$A$1:$I$89,3,0)*VLOOKUP('Données projet'!$B$13,Paramètres!$A$1:$I$89,5,0)</f>
        <v>1.69961822393816E-13</v>
      </c>
      <c r="CV134" s="13">
        <f t="shared" si="149"/>
        <v>2.4004382776176369E-12</v>
      </c>
      <c r="CW134" s="20">
        <f t="shared" si="121"/>
        <v>4.4767801741866136E-12</v>
      </c>
      <c r="CX134" s="59">
        <f t="shared" si="122"/>
        <v>293.33333333333781</v>
      </c>
      <c r="CY134" s="59">
        <f ca="1">AVERAGE(OFFSET($CX$3,0,0,'Données projet'!$E$13+1,1))-AVERAGE(OFFSET($H$3,0,0,'Données projet'!$E$13+1,1))</f>
        <v>319.9010109022521</v>
      </c>
      <c r="CZ134" s="59">
        <f t="shared" si="150"/>
        <v>441.82647565372287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29.712628423296891</v>
      </c>
      <c r="DG134" s="21">
        <f>EXP(-LN(2)/25)*DG133+(1-EXP(-LN(2)/25))/(LN(2)/25)*Calculateur!DB134*Calculateur!DD134*VLOOKUP('Données projet'!$B$13,Paramètres!$A$1:$I$89,3,0)*0.475*44/12</f>
        <v>7.2793799076298553</v>
      </c>
      <c r="DH134" s="21">
        <f>EXP(-LN(2)/2)*DH133+(1-EXP(-LN(2)/2))/(LN(2)/2)*DB134*DE134*VLOOKUP('Données projet'!$B$13,Paramètres!$A$1:$I$89,3,0)*0.475*44/12</f>
        <v>4.1147222619275713E-11</v>
      </c>
      <c r="DI134" s="22">
        <f t="shared" si="123"/>
        <v>36.992008330967892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>
        <f>DO134*VLOOKUP('Données projet'!$B$14,Paramètres!$A$1:$I$89,3,0)*VLOOKUP('Données projet'!$B$14,Paramètres!$A$1:$I$89,5,0)</f>
        <v>0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229.61973863654862</v>
      </c>
      <c r="DU134" s="59">
        <f t="shared" si="152"/>
        <v>254.08208375594052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26.280601721388958</v>
      </c>
      <c r="EB134" s="21">
        <f>EXP(-LN(2)/25)*EB133+(1-EXP(-LN(2)/25))/(LN(2)/25)*Calculateur!DW134*Calculateur!DY134*VLOOKUP('Données projet'!$B$14,Paramètres!$A$1:$I$89,3,0)*0.475*44/12</f>
        <v>6.9854430158467915</v>
      </c>
      <c r="EC134" s="21">
        <f>EXP(-LN(2)/2)*EC133+(1-EXP(-LN(2)/2))/(LN(2)/2)*DW134*DZ134*VLOOKUP('Données projet'!$B$14,Paramètres!$A$1:$I$89,3,0)*0.475*44/12</f>
        <v>9.2714475133936788E-10</v>
      </c>
      <c r="ED134" s="22">
        <f t="shared" si="126"/>
        <v>33.266044738162897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-5.1159076974727213E-13</v>
      </c>
      <c r="O135" s="13">
        <f>N135*VLOOKUP('Données projet'!$B$9,Paramètres!$A$1:$I$89,3,0)*VLOOKUP('Données projet'!$B$9,Paramètres!$A$1:$I$89,5,0)</f>
        <v>-4.6288732846733184E-13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373.59295497283125</v>
      </c>
      <c r="T135" s="59">
        <f t="shared" si="142"/>
        <v>231.36959598460686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98.075428579112085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98.075428579112085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-5.1159076974727213E-13</v>
      </c>
      <c r="AJ135" s="13">
        <f>AI135*VLOOKUP('Données projet'!$B$10,Paramètres!$A$1:$I$89,3,0)*VLOOKUP('Données projet'!$B$10,Paramètres!$A$1:$I$89,5,0)</f>
        <v>-5.1875304052373401E-13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413.81510455446738</v>
      </c>
      <c r="AO135" s="59">
        <f t="shared" si="144"/>
        <v>254.25036207346602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109.91211823521181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109.91211823521181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-1.1368683772161603E-13</v>
      </c>
      <c r="BE135" s="13">
        <f>BD135*VLOOKUP('Données projet'!$B$11,Paramètres!$A$1:$I$89,3,0)*VLOOKUP('Données projet'!$B$11,Paramètres!$A$1:$I$89,5,0)</f>
        <v>-1.0995790944434703E-13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295.35565287134125</v>
      </c>
      <c r="BJ135" s="59">
        <f t="shared" si="146"/>
        <v>244.451492444461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32.494891183650168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32.494891183650168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-1.1368683772161603E-13</v>
      </c>
      <c r="BZ135" s="13">
        <f>BY135*VLOOKUP('Données projet'!$B$12,Paramètres!$A$1:$I$89,3,0)*VLOOKUP('Données projet'!$B$12,Paramètres!$A$1:$I$89,5,0)</f>
        <v>-1.223725121235475E-13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324.61094137855798</v>
      </c>
      <c r="CE135" s="59">
        <f t="shared" si="148"/>
        <v>267.2998309535638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36.163669220513924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36.163669220513924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2.8421709430404007E-13</v>
      </c>
      <c r="CU135" s="17">
        <f>CT135*VLOOKUP('Données projet'!$B$13,Paramètres!$A$1:$I$89,3,0)*VLOOKUP('Données projet'!$B$13,Paramètres!$A$1:$I$89,5,0)</f>
        <v>1.69961822393816E-13</v>
      </c>
      <c r="CV135" s="13">
        <f t="shared" si="149"/>
        <v>2.4004382776176369E-12</v>
      </c>
      <c r="CW135" s="20">
        <f t="shared" si="121"/>
        <v>4.4767801741866136E-12</v>
      </c>
      <c r="CX135" s="59">
        <f t="shared" si="122"/>
        <v>293.33333333333781</v>
      </c>
      <c r="CY135" s="59">
        <f ca="1">AVERAGE(OFFSET($CX$3,0,0,'Données projet'!$E$13+1,1))-AVERAGE(OFFSET($H$3,0,0,'Données projet'!$E$13+1,1))</f>
        <v>319.9010109022521</v>
      </c>
      <c r="CZ135" s="59">
        <f t="shared" si="150"/>
        <v>441.82647565372287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29.12998190282989</v>
      </c>
      <c r="DG135" s="21">
        <f>EXP(-LN(2)/25)*DG134+(1-EXP(-LN(2)/25))/(LN(2)/25)*Calculateur!DB135*Calculateur!DD135*VLOOKUP('Données projet'!$B$13,Paramètres!$A$1:$I$89,3,0)*0.475*44/12</f>
        <v>7.0803248812497648</v>
      </c>
      <c r="DH135" s="21">
        <f>EXP(-LN(2)/2)*DH134+(1-EXP(-LN(2)/2))/(LN(2)/2)*DB135*DE135*VLOOKUP('Données projet'!$B$13,Paramètres!$A$1:$I$89,3,0)*0.475*44/12</f>
        <v>2.9095480141082352E-11</v>
      </c>
      <c r="DI135" s="22">
        <f t="shared" si="123"/>
        <v>36.210306784108752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>
        <f>DO135*VLOOKUP('Données projet'!$B$14,Paramètres!$A$1:$I$89,3,0)*VLOOKUP('Données projet'!$B$14,Paramètres!$A$1:$I$89,5,0)</f>
        <v>0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229.61973863654862</v>
      </c>
      <c r="DU135" s="59">
        <f t="shared" si="152"/>
        <v>254.08208375594052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25.765255151216781</v>
      </c>
      <c r="EB135" s="21">
        <f>EXP(-LN(2)/25)*EB134+(1-EXP(-LN(2)/25))/(LN(2)/25)*Calculateur!DW135*Calculateur!DY135*VLOOKUP('Données projet'!$B$14,Paramètres!$A$1:$I$89,3,0)*0.475*44/12</f>
        <v>6.7944257092299782</v>
      </c>
      <c r="EC135" s="21">
        <f>EXP(-LN(2)/2)*EC134+(1-EXP(-LN(2)/2))/(LN(2)/2)*DW135*DZ135*VLOOKUP('Données projet'!$B$14,Paramètres!$A$1:$I$89,3,0)*0.475*44/12</f>
        <v>6.5559034081358246E-10</v>
      </c>
      <c r="ED135" s="22">
        <f t="shared" si="126"/>
        <v>32.55968086110235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-5.1159076974727213E-13</v>
      </c>
      <c r="O136" s="13">
        <f>N136*VLOOKUP('Données projet'!$B$9,Paramètres!$A$1:$I$89,3,0)*VLOOKUP('Données projet'!$B$9,Paramètres!$A$1:$I$89,5,0)</f>
        <v>-4.6288732846733184E-13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373.59295497283125</v>
      </c>
      <c r="T136" s="59">
        <f t="shared" si="142"/>
        <v>231.36959598460686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96.152229244780386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96.152229244780386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-5.1159076974727213E-13</v>
      </c>
      <c r="AJ136" s="13">
        <f>AI136*VLOOKUP('Données projet'!$B$10,Paramètres!$A$1:$I$89,3,0)*VLOOKUP('Données projet'!$B$10,Paramètres!$A$1:$I$89,5,0)</f>
        <v>-5.1875304052373401E-13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413.81510455446738</v>
      </c>
      <c r="AO136" s="59">
        <f t="shared" si="144"/>
        <v>254.25036207346602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107.7568086363918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107.7568086363918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-1.1368683772161603E-13</v>
      </c>
      <c r="BE136" s="13">
        <f>BD136*VLOOKUP('Données projet'!$B$11,Paramètres!$A$1:$I$89,3,0)*VLOOKUP('Données projet'!$B$11,Paramètres!$A$1:$I$89,5,0)</f>
        <v>-1.0995790944434703E-13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295.35565287134125</v>
      </c>
      <c r="BJ136" s="59">
        <f t="shared" si="146"/>
        <v>244.451492444461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31.857686187465355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31.857686187465355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-1.1368683772161603E-13</v>
      </c>
      <c r="BZ136" s="13">
        <f>BY136*VLOOKUP('Données projet'!$B$12,Paramètres!$A$1:$I$89,3,0)*VLOOKUP('Données projet'!$B$12,Paramètres!$A$1:$I$89,5,0)</f>
        <v>-1.223725121235475E-13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324.61094137855798</v>
      </c>
      <c r="CE136" s="59">
        <f t="shared" si="148"/>
        <v>267.2998309535638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35.454521724759857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35.454521724759857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2.8421709430404007E-13</v>
      </c>
      <c r="CU136" s="17">
        <f>CT136*VLOOKUP('Données projet'!$B$13,Paramètres!$A$1:$I$89,3,0)*VLOOKUP('Données projet'!$B$13,Paramètres!$A$1:$I$89,5,0)</f>
        <v>1.69961822393816E-13</v>
      </c>
      <c r="CV136" s="13">
        <f t="shared" si="149"/>
        <v>2.4004382776176369E-12</v>
      </c>
      <c r="CW136" s="20">
        <f t="shared" si="121"/>
        <v>4.4767801741866136E-12</v>
      </c>
      <c r="CX136" s="59">
        <f t="shared" si="122"/>
        <v>293.33333333333781</v>
      </c>
      <c r="CY136" s="59">
        <f ca="1">AVERAGE(OFFSET($CX$3,0,0,'Données projet'!$E$13+1,1))-AVERAGE(OFFSET($H$3,0,0,'Données projet'!$E$13+1,1))</f>
        <v>319.9010109022521</v>
      </c>
      <c r="CZ136" s="59">
        <f t="shared" si="150"/>
        <v>441.82647565372287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28.558760725249957</v>
      </c>
      <c r="DG136" s="21">
        <f>EXP(-LN(2)/25)*DG135+(1-EXP(-LN(2)/25))/(LN(2)/25)*Calculateur!DB136*Calculateur!DD136*VLOOKUP('Données projet'!$B$13,Paramètres!$A$1:$I$89,3,0)*0.475*44/12</f>
        <v>6.8867130250338864</v>
      </c>
      <c r="DH136" s="21">
        <f>EXP(-LN(2)/2)*DH135+(1-EXP(-LN(2)/2))/(LN(2)/2)*DB136*DE136*VLOOKUP('Données projet'!$B$13,Paramètres!$A$1:$I$89,3,0)*0.475*44/12</f>
        <v>2.057361130963786E-11</v>
      </c>
      <c r="DI136" s="22">
        <f t="shared" si="123"/>
        <v>35.445473750304416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>
        <f>DO136*VLOOKUP('Données projet'!$B$14,Paramètres!$A$1:$I$89,3,0)*VLOOKUP('Données projet'!$B$14,Paramètres!$A$1:$I$89,5,0)</f>
        <v>0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229.61973863654862</v>
      </c>
      <c r="DU136" s="59">
        <f t="shared" si="152"/>
        <v>254.08208375594052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25.260014212955308</v>
      </c>
      <c r="EB136" s="21">
        <f>EXP(-LN(2)/25)*EB135+(1-EXP(-LN(2)/25))/(LN(2)/25)*Calculateur!DW136*Calculateur!DY136*VLOOKUP('Données projet'!$B$14,Paramètres!$A$1:$I$89,3,0)*0.475*44/12</f>
        <v>6.608631780907765</v>
      </c>
      <c r="EC136" s="21">
        <f>EXP(-LN(2)/2)*EC135+(1-EXP(-LN(2)/2))/(LN(2)/2)*DW136*DZ136*VLOOKUP('Données projet'!$B$14,Paramètres!$A$1:$I$89,3,0)*0.475*44/12</f>
        <v>4.6357237566968399E-10</v>
      </c>
      <c r="ED136" s="22">
        <f t="shared" si="126"/>
        <v>31.868645994326645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-5.1159076974727213E-13</v>
      </c>
      <c r="O137" s="13">
        <f>N137*VLOOKUP('Données projet'!$B$9,Paramètres!$A$1:$I$89,3,0)*VLOOKUP('Données projet'!$B$9,Paramètres!$A$1:$I$89,5,0)</f>
        <v>-4.6288732846733184E-13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373.59295497283125</v>
      </c>
      <c r="T137" s="59">
        <f t="shared" si="142"/>
        <v>231.36959598460686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94.266742676359172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94.266742676359172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-5.1159076974727213E-13</v>
      </c>
      <c r="AJ137" s="13">
        <f>AI137*VLOOKUP('Données projet'!$B$10,Paramètres!$A$1:$I$89,3,0)*VLOOKUP('Données projet'!$B$10,Paramètres!$A$1:$I$89,5,0)</f>
        <v>-5.1875304052373401E-13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413.81510455446738</v>
      </c>
      <c r="AO137" s="59">
        <f t="shared" si="144"/>
        <v>254.25036207346602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105.64376334419561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105.64376334419561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-1.1368683772161603E-13</v>
      </c>
      <c r="BE137" s="13">
        <f>BD137*VLOOKUP('Données projet'!$B$11,Paramètres!$A$1:$I$89,3,0)*VLOOKUP('Données projet'!$B$11,Paramètres!$A$1:$I$89,5,0)</f>
        <v>-1.0995790944434703E-13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295.35565287134125</v>
      </c>
      <c r="BJ137" s="59">
        <f t="shared" si="146"/>
        <v>244.451492444461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31.232976392599056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31.232976392599056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-1.1368683772161603E-13</v>
      </c>
      <c r="BZ137" s="13">
        <f>BY137*VLOOKUP('Données projet'!$B$12,Paramètres!$A$1:$I$89,3,0)*VLOOKUP('Données projet'!$B$12,Paramètres!$A$1:$I$89,5,0)</f>
        <v>-1.223725121235475E-13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324.61094137855798</v>
      </c>
      <c r="CE137" s="59">
        <f t="shared" si="148"/>
        <v>267.2998309535638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34.759280178860266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34.759280178860266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2.8421709430404007E-13</v>
      </c>
      <c r="CU137" s="17">
        <f>CT137*VLOOKUP('Données projet'!$B$13,Paramètres!$A$1:$I$89,3,0)*VLOOKUP('Données projet'!$B$13,Paramètres!$A$1:$I$89,5,0)</f>
        <v>1.69961822393816E-13</v>
      </c>
      <c r="CV137" s="13">
        <f t="shared" si="149"/>
        <v>2.4004382776176369E-12</v>
      </c>
      <c r="CW137" s="20">
        <f t="shared" si="121"/>
        <v>4.4767801741866136E-12</v>
      </c>
      <c r="CX137" s="59">
        <f t="shared" si="122"/>
        <v>293.33333333333781</v>
      </c>
      <c r="CY137" s="59">
        <f ca="1">AVERAGE(OFFSET($CX$3,0,0,'Données projet'!$E$13+1,1))-AVERAGE(OFFSET($H$3,0,0,'Données projet'!$E$13+1,1))</f>
        <v>319.9010109022521</v>
      </c>
      <c r="CZ137" s="59">
        <f t="shared" si="150"/>
        <v>441.82647565372287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27.998740846551854</v>
      </c>
      <c r="DG137" s="21">
        <f>EXP(-LN(2)/25)*DG136+(1-EXP(-LN(2)/25))/(LN(2)/25)*Calculateur!DB137*Calculateur!DD137*VLOOKUP('Données projet'!$B$13,Paramètres!$A$1:$I$89,3,0)*0.475*44/12</f>
        <v>6.6983954952078362</v>
      </c>
      <c r="DH137" s="21">
        <f>EXP(-LN(2)/2)*DH136+(1-EXP(-LN(2)/2))/(LN(2)/2)*DB137*DE137*VLOOKUP('Données projet'!$B$13,Paramètres!$A$1:$I$89,3,0)*0.475*44/12</f>
        <v>1.4547740070541179E-11</v>
      </c>
      <c r="DI137" s="22">
        <f t="shared" si="123"/>
        <v>34.697136341774232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>
        <f>DO137*VLOOKUP('Données projet'!$B$14,Paramètres!$A$1:$I$89,3,0)*VLOOKUP('Données projet'!$B$14,Paramètres!$A$1:$I$89,5,0)</f>
        <v>0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229.61973863654862</v>
      </c>
      <c r="DU137" s="59">
        <f t="shared" si="152"/>
        <v>254.08208375594052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24.7646807413266</v>
      </c>
      <c r="EB137" s="21">
        <f>EXP(-LN(2)/25)*EB136+(1-EXP(-LN(2)/25))/(LN(2)/25)*Calculateur!DW137*Calculateur!DY137*VLOOKUP('Données projet'!$B$14,Paramètres!$A$1:$I$89,3,0)*0.475*44/12</f>
        <v>6.4279183973260015</v>
      </c>
      <c r="EC137" s="21">
        <f>EXP(-LN(2)/2)*EC136+(1-EXP(-LN(2)/2))/(LN(2)/2)*DW137*DZ137*VLOOKUP('Données projet'!$B$14,Paramètres!$A$1:$I$89,3,0)*0.475*44/12</f>
        <v>3.2779517040679128E-10</v>
      </c>
      <c r="ED137" s="22">
        <f t="shared" si="126"/>
        <v>31.192599138980398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-5.1159076974727213E-13</v>
      </c>
      <c r="O138" s="13">
        <f>N138*VLOOKUP('Données projet'!$B$9,Paramètres!$A$1:$I$89,3,0)*VLOOKUP('Données projet'!$B$9,Paramètres!$A$1:$I$89,5,0)</f>
        <v>-4.6288732846733184E-13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373.59295497283125</v>
      </c>
      <c r="T138" s="59">
        <f t="shared" si="142"/>
        <v>231.36959598460686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92.418229349511435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92.418229349511435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-5.1159076974727213E-13</v>
      </c>
      <c r="AJ138" s="13">
        <f>AI138*VLOOKUP('Données projet'!$B$10,Paramètres!$A$1:$I$89,3,0)*VLOOKUP('Données projet'!$B$10,Paramètres!$A$1:$I$89,5,0)</f>
        <v>-5.1875304052373401E-13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413.81510455446738</v>
      </c>
      <c r="AO138" s="59">
        <f t="shared" si="144"/>
        <v>254.25036207346602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103.57215358134901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103.57215358134901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-1.1368683772161603E-13</v>
      </c>
      <c r="BE138" s="13">
        <f>BD138*VLOOKUP('Données projet'!$B$11,Paramètres!$A$1:$I$89,3,0)*VLOOKUP('Données projet'!$B$11,Paramètres!$A$1:$I$89,5,0)</f>
        <v>-1.0995790944434703E-13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295.35565287134125</v>
      </c>
      <c r="BJ138" s="59">
        <f t="shared" si="146"/>
        <v>244.451492444461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30.620516775774735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30.620516775774735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-1.1368683772161603E-13</v>
      </c>
      <c r="BZ138" s="13">
        <f>BY138*VLOOKUP('Données projet'!$B$12,Paramètres!$A$1:$I$89,3,0)*VLOOKUP('Données projet'!$B$12,Paramètres!$A$1:$I$89,5,0)</f>
        <v>-1.223725121235475E-13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324.61094137855798</v>
      </c>
      <c r="CE138" s="59">
        <f t="shared" si="148"/>
        <v>267.2998309535638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34.077671895620291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34.077671895620291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2.8421709430404007E-13</v>
      </c>
      <c r="CU138" s="17">
        <f>CT138*VLOOKUP('Données projet'!$B$13,Paramètres!$A$1:$I$89,3,0)*VLOOKUP('Données projet'!$B$13,Paramètres!$A$1:$I$89,5,0)</f>
        <v>1.69961822393816E-13</v>
      </c>
      <c r="CV138" s="13">
        <f t="shared" si="149"/>
        <v>2.4004382776176369E-12</v>
      </c>
      <c r="CW138" s="20">
        <f t="shared" si="121"/>
        <v>4.4767801741866136E-12</v>
      </c>
      <c r="CX138" s="59">
        <f t="shared" si="122"/>
        <v>293.33333333333781</v>
      </c>
      <c r="CY138" s="59">
        <f ca="1">AVERAGE(OFFSET($CX$3,0,0,'Données projet'!$E$13+1,1))-AVERAGE(OFFSET($H$3,0,0,'Données projet'!$E$13+1,1))</f>
        <v>319.9010109022521</v>
      </c>
      <c r="CZ138" s="59">
        <f t="shared" si="150"/>
        <v>441.82647565372287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27.449702616096619</v>
      </c>
      <c r="DG138" s="21">
        <f>EXP(-LN(2)/25)*DG137+(1-EXP(-LN(2)/25))/(LN(2)/25)*Calculateur!DB138*Calculateur!DD138*VLOOKUP('Données projet'!$B$13,Paramètres!$A$1:$I$89,3,0)*0.475*44/12</f>
        <v>6.5152275181380679</v>
      </c>
      <c r="DH138" s="21">
        <f>EXP(-LN(2)/2)*DH137+(1-EXP(-LN(2)/2))/(LN(2)/2)*DB138*DE138*VLOOKUP('Données projet'!$B$13,Paramètres!$A$1:$I$89,3,0)*0.475*44/12</f>
        <v>1.0286805654818931E-11</v>
      </c>
      <c r="DI138" s="22">
        <f t="shared" si="123"/>
        <v>33.964930134244973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>
        <f>DO138*VLOOKUP('Données projet'!$B$14,Paramètres!$A$1:$I$89,3,0)*VLOOKUP('Données projet'!$B$14,Paramètres!$A$1:$I$89,5,0)</f>
        <v>0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229.61973863654862</v>
      </c>
      <c r="DU138" s="59">
        <f t="shared" si="152"/>
        <v>254.08208375594052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24.279060456952948</v>
      </c>
      <c r="EB138" s="21">
        <f>EXP(-LN(2)/25)*EB137+(1-EXP(-LN(2)/25))/(LN(2)/25)*Calculateur!DW138*Calculateur!DY138*VLOOKUP('Données projet'!$B$14,Paramètres!$A$1:$I$89,3,0)*0.475*44/12</f>
        <v>6.2521466307215849</v>
      </c>
      <c r="EC138" s="21">
        <f>EXP(-LN(2)/2)*EC137+(1-EXP(-LN(2)/2))/(LN(2)/2)*DW138*DZ138*VLOOKUP('Données projet'!$B$14,Paramètres!$A$1:$I$89,3,0)*0.475*44/12</f>
        <v>2.3178618783484205E-10</v>
      </c>
      <c r="ED138" s="22">
        <f t="shared" si="126"/>
        <v>30.531207087906317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-5.1159076974727213E-13</v>
      </c>
      <c r="O139" s="13">
        <f>N139*VLOOKUP('Données projet'!$B$9,Paramètres!$A$1:$I$89,3,0)*VLOOKUP('Données projet'!$B$9,Paramètres!$A$1:$I$89,5,0)</f>
        <v>-4.6288732846733184E-13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373.59295497283125</v>
      </c>
      <c r="T139" s="59">
        <f t="shared" si="142"/>
        <v>231.36959598460686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90.605964241521392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90.605964241521392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-5.1159076974727213E-13</v>
      </c>
      <c r="AJ139" s="13">
        <f>AI139*VLOOKUP('Données projet'!$B$10,Paramètres!$A$1:$I$89,3,0)*VLOOKUP('Données projet'!$B$10,Paramètres!$A$1:$I$89,5,0)</f>
        <v>-5.1875304052373401E-13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413.81510455446738</v>
      </c>
      <c r="AO139" s="59">
        <f t="shared" si="144"/>
        <v>254.25036207346602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101.54116682239464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101.54116682239464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-1.1368683772161603E-13</v>
      </c>
      <c r="BE139" s="13">
        <f>BD139*VLOOKUP('Données projet'!$B$11,Paramètres!$A$1:$I$89,3,0)*VLOOKUP('Données projet'!$B$11,Paramètres!$A$1:$I$89,5,0)</f>
        <v>-1.0995790944434703E-13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295.35565287134125</v>
      </c>
      <c r="BJ139" s="59">
        <f t="shared" si="146"/>
        <v>244.451492444461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30.020067118472859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30.020067118472859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-1.1368683772161603E-13</v>
      </c>
      <c r="BZ139" s="13">
        <f>BY139*VLOOKUP('Données projet'!$B$12,Paramètres!$A$1:$I$89,3,0)*VLOOKUP('Données projet'!$B$12,Paramètres!$A$1:$I$89,5,0)</f>
        <v>-1.223725121235475E-13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324.61094137855798</v>
      </c>
      <c r="CE139" s="59">
        <f t="shared" si="148"/>
        <v>267.2998309535638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33.409429535074651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33.409429535074651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2.8421709430404007E-13</v>
      </c>
      <c r="CU139" s="17">
        <f>CT139*VLOOKUP('Données projet'!$B$13,Paramètres!$A$1:$I$89,3,0)*VLOOKUP('Données projet'!$B$13,Paramètres!$A$1:$I$89,5,0)</f>
        <v>1.69961822393816E-13</v>
      </c>
      <c r="CV139" s="13">
        <f t="shared" si="149"/>
        <v>2.4004382776176369E-12</v>
      </c>
      <c r="CW139" s="20">
        <f t="shared" si="121"/>
        <v>4.4767801741866136E-12</v>
      </c>
      <c r="CX139" s="59">
        <f t="shared" si="122"/>
        <v>293.33333333333781</v>
      </c>
      <c r="CY139" s="59">
        <f ca="1">AVERAGE(OFFSET($CX$3,0,0,'Données projet'!$E$13+1,1))-AVERAGE(OFFSET($H$3,0,0,'Données projet'!$E$13+1,1))</f>
        <v>319.9010109022521</v>
      </c>
      <c r="CZ139" s="59">
        <f t="shared" si="150"/>
        <v>441.82647565372287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26.91143069046036</v>
      </c>
      <c r="DG139" s="21">
        <f>EXP(-LN(2)/25)*DG138+(1-EXP(-LN(2)/25))/(LN(2)/25)*Calculateur!DB139*Calculateur!DD139*VLOOKUP('Données projet'!$B$13,Paramètres!$A$1:$I$89,3,0)*0.475*44/12</f>
        <v>6.3370682790336579</v>
      </c>
      <c r="DH139" s="21">
        <f>EXP(-LN(2)/2)*DH138+(1-EXP(-LN(2)/2))/(LN(2)/2)*DB139*DE139*VLOOKUP('Données projet'!$B$13,Paramètres!$A$1:$I$89,3,0)*0.475*44/12</f>
        <v>7.2738700352705903E-12</v>
      </c>
      <c r="DI139" s="22">
        <f t="shared" si="123"/>
        <v>33.248498969501291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>
        <f>DO139*VLOOKUP('Données projet'!$B$14,Paramètres!$A$1:$I$89,3,0)*VLOOKUP('Données projet'!$B$14,Paramètres!$A$1:$I$89,5,0)</f>
        <v>0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229.61973863654862</v>
      </c>
      <c r="DU139" s="59">
        <f t="shared" si="152"/>
        <v>254.08208375594052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23.802962890156735</v>
      </c>
      <c r="EB139" s="21">
        <f>EXP(-LN(2)/25)*EB138+(1-EXP(-LN(2)/25))/(LN(2)/25)*Calculateur!DW139*Calculateur!DY139*VLOOKUP('Données projet'!$B$14,Paramètres!$A$1:$I$89,3,0)*0.475*44/12</f>
        <v>6.0811813523184011</v>
      </c>
      <c r="EC139" s="21">
        <f>EXP(-LN(2)/2)*EC138+(1-EXP(-LN(2)/2))/(LN(2)/2)*DW139*DZ139*VLOOKUP('Données projet'!$B$14,Paramètres!$A$1:$I$89,3,0)*0.475*44/12</f>
        <v>1.6389758520339567E-10</v>
      </c>
      <c r="ED139" s="22">
        <f t="shared" si="126"/>
        <v>29.884144242639035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-5.1159076974727213E-13</v>
      </c>
      <c r="O140" s="13">
        <f>N140*VLOOKUP('Données projet'!$B$9,Paramètres!$A$1:$I$89,3,0)*VLOOKUP('Données projet'!$B$9,Paramètres!$A$1:$I$89,5,0)</f>
        <v>-4.6288732846733184E-13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373.59295497283125</v>
      </c>
      <c r="T140" s="59">
        <f t="shared" si="142"/>
        <v>231.36959598460686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88.829236546926467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88.829236546926467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-5.1159076974727213E-13</v>
      </c>
      <c r="AJ140" s="13">
        <f>AI140*VLOOKUP('Données projet'!$B$10,Paramètres!$A$1:$I$89,3,0)*VLOOKUP('Données projet'!$B$10,Paramètres!$A$1:$I$89,5,0)</f>
        <v>-5.1875304052373401E-13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413.81510455446738</v>
      </c>
      <c r="AO140" s="59">
        <f t="shared" si="144"/>
        <v>254.25036207346602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99.550006475003769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99.550006475003769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-1.1368683772161603E-13</v>
      </c>
      <c r="BE140" s="13">
        <f>BD140*VLOOKUP('Données projet'!$B$11,Paramètres!$A$1:$I$89,3,0)*VLOOKUP('Données projet'!$B$11,Paramètres!$A$1:$I$89,5,0)</f>
        <v>-1.0995790944434703E-13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295.35565287134125</v>
      </c>
      <c r="BJ140" s="59">
        <f t="shared" si="146"/>
        <v>244.451492444461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29.431391912712545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29.431391912712545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-1.1368683772161603E-13</v>
      </c>
      <c r="BZ140" s="13">
        <f>BY140*VLOOKUP('Données projet'!$B$12,Paramètres!$A$1:$I$89,3,0)*VLOOKUP('Données projet'!$B$12,Paramètres!$A$1:$I$89,5,0)</f>
        <v>-1.223725121235475E-13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324.61094137855798</v>
      </c>
      <c r="CE140" s="59">
        <f t="shared" si="148"/>
        <v>267.2998309535638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32.754290999631721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32.754290999631721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2.8421709430404007E-13</v>
      </c>
      <c r="CU140" s="17">
        <f>CT140*VLOOKUP('Données projet'!$B$13,Paramètres!$A$1:$I$89,3,0)*VLOOKUP('Données projet'!$B$13,Paramètres!$A$1:$I$89,5,0)</f>
        <v>1.69961822393816E-13</v>
      </c>
      <c r="CV140" s="13">
        <f t="shared" si="149"/>
        <v>2.4004382776176369E-12</v>
      </c>
      <c r="CW140" s="20">
        <f t="shared" si="121"/>
        <v>4.4767801741866136E-12</v>
      </c>
      <c r="CX140" s="59">
        <f t="shared" si="122"/>
        <v>293.33333333333781</v>
      </c>
      <c r="CY140" s="59">
        <f ca="1">AVERAGE(OFFSET($CX$3,0,0,'Données projet'!$E$13+1,1))-AVERAGE(OFFSET($H$3,0,0,'Données projet'!$E$13+1,1))</f>
        <v>319.9010109022521</v>
      </c>
      <c r="CZ140" s="59">
        <f t="shared" si="150"/>
        <v>441.82647565372287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26.383713948972371</v>
      </c>
      <c r="DG140" s="21">
        <f>EXP(-LN(2)/25)*DG139+(1-EXP(-LN(2)/25))/(LN(2)/25)*Calculateur!DB140*Calculateur!DD140*VLOOKUP('Données projet'!$B$13,Paramètres!$A$1:$I$89,3,0)*0.475*44/12</f>
        <v>6.1637808136915453</v>
      </c>
      <c r="DH140" s="21">
        <f>EXP(-LN(2)/2)*DH139+(1-EXP(-LN(2)/2))/(LN(2)/2)*DB140*DE140*VLOOKUP('Données projet'!$B$13,Paramètres!$A$1:$I$89,3,0)*0.475*44/12</f>
        <v>5.1434028274094665E-12</v>
      </c>
      <c r="DI140" s="22">
        <f t="shared" si="123"/>
        <v>32.547494762669061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>
        <f>DO140*VLOOKUP('Données projet'!$B$14,Paramètres!$A$1:$I$89,3,0)*VLOOKUP('Données projet'!$B$14,Paramètres!$A$1:$I$89,5,0)</f>
        <v>0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229.61973863654862</v>
      </c>
      <c r="DU140" s="59">
        <f t="shared" si="152"/>
        <v>254.08208375594052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23.336201306254555</v>
      </c>
      <c r="EB140" s="21">
        <f>EXP(-LN(2)/25)*EB139+(1-EXP(-LN(2)/25))/(LN(2)/25)*Calculateur!DW140*Calculateur!DY140*VLOOKUP('Données projet'!$B$14,Paramètres!$A$1:$I$89,3,0)*0.475*44/12</f>
        <v>5.9148911284438261</v>
      </c>
      <c r="EC140" s="21">
        <f>EXP(-LN(2)/2)*EC139+(1-EXP(-LN(2)/2))/(LN(2)/2)*DW140*DZ140*VLOOKUP('Données projet'!$B$14,Paramètres!$A$1:$I$89,3,0)*0.475*44/12</f>
        <v>1.1589309391742104E-10</v>
      </c>
      <c r="ED140" s="22">
        <f t="shared" si="126"/>
        <v>29.251092434814275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-5.1159076974727213E-13</v>
      </c>
      <c r="O141" s="13">
        <f>N141*VLOOKUP('Données projet'!$B$9,Paramètres!$A$1:$I$89,3,0)*VLOOKUP('Données projet'!$B$9,Paramètres!$A$1:$I$89,5,0)</f>
        <v>-4.6288732846733184E-13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373.59295497283125</v>
      </c>
      <c r="T141" s="59">
        <f t="shared" si="142"/>
        <v>231.36959598460686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87.08734939872565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87.08734939872565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-5.1159076974727213E-13</v>
      </c>
      <c r="AJ141" s="13">
        <f>AI141*VLOOKUP('Données projet'!$B$10,Paramètres!$A$1:$I$89,3,0)*VLOOKUP('Données projet'!$B$10,Paramètres!$A$1:$I$89,5,0)</f>
        <v>-5.1875304052373401E-13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413.81510455446738</v>
      </c>
      <c r="AO141" s="59">
        <f t="shared" si="144"/>
        <v>254.25036207346602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97.597891567537346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97.597891567537346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-1.1368683772161603E-13</v>
      </c>
      <c r="BE141" s="13">
        <f>BD141*VLOOKUP('Données projet'!$B$11,Paramètres!$A$1:$I$89,3,0)*VLOOKUP('Données projet'!$B$11,Paramètres!$A$1:$I$89,5,0)</f>
        <v>-1.0995790944434703E-13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295.35565287134125</v>
      </c>
      <c r="BJ141" s="59">
        <f t="shared" si="146"/>
        <v>244.451492444461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28.854260268680768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28.854260268680768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-1.1368683772161603E-13</v>
      </c>
      <c r="BZ141" s="13">
        <f>BY141*VLOOKUP('Données projet'!$B$12,Paramètres!$A$1:$I$89,3,0)*VLOOKUP('Données projet'!$B$12,Paramètres!$A$1:$I$89,5,0)</f>
        <v>-1.223725121235475E-13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324.61094137855798</v>
      </c>
      <c r="CE141" s="59">
        <f t="shared" si="148"/>
        <v>267.2998309535638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32.111999331273772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32.111999331273772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2.8421709430404007E-13</v>
      </c>
      <c r="CU141" s="17">
        <f>CT141*VLOOKUP('Données projet'!$B$13,Paramètres!$A$1:$I$89,3,0)*VLOOKUP('Données projet'!$B$13,Paramètres!$A$1:$I$89,5,0)</f>
        <v>1.69961822393816E-13</v>
      </c>
      <c r="CV141" s="13">
        <f t="shared" si="149"/>
        <v>2.4004382776176369E-12</v>
      </c>
      <c r="CW141" s="20">
        <f t="shared" si="121"/>
        <v>4.4767801741866136E-12</v>
      </c>
      <c r="CX141" s="59">
        <f t="shared" si="122"/>
        <v>293.33333333333781</v>
      </c>
      <c r="CY141" s="59">
        <f ca="1">AVERAGE(OFFSET($CX$3,0,0,'Données projet'!$E$13+1,1))-AVERAGE(OFFSET($H$3,0,0,'Données projet'!$E$13+1,1))</f>
        <v>319.9010109022521</v>
      </c>
      <c r="CZ141" s="59">
        <f t="shared" si="150"/>
        <v>441.82647565372287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25.866345410909531</v>
      </c>
      <c r="DG141" s="21">
        <f>EXP(-LN(2)/25)*DG140+(1-EXP(-LN(2)/25))/(LN(2)/25)*Calculateur!DB141*Calculateur!DD141*VLOOKUP('Données projet'!$B$13,Paramètres!$A$1:$I$89,3,0)*0.475*44/12</f>
        <v>5.9952319032020043</v>
      </c>
      <c r="DH141" s="21">
        <f>EXP(-LN(2)/2)*DH140+(1-EXP(-LN(2)/2))/(LN(2)/2)*DB141*DE141*VLOOKUP('Données projet'!$B$13,Paramètres!$A$1:$I$89,3,0)*0.475*44/12</f>
        <v>3.636935017635296E-12</v>
      </c>
      <c r="DI141" s="22">
        <f t="shared" si="123"/>
        <v>31.861577314115173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>
        <f>DO141*VLOOKUP('Données projet'!$B$14,Paramètres!$A$1:$I$89,3,0)*VLOOKUP('Données projet'!$B$14,Paramètres!$A$1:$I$89,5,0)</f>
        <v>0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229.61973863654862</v>
      </c>
      <c r="DU141" s="59">
        <f t="shared" si="152"/>
        <v>254.08208375594052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22.878592632316241</v>
      </c>
      <c r="EB141" s="21">
        <f>EXP(-LN(2)/25)*EB140+(1-EXP(-LN(2)/25))/(LN(2)/25)*Calculateur!DW141*Calculateur!DY141*VLOOKUP('Données projet'!$B$14,Paramètres!$A$1:$I$89,3,0)*0.475*44/12</f>
        <v>5.7531481194859238</v>
      </c>
      <c r="EC141" s="21">
        <f>EXP(-LN(2)/2)*EC140+(1-EXP(-LN(2)/2))/(LN(2)/2)*DW141*DZ141*VLOOKUP('Données projet'!$B$14,Paramètres!$A$1:$I$89,3,0)*0.475*44/12</f>
        <v>8.1948792601697846E-11</v>
      </c>
      <c r="ED141" s="22">
        <f t="shared" si="126"/>
        <v>28.631740751884116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-5.1159076974727213E-13</v>
      </c>
      <c r="O142" s="13">
        <f>N142*VLOOKUP('Données projet'!$B$9,Paramètres!$A$1:$I$89,3,0)*VLOOKUP('Données projet'!$B$9,Paramètres!$A$1:$I$89,5,0)</f>
        <v>-4.6288732846733184E-13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373.59295497283125</v>
      </c>
      <c r="T142" s="59">
        <f t="shared" si="142"/>
        <v>231.36959598460686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85.379619595054805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85.379619595054805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-5.1159076974727213E-13</v>
      </c>
      <c r="AJ142" s="13">
        <f>AI142*VLOOKUP('Données projet'!$B$10,Paramètres!$A$1:$I$89,3,0)*VLOOKUP('Données projet'!$B$10,Paramètres!$A$1:$I$89,5,0)</f>
        <v>-5.1875304052373401E-13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413.81510455446738</v>
      </c>
      <c r="AO142" s="59">
        <f t="shared" si="144"/>
        <v>254.25036207346602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95.684056442733805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95.684056442733805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-1.1368683772161603E-13</v>
      </c>
      <c r="BE142" s="13">
        <f>BD142*VLOOKUP('Données projet'!$B$11,Paramètres!$A$1:$I$89,3,0)*VLOOKUP('Données projet'!$B$11,Paramètres!$A$1:$I$89,5,0)</f>
        <v>-1.0995790944434703E-13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295.35565287134125</v>
      </c>
      <c r="BJ142" s="59">
        <f t="shared" si="146"/>
        <v>244.451492444461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28.288445824172911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28.288445824172911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-1.1368683772161603E-13</v>
      </c>
      <c r="BZ142" s="13">
        <f>BY142*VLOOKUP('Données projet'!$B$12,Paramètres!$A$1:$I$89,3,0)*VLOOKUP('Données projet'!$B$12,Paramètres!$A$1:$I$89,5,0)</f>
        <v>-1.223725121235475E-13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324.61094137855798</v>
      </c>
      <c r="CE142" s="59">
        <f t="shared" si="148"/>
        <v>267.2998309535638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31.48230261077309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31.48230261077309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2.8421709430404007E-13</v>
      </c>
      <c r="CU142" s="17">
        <f>CT142*VLOOKUP('Données projet'!$B$13,Paramètres!$A$1:$I$89,3,0)*VLOOKUP('Données projet'!$B$13,Paramètres!$A$1:$I$89,5,0)</f>
        <v>1.69961822393816E-13</v>
      </c>
      <c r="CV142" s="13">
        <f t="shared" si="149"/>
        <v>2.4004382776176369E-12</v>
      </c>
      <c r="CW142" s="20">
        <f t="shared" si="121"/>
        <v>4.4767801741866136E-12</v>
      </c>
      <c r="CX142" s="59">
        <f t="shared" si="122"/>
        <v>293.33333333333781</v>
      </c>
      <c r="CY142" s="59">
        <f ca="1">AVERAGE(OFFSET($CX$3,0,0,'Données projet'!$E$13+1,1))-AVERAGE(OFFSET($H$3,0,0,'Données projet'!$E$13+1,1))</f>
        <v>319.9010109022521</v>
      </c>
      <c r="CZ142" s="59">
        <f t="shared" si="150"/>
        <v>441.82647565372287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25.359122154314456</v>
      </c>
      <c r="DG142" s="21">
        <f>EXP(-LN(2)/25)*DG141+(1-EXP(-LN(2)/25))/(LN(2)/25)*Calculateur!DB142*Calculateur!DD142*VLOOKUP('Données projet'!$B$13,Paramètres!$A$1:$I$89,3,0)*0.475*44/12</f>
        <v>5.8312919715334024</v>
      </c>
      <c r="DH142" s="21">
        <f>EXP(-LN(2)/2)*DH141+(1-EXP(-LN(2)/2))/(LN(2)/2)*DB142*DE142*VLOOKUP('Données projet'!$B$13,Paramètres!$A$1:$I$89,3,0)*0.475*44/12</f>
        <v>2.5717014137047337E-12</v>
      </c>
      <c r="DI142" s="22">
        <f t="shared" si="123"/>
        <v>31.190414125850431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>
        <f>DO142*VLOOKUP('Données projet'!$B$14,Paramètres!$A$1:$I$89,3,0)*VLOOKUP('Données projet'!$B$14,Paramètres!$A$1:$I$89,5,0)</f>
        <v>0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229.61973863654862</v>
      </c>
      <c r="DU142" s="59">
        <f t="shared" si="152"/>
        <v>254.08208375594052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22.429957385360126</v>
      </c>
      <c r="EB142" s="21">
        <f>EXP(-LN(2)/25)*EB141+(1-EXP(-LN(2)/25))/(LN(2)/25)*Calculateur!DW142*Calculateur!DY142*VLOOKUP('Données projet'!$B$14,Paramètres!$A$1:$I$89,3,0)*0.475*44/12</f>
        <v>5.5958279816136702</v>
      </c>
      <c r="EC142" s="21">
        <f>EXP(-LN(2)/2)*EC141+(1-EXP(-LN(2)/2))/(LN(2)/2)*DW142*DZ142*VLOOKUP('Données projet'!$B$14,Paramètres!$A$1:$I$89,3,0)*0.475*44/12</f>
        <v>5.7946546958710525E-11</v>
      </c>
      <c r="ED142" s="22">
        <f t="shared" si="126"/>
        <v>28.025785367031744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-5.1159076974727213E-13</v>
      </c>
      <c r="O143" s="13">
        <f>N143*VLOOKUP('Données projet'!$B$9,Paramètres!$A$1:$I$89,3,0)*VLOOKUP('Données projet'!$B$9,Paramètres!$A$1:$I$89,5,0)</f>
        <v>-4.6288732846733184E-13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373.59295497283125</v>
      </c>
      <c r="T143" s="59">
        <f t="shared" si="142"/>
        <v>231.36959598460686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83.705377331221612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83.705377331221612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-5.1159076974727213E-13</v>
      </c>
      <c r="AJ143" s="13">
        <f>AI143*VLOOKUP('Données projet'!$B$10,Paramètres!$A$1:$I$89,3,0)*VLOOKUP('Données projet'!$B$10,Paramètres!$A$1:$I$89,5,0)</f>
        <v>-5.1875304052373401E-13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413.81510455446738</v>
      </c>
      <c r="AO143" s="59">
        <f t="shared" si="144"/>
        <v>254.25036207346602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93.8077504574035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93.8077504574035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-1.1368683772161603E-13</v>
      </c>
      <c r="BE143" s="13">
        <f>BD143*VLOOKUP('Données projet'!$B$11,Paramètres!$A$1:$I$89,3,0)*VLOOKUP('Données projet'!$B$11,Paramètres!$A$1:$I$89,5,0)</f>
        <v>-1.0995790944434703E-13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295.35565287134125</v>
      </c>
      <c r="BJ143" s="59">
        <f t="shared" si="146"/>
        <v>244.451492444461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27.733726655809118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27.733726655809118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-1.1368683772161603E-13</v>
      </c>
      <c r="BZ143" s="13">
        <f>BY143*VLOOKUP('Données projet'!$B$12,Paramètres!$A$1:$I$89,3,0)*VLOOKUP('Données projet'!$B$12,Paramètres!$A$1:$I$89,5,0)</f>
        <v>-1.223725121235475E-13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324.61094137855798</v>
      </c>
      <c r="CE143" s="59">
        <f t="shared" si="148"/>
        <v>267.2998309535638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30.864953858884352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30.864953858884352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2.8421709430404007E-13</v>
      </c>
      <c r="CU143" s="17">
        <f>CT143*VLOOKUP('Données projet'!$B$13,Paramètres!$A$1:$I$89,3,0)*VLOOKUP('Données projet'!$B$13,Paramètres!$A$1:$I$89,5,0)</f>
        <v>1.69961822393816E-13</v>
      </c>
      <c r="CV143" s="13">
        <f t="shared" si="149"/>
        <v>2.4004382776176369E-12</v>
      </c>
      <c r="CW143" s="20">
        <f t="shared" si="121"/>
        <v>4.4767801741866136E-12</v>
      </c>
      <c r="CX143" s="59">
        <f t="shared" si="122"/>
        <v>293.33333333333781</v>
      </c>
      <c r="CY143" s="59">
        <f ca="1">AVERAGE(OFFSET($CX$3,0,0,'Données projet'!$E$13+1,1))-AVERAGE(OFFSET($H$3,0,0,'Données projet'!$E$13+1,1))</f>
        <v>319.9010109022521</v>
      </c>
      <c r="CZ143" s="59">
        <f t="shared" si="150"/>
        <v>441.82647565372287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24.861845236405571</v>
      </c>
      <c r="DG143" s="21">
        <f>EXP(-LN(2)/25)*DG142+(1-EXP(-LN(2)/25))/(LN(2)/25)*Calculateur!DB143*Calculateur!DD143*VLOOKUP('Données projet'!$B$13,Paramètres!$A$1:$I$89,3,0)*0.475*44/12</f>
        <v>5.6718349859175046</v>
      </c>
      <c r="DH143" s="21">
        <f>EXP(-LN(2)/2)*DH142+(1-EXP(-LN(2)/2))/(LN(2)/2)*DB143*DE143*VLOOKUP('Données projet'!$B$13,Paramètres!$A$1:$I$89,3,0)*0.475*44/12</f>
        <v>1.8184675088176482E-12</v>
      </c>
      <c r="DI143" s="22">
        <f t="shared" si="123"/>
        <v>30.533680222324897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>
        <f>DO143*VLOOKUP('Données projet'!$B$14,Paramètres!$A$1:$I$89,3,0)*VLOOKUP('Données projet'!$B$14,Paramètres!$A$1:$I$89,5,0)</f>
        <v>0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229.61973863654862</v>
      </c>
      <c r="DU143" s="59">
        <f t="shared" si="152"/>
        <v>254.08208375594052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21.990119601956341</v>
      </c>
      <c r="EB143" s="21">
        <f>EXP(-LN(2)/25)*EB142+(1-EXP(-LN(2)/25))/(LN(2)/25)*Calculateur!DW143*Calculateur!DY143*VLOOKUP('Données projet'!$B$14,Paramètres!$A$1:$I$89,3,0)*0.475*44/12</f>
        <v>5.4428097711846402</v>
      </c>
      <c r="EC143" s="21">
        <f>EXP(-LN(2)/2)*EC142+(1-EXP(-LN(2)/2))/(LN(2)/2)*DW143*DZ143*VLOOKUP('Données projet'!$B$14,Paramètres!$A$1:$I$89,3,0)*0.475*44/12</f>
        <v>4.097439630084893E-11</v>
      </c>
      <c r="ED143" s="22">
        <f t="shared" si="126"/>
        <v>27.432929373181953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-5.1159076974727213E-13</v>
      </c>
      <c r="O144" s="13">
        <f>N144*VLOOKUP('Données projet'!$B$9,Paramètres!$A$1:$I$89,3,0)*VLOOKUP('Données projet'!$B$9,Paramètres!$A$1:$I$89,5,0)</f>
        <v>-4.6288732846733184E-13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373.59295497283125</v>
      </c>
      <c r="T144" s="59">
        <f t="shared" si="142"/>
        <v>231.36959598460686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82.063965936995245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82.063965936995245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-5.1159076974727213E-13</v>
      </c>
      <c r="AJ144" s="13">
        <f>AI144*VLOOKUP('Données projet'!$B$10,Paramètres!$A$1:$I$89,3,0)*VLOOKUP('Données projet'!$B$10,Paramètres!$A$1:$I$89,5,0)</f>
        <v>-5.1875304052373401E-13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413.81510455446738</v>
      </c>
      <c r="AO144" s="59">
        <f t="shared" si="144"/>
        <v>254.25036207346602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91.968237688011882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91.968237688011882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-1.1368683772161603E-13</v>
      </c>
      <c r="BE144" s="13">
        <f>BD144*VLOOKUP('Données projet'!$B$11,Paramètres!$A$1:$I$89,3,0)*VLOOKUP('Données projet'!$B$11,Paramètres!$A$1:$I$89,5,0)</f>
        <v>-1.0995790944434703E-13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295.35565287134125</v>
      </c>
      <c r="BJ144" s="59">
        <f t="shared" si="146"/>
        <v>244.451492444461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27.189885191991653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27.189885191991653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-1.1368683772161603E-13</v>
      </c>
      <c r="BZ144" s="13">
        <f>BY144*VLOOKUP('Données projet'!$B$12,Paramètres!$A$1:$I$89,3,0)*VLOOKUP('Données projet'!$B$12,Paramètres!$A$1:$I$89,5,0)</f>
        <v>-1.223725121235475E-13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324.61094137855798</v>
      </c>
      <c r="CE144" s="59">
        <f t="shared" si="148"/>
        <v>267.2998309535638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30.259710939474594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30.259710939474594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2.8421709430404007E-13</v>
      </c>
      <c r="CU144" s="17">
        <f>CT144*VLOOKUP('Données projet'!$B$13,Paramètres!$A$1:$I$89,3,0)*VLOOKUP('Données projet'!$B$13,Paramètres!$A$1:$I$89,5,0)</f>
        <v>1.69961822393816E-13</v>
      </c>
      <c r="CV144" s="13">
        <f t="shared" si="149"/>
        <v>2.4004382776176369E-12</v>
      </c>
      <c r="CW144" s="20">
        <f t="shared" si="121"/>
        <v>4.4767801741866136E-12</v>
      </c>
      <c r="CX144" s="59">
        <f t="shared" si="122"/>
        <v>293.33333333333781</v>
      </c>
      <c r="CY144" s="59">
        <f ca="1">AVERAGE(OFFSET($CX$3,0,0,'Données projet'!$E$13+1,1))-AVERAGE(OFFSET($H$3,0,0,'Données projet'!$E$13+1,1))</f>
        <v>319.9010109022521</v>
      </c>
      <c r="CZ144" s="59">
        <f t="shared" si="150"/>
        <v>441.82647565372287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24.374319615547908</v>
      </c>
      <c r="DG144" s="21">
        <f>EXP(-LN(2)/25)*DG143+(1-EXP(-LN(2)/25))/(LN(2)/25)*Calculateur!DB144*Calculateur!DD144*VLOOKUP('Données projet'!$B$13,Paramètres!$A$1:$I$89,3,0)*0.475*44/12</f>
        <v>5.5167383599587518</v>
      </c>
      <c r="DH144" s="21">
        <f>EXP(-LN(2)/2)*DH143+(1-EXP(-LN(2)/2))/(LN(2)/2)*DB144*DE144*VLOOKUP('Données projet'!$B$13,Paramètres!$A$1:$I$89,3,0)*0.475*44/12</f>
        <v>1.285850706852367E-12</v>
      </c>
      <c r="DI144" s="22">
        <f t="shared" si="123"/>
        <v>29.891057975507945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>
        <f>DO144*VLOOKUP('Données projet'!$B$14,Paramètres!$A$1:$I$89,3,0)*VLOOKUP('Données projet'!$B$14,Paramètres!$A$1:$I$89,5,0)</f>
        <v>0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229.61973863654862</v>
      </c>
      <c r="DU144" s="59">
        <f t="shared" si="152"/>
        <v>254.08208375594052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21.558906769210544</v>
      </c>
      <c r="EB144" s="21">
        <f>EXP(-LN(2)/25)*EB143+(1-EXP(-LN(2)/25))/(LN(2)/25)*Calculateur!DW144*Calculateur!DY144*VLOOKUP('Données projet'!$B$14,Paramètres!$A$1:$I$89,3,0)*0.475*44/12</f>
        <v>5.2939758517666702</v>
      </c>
      <c r="EC144" s="21">
        <f>EXP(-LN(2)/2)*EC143+(1-EXP(-LN(2)/2))/(LN(2)/2)*DW144*DZ144*VLOOKUP('Données projet'!$B$14,Paramètres!$A$1:$I$89,3,0)*0.475*44/12</f>
        <v>2.8973273479355269E-11</v>
      </c>
      <c r="ED144" s="22">
        <f t="shared" si="126"/>
        <v>26.852882621006188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-5.1159076974727213E-13</v>
      </c>
      <c r="O145" s="13">
        <f>N145*VLOOKUP('Données projet'!$B$9,Paramètres!$A$1:$I$89,3,0)*VLOOKUP('Données projet'!$B$9,Paramètres!$A$1:$I$89,5,0)</f>
        <v>-4.6288732846733184E-13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373.59295497283125</v>
      </c>
      <c r="T145" s="59">
        <f t="shared" si="142"/>
        <v>231.36959598460686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80.454741619047567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80.454741619047567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-5.1159076974727213E-13</v>
      </c>
      <c r="AJ145" s="13">
        <f>AI145*VLOOKUP('Données projet'!$B$10,Paramètres!$A$1:$I$89,3,0)*VLOOKUP('Données projet'!$B$10,Paramètres!$A$1:$I$89,5,0)</f>
        <v>-5.1875304052373401E-13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413.81510455446738</v>
      </c>
      <c r="AO145" s="59">
        <f t="shared" si="144"/>
        <v>254.25036207346602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90.164796642036023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90.164796642036023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-1.1368683772161603E-13</v>
      </c>
      <c r="BE145" s="13">
        <f>BD145*VLOOKUP('Données projet'!$B$11,Paramètres!$A$1:$I$89,3,0)*VLOOKUP('Données projet'!$B$11,Paramètres!$A$1:$I$89,5,0)</f>
        <v>-1.0995790944434703E-13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295.35565287134125</v>
      </c>
      <c r="BJ145" s="59">
        <f t="shared" si="146"/>
        <v>244.451492444461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26.656708127569111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26.656708127569111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-1.1368683772161603E-13</v>
      </c>
      <c r="BZ145" s="13">
        <f>BY145*VLOOKUP('Données projet'!$B$12,Paramètres!$A$1:$I$89,3,0)*VLOOKUP('Données projet'!$B$12,Paramètres!$A$1:$I$89,5,0)</f>
        <v>-1.223725121235475E-13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324.61094137855798</v>
      </c>
      <c r="CE145" s="59">
        <f t="shared" si="148"/>
        <v>267.2998309535638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29.666336464552732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29.666336464552732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2.8421709430404007E-13</v>
      </c>
      <c r="CU145" s="17">
        <f>CT145*VLOOKUP('Données projet'!$B$13,Paramètres!$A$1:$I$89,3,0)*VLOOKUP('Données projet'!$B$13,Paramètres!$A$1:$I$89,5,0)</f>
        <v>1.69961822393816E-13</v>
      </c>
      <c r="CV145" s="13">
        <f t="shared" si="149"/>
        <v>2.4004382776176369E-12</v>
      </c>
      <c r="CW145" s="20">
        <f t="shared" si="121"/>
        <v>4.4767801741866136E-12</v>
      </c>
      <c r="CX145" s="59">
        <f t="shared" si="122"/>
        <v>293.33333333333781</v>
      </c>
      <c r="CY145" s="59">
        <f ca="1">AVERAGE(OFFSET($CX$3,0,0,'Données projet'!$E$13+1,1))-AVERAGE(OFFSET($H$3,0,0,'Données projet'!$E$13+1,1))</f>
        <v>319.9010109022521</v>
      </c>
      <c r="CZ145" s="59">
        <f t="shared" si="150"/>
        <v>441.82647565372287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23.896354074753997</v>
      </c>
      <c r="DG145" s="21">
        <f>EXP(-LN(2)/25)*DG144+(1-EXP(-LN(2)/25))/(LN(2)/25)*Calculateur!DB145*Calculateur!DD145*VLOOKUP('Données projet'!$B$13,Paramètres!$A$1:$I$89,3,0)*0.475*44/12</f>
        <v>5.3658828593930181</v>
      </c>
      <c r="DH145" s="21">
        <f>EXP(-LN(2)/2)*DH144+(1-EXP(-LN(2)/2))/(LN(2)/2)*DB145*DE145*VLOOKUP('Données projet'!$B$13,Paramètres!$A$1:$I$89,3,0)*0.475*44/12</f>
        <v>9.092337544088242E-13</v>
      </c>
      <c r="DI145" s="22">
        <f t="shared" si="123"/>
        <v>29.262236934147925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>
        <f>DO145*VLOOKUP('Données projet'!$B$14,Paramètres!$A$1:$I$89,3,0)*VLOOKUP('Données projet'!$B$14,Paramètres!$A$1:$I$89,5,0)</f>
        <v>0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229.61973863654862</v>
      </c>
      <c r="DU145" s="59">
        <f t="shared" si="152"/>
        <v>254.08208375594052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21.136149757101037</v>
      </c>
      <c r="EB145" s="21">
        <f>EXP(-LN(2)/25)*EB144+(1-EXP(-LN(2)/25))/(LN(2)/25)*Calculateur!DW145*Calculateur!DY145*VLOOKUP('Données projet'!$B$14,Paramètres!$A$1:$I$89,3,0)*0.475*44/12</f>
        <v>5.1492118037020198</v>
      </c>
      <c r="EC145" s="21">
        <f>EXP(-LN(2)/2)*EC144+(1-EXP(-LN(2)/2))/(LN(2)/2)*DW145*DZ145*VLOOKUP('Données projet'!$B$14,Paramètres!$A$1:$I$89,3,0)*0.475*44/12</f>
        <v>2.0487198150424468E-11</v>
      </c>
      <c r="ED145" s="22">
        <f t="shared" si="126"/>
        <v>26.285361560823546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-5.1159076974727213E-13</v>
      </c>
      <c r="O146" s="13">
        <f>N146*VLOOKUP('Données projet'!$B$9,Paramètres!$A$1:$I$89,3,0)*VLOOKUP('Données projet'!$B$9,Paramètres!$A$1:$I$89,5,0)</f>
        <v>-4.6288732846733184E-13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373.59295497283125</v>
      </c>
      <c r="T146" s="59">
        <f t="shared" si="142"/>
        <v>231.36959598460686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78.877073208444926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78.877073208444926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-5.1159076974727213E-13</v>
      </c>
      <c r="AJ146" s="13">
        <f>AI146*VLOOKUP('Données projet'!$B$10,Paramètres!$A$1:$I$89,3,0)*VLOOKUP('Données projet'!$B$10,Paramètres!$A$1:$I$89,5,0)</f>
        <v>-5.1875304052373401E-13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413.81510455446738</v>
      </c>
      <c r="AO146" s="59">
        <f t="shared" si="144"/>
        <v>254.25036207346602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88.396719974981337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88.396719974981337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-1.1368683772161603E-13</v>
      </c>
      <c r="BE146" s="13">
        <f>BD146*VLOOKUP('Données projet'!$B$11,Paramètres!$A$1:$I$89,3,0)*VLOOKUP('Données projet'!$B$11,Paramètres!$A$1:$I$89,5,0)</f>
        <v>-1.0995790944434703E-13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295.35565287134125</v>
      </c>
      <c r="BJ146" s="59">
        <f t="shared" si="146"/>
        <v>244.451492444461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26.133986340173998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26.133986340173998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-1.1368683772161603E-13</v>
      </c>
      <c r="BZ146" s="13">
        <f>BY146*VLOOKUP('Données projet'!$B$12,Paramètres!$A$1:$I$89,3,0)*VLOOKUP('Données projet'!$B$12,Paramètres!$A$1:$I$89,5,0)</f>
        <v>-1.223725121235475E-13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324.61094137855798</v>
      </c>
      <c r="CE146" s="59">
        <f t="shared" si="148"/>
        <v>267.2998309535638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29.084597701161396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29.084597701161396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2.8421709430404007E-13</v>
      </c>
      <c r="CU146" s="17">
        <f>CT146*VLOOKUP('Données projet'!$B$13,Paramètres!$A$1:$I$89,3,0)*VLOOKUP('Données projet'!$B$13,Paramètres!$A$1:$I$89,5,0)</f>
        <v>1.69961822393816E-13</v>
      </c>
      <c r="CV146" s="13">
        <f t="shared" si="149"/>
        <v>2.4004382776176369E-12</v>
      </c>
      <c r="CW146" s="20">
        <f t="shared" si="121"/>
        <v>4.4767801741866136E-12</v>
      </c>
      <c r="CX146" s="59">
        <f t="shared" si="122"/>
        <v>293.33333333333781</v>
      </c>
      <c r="CY146" s="59">
        <f ca="1">AVERAGE(OFFSET($CX$3,0,0,'Données projet'!$E$13+1,1))-AVERAGE(OFFSET($H$3,0,0,'Données projet'!$E$13+1,1))</f>
        <v>319.9010109022521</v>
      </c>
      <c r="CZ146" s="59">
        <f t="shared" si="150"/>
        <v>441.82647565372287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23.427761146684862</v>
      </c>
      <c r="DG146" s="21">
        <f>EXP(-LN(2)/25)*DG145+(1-EXP(-LN(2)/25))/(LN(2)/25)*Calculateur!DB146*Calculateur!DD146*VLOOKUP('Données projet'!$B$13,Paramètres!$A$1:$I$89,3,0)*0.475*44/12</f>
        <v>5.2191525104234007</v>
      </c>
      <c r="DH146" s="21">
        <f>EXP(-LN(2)/2)*DH145+(1-EXP(-LN(2)/2))/(LN(2)/2)*DB146*DE146*VLOOKUP('Données projet'!$B$13,Paramètres!$A$1:$I$89,3,0)*0.475*44/12</f>
        <v>6.4292535342618362E-13</v>
      </c>
      <c r="DI146" s="22">
        <f t="shared" si="123"/>
        <v>28.646913657108907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>
        <f>DO146*VLOOKUP('Données projet'!$B$14,Paramètres!$A$1:$I$89,3,0)*VLOOKUP('Données projet'!$B$14,Paramètres!$A$1:$I$89,5,0)</f>
        <v>0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229.61973863654862</v>
      </c>
      <c r="DU146" s="59">
        <f t="shared" si="152"/>
        <v>254.08208375594052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20.72168275214268</v>
      </c>
      <c r="EB146" s="21">
        <f>EXP(-LN(2)/25)*EB145+(1-EXP(-LN(2)/25))/(LN(2)/25)*Calculateur!DW146*Calculateur!DY146*VLOOKUP('Données projet'!$B$14,Paramètres!$A$1:$I$89,3,0)*0.475*44/12</f>
        <v>5.0084063361445077</v>
      </c>
      <c r="EC146" s="21">
        <f>EXP(-LN(2)/2)*EC145+(1-EXP(-LN(2)/2))/(LN(2)/2)*DW146*DZ146*VLOOKUP('Données projet'!$B$14,Paramètres!$A$1:$I$89,3,0)*0.475*44/12</f>
        <v>1.4486636739677636E-11</v>
      </c>
      <c r="ED146" s="22">
        <f t="shared" si="126"/>
        <v>25.730089088301675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-5.1159076974727213E-13</v>
      </c>
      <c r="O147" s="13">
        <f>N147*VLOOKUP('Données projet'!$B$9,Paramètres!$A$1:$I$89,3,0)*VLOOKUP('Données projet'!$B$9,Paramètres!$A$1:$I$89,5,0)</f>
        <v>-4.6288732846733184E-13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373.59295497283125</v>
      </c>
      <c r="T147" s="59">
        <f t="shared" si="142"/>
        <v>231.36959598460686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77.330341913091488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77.330341913091488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-5.1159076974727213E-13</v>
      </c>
      <c r="AJ147" s="13">
        <f>AI147*VLOOKUP('Données projet'!$B$10,Paramètres!$A$1:$I$89,3,0)*VLOOKUP('Données projet'!$B$10,Paramètres!$A$1:$I$89,5,0)</f>
        <v>-5.1875304052373401E-13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413.81510455446738</v>
      </c>
      <c r="AO147" s="59">
        <f t="shared" si="144"/>
        <v>254.25036207346602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86.663314212947313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86.663314212947313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-1.1368683772161603E-13</v>
      </c>
      <c r="BE147" s="13">
        <f>BD147*VLOOKUP('Données projet'!$B$11,Paramètres!$A$1:$I$89,3,0)*VLOOKUP('Données projet'!$B$11,Paramètres!$A$1:$I$89,5,0)</f>
        <v>-1.0995790944434703E-13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295.35565287134125</v>
      </c>
      <c r="BJ147" s="59">
        <f t="shared" si="146"/>
        <v>244.451492444461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25.621514808200892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25.621514808200892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-1.1368683772161603E-13</v>
      </c>
      <c r="BZ147" s="13">
        <f>BY147*VLOOKUP('Données projet'!$B$12,Paramètres!$A$1:$I$89,3,0)*VLOOKUP('Données projet'!$B$12,Paramètres!$A$1:$I$89,5,0)</f>
        <v>-1.223725121235475E-13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324.61094137855798</v>
      </c>
      <c r="CE147" s="59">
        <f t="shared" si="148"/>
        <v>267.2998309535638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28.514266480094555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28.514266480094555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2.8421709430404007E-13</v>
      </c>
      <c r="CU147" s="17">
        <f>CT147*VLOOKUP('Données projet'!$B$13,Paramètres!$A$1:$I$89,3,0)*VLOOKUP('Données projet'!$B$13,Paramètres!$A$1:$I$89,5,0)</f>
        <v>1.69961822393816E-13</v>
      </c>
      <c r="CV147" s="13">
        <f t="shared" si="149"/>
        <v>2.4004382776176369E-12</v>
      </c>
      <c r="CW147" s="20">
        <f t="shared" si="121"/>
        <v>4.4767801741866136E-12</v>
      </c>
      <c r="CX147" s="59">
        <f t="shared" si="122"/>
        <v>293.33333333333781</v>
      </c>
      <c r="CY147" s="59">
        <f ca="1">AVERAGE(OFFSET($CX$3,0,0,'Données projet'!$E$13+1,1))-AVERAGE(OFFSET($H$3,0,0,'Données projet'!$E$13+1,1))</f>
        <v>319.9010109022521</v>
      </c>
      <c r="CZ147" s="59">
        <f t="shared" si="150"/>
        <v>441.82647565372287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22.968357040121699</v>
      </c>
      <c r="DG147" s="21">
        <f>EXP(-LN(2)/25)*DG146+(1-EXP(-LN(2)/25))/(LN(2)/25)*Calculateur!DB147*Calculateur!DD147*VLOOKUP('Données projet'!$B$13,Paramètres!$A$1:$I$89,3,0)*0.475*44/12</f>
        <v>5.0764345105625708</v>
      </c>
      <c r="DH147" s="21">
        <f>EXP(-LN(2)/2)*DH146+(1-EXP(-LN(2)/2))/(LN(2)/2)*DB147*DE147*VLOOKUP('Données projet'!$B$13,Paramètres!$A$1:$I$89,3,0)*0.475*44/12</f>
        <v>4.546168772044122E-13</v>
      </c>
      <c r="DI147" s="22">
        <f t="shared" si="123"/>
        <v>28.044791550684725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>
        <f>DO147*VLOOKUP('Données projet'!$B$14,Paramètres!$A$1:$I$89,3,0)*VLOOKUP('Données projet'!$B$14,Paramètres!$A$1:$I$89,5,0)</f>
        <v>0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229.61973863654862</v>
      </c>
      <c r="DU147" s="59">
        <f t="shared" si="152"/>
        <v>254.08208375594052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20.315343192351644</v>
      </c>
      <c r="EB147" s="21">
        <f>EXP(-LN(2)/25)*EB146+(1-EXP(-LN(2)/25))/(LN(2)/25)*Calculateur!DW147*Calculateur!DY147*VLOOKUP('Données projet'!$B$14,Paramètres!$A$1:$I$89,3,0)*0.475*44/12</f>
        <v>4.8714512015019942</v>
      </c>
      <c r="EC147" s="21">
        <f>EXP(-LN(2)/2)*EC146+(1-EXP(-LN(2)/2))/(LN(2)/2)*DW147*DZ147*VLOOKUP('Données projet'!$B$14,Paramètres!$A$1:$I$89,3,0)*0.475*44/12</f>
        <v>1.0243599075212236E-11</v>
      </c>
      <c r="ED147" s="22">
        <f t="shared" si="126"/>
        <v>25.186794393863881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-5.1159076974727213E-13</v>
      </c>
      <c r="O148" s="13">
        <f>N148*VLOOKUP('Données projet'!$B$9,Paramètres!$A$1:$I$89,3,0)*VLOOKUP('Données projet'!$B$9,Paramètres!$A$1:$I$89,5,0)</f>
        <v>-4.6288732846733184E-13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373.59295497283125</v>
      </c>
      <c r="T148" s="59">
        <f t="shared" si="142"/>
        <v>231.36959598460686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75.813941075026989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75.813941075026989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-5.1159076974727213E-13</v>
      </c>
      <c r="AJ148" s="13">
        <f>AI148*VLOOKUP('Données projet'!$B$10,Paramètres!$A$1:$I$89,3,0)*VLOOKUP('Données projet'!$B$10,Paramètres!$A$1:$I$89,5,0)</f>
        <v>-5.1875304052373401E-13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413.81510455446738</v>
      </c>
      <c r="AO148" s="59">
        <f t="shared" si="144"/>
        <v>254.25036207346602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84.963899480633657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84.963899480633657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-1.1368683772161603E-13</v>
      </c>
      <c r="BE148" s="13">
        <f>BD148*VLOOKUP('Données projet'!$B$11,Paramètres!$A$1:$I$89,3,0)*VLOOKUP('Données projet'!$B$11,Paramètres!$A$1:$I$89,5,0)</f>
        <v>-1.0995790944434703E-13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295.35565287134125</v>
      </c>
      <c r="BJ148" s="59">
        <f t="shared" si="146"/>
        <v>244.451492444461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25.119092530393011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25.119092530393011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-1.1368683772161603E-13</v>
      </c>
      <c r="BZ148" s="13">
        <f>BY148*VLOOKUP('Données projet'!$B$12,Paramètres!$A$1:$I$89,3,0)*VLOOKUP('Données projet'!$B$12,Paramètres!$A$1:$I$89,5,0)</f>
        <v>-1.223725121235475E-13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324.61094137855798</v>
      </c>
      <c r="CE148" s="59">
        <f t="shared" si="148"/>
        <v>267.2998309535638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27.955119106405139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27.955119106405139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2.8421709430404007E-13</v>
      </c>
      <c r="CU148" s="17">
        <f>CT148*VLOOKUP('Données projet'!$B$13,Paramètres!$A$1:$I$89,3,0)*VLOOKUP('Données projet'!$B$13,Paramètres!$A$1:$I$89,5,0)</f>
        <v>1.69961822393816E-13</v>
      </c>
      <c r="CV148" s="13">
        <f t="shared" si="149"/>
        <v>2.4004382776176369E-12</v>
      </c>
      <c r="CW148" s="20">
        <f t="shared" si="121"/>
        <v>4.4767801741866136E-12</v>
      </c>
      <c r="CX148" s="59">
        <f t="shared" si="122"/>
        <v>293.33333333333781</v>
      </c>
      <c r="CY148" s="59">
        <f ca="1">AVERAGE(OFFSET($CX$3,0,0,'Données projet'!$E$13+1,1))-AVERAGE(OFFSET($H$3,0,0,'Données projet'!$E$13+1,1))</f>
        <v>319.9010109022521</v>
      </c>
      <c r="CZ148" s="59">
        <f t="shared" si="150"/>
        <v>441.82647565372287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22.517961567879404</v>
      </c>
      <c r="DG148" s="21">
        <f>EXP(-LN(2)/25)*DG147+(1-EXP(-LN(2)/25))/(LN(2)/25)*Calculateur!DB148*Calculateur!DD148*VLOOKUP('Données projet'!$B$13,Paramètres!$A$1:$I$89,3,0)*0.475*44/12</f>
        <v>4.9376191419131485</v>
      </c>
      <c r="DH148" s="21">
        <f>EXP(-LN(2)/2)*DH147+(1-EXP(-LN(2)/2))/(LN(2)/2)*DB148*DE148*VLOOKUP('Données projet'!$B$13,Paramètres!$A$1:$I$89,3,0)*0.475*44/12</f>
        <v>3.2146267671309186E-13</v>
      </c>
      <c r="DI148" s="22">
        <f t="shared" si="123"/>
        <v>27.455580709792873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>
        <f>DO148*VLOOKUP('Données projet'!$B$14,Paramètres!$A$1:$I$89,3,0)*VLOOKUP('Données projet'!$B$14,Paramètres!$A$1:$I$89,5,0)</f>
        <v>0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229.61973863654862</v>
      </c>
      <c r="DU148" s="59">
        <f t="shared" si="152"/>
        <v>254.08208375594052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19.916971703485451</v>
      </c>
      <c r="EB148" s="21">
        <f>EXP(-LN(2)/25)*EB147+(1-EXP(-LN(2)/25))/(LN(2)/25)*Calculateur!DW148*Calculateur!DY148*VLOOKUP('Données projet'!$B$14,Paramètres!$A$1:$I$89,3,0)*0.475*44/12</f>
        <v>4.7382411122184376</v>
      </c>
      <c r="EC148" s="21">
        <f>EXP(-LN(2)/2)*EC147+(1-EXP(-LN(2)/2))/(LN(2)/2)*DW148*DZ148*VLOOKUP('Données projet'!$B$14,Paramètres!$A$1:$I$89,3,0)*0.475*44/12</f>
        <v>7.2433183698388196E-12</v>
      </c>
      <c r="ED148" s="22">
        <f t="shared" si="126"/>
        <v>24.655212815711135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-5.1159076974727213E-13</v>
      </c>
      <c r="O149" s="13">
        <f>N149*VLOOKUP('Données projet'!$B$9,Paramètres!$A$1:$I$89,3,0)*VLOOKUP('Données projet'!$B$9,Paramètres!$A$1:$I$89,5,0)</f>
        <v>-4.6288732846733184E-13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373.59295497283125</v>
      </c>
      <c r="T149" s="59">
        <f t="shared" si="142"/>
        <v>231.36959598460686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74.327275932483758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74.327275932483758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-5.1159076974727213E-13</v>
      </c>
      <c r="AJ149" s="13">
        <f>AI149*VLOOKUP('Données projet'!$B$10,Paramètres!$A$1:$I$89,3,0)*VLOOKUP('Données projet'!$B$10,Paramètres!$A$1:$I$89,5,0)</f>
        <v>-5.1875304052373401E-13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413.81510455446738</v>
      </c>
      <c r="AO149" s="59">
        <f t="shared" si="144"/>
        <v>254.25036207346602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83.297809234680031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83.297809234680031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-1.1368683772161603E-13</v>
      </c>
      <c r="BE149" s="13">
        <f>BD149*VLOOKUP('Données projet'!$B$11,Paramètres!$A$1:$I$89,3,0)*VLOOKUP('Données projet'!$B$11,Paramètres!$A$1:$I$89,5,0)</f>
        <v>-1.0995790944434703E-13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295.35565287134125</v>
      </c>
      <c r="BJ149" s="59">
        <f t="shared" si="146"/>
        <v>244.451492444461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24.626522447005613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24.626522447005613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-1.1368683772161603E-13</v>
      </c>
      <c r="BZ149" s="13">
        <f>BY149*VLOOKUP('Données projet'!$B$12,Paramètres!$A$1:$I$89,3,0)*VLOOKUP('Données projet'!$B$12,Paramètres!$A$1:$I$89,5,0)</f>
        <v>-1.223725121235475E-13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324.61094137855798</v>
      </c>
      <c r="CE149" s="59">
        <f t="shared" si="148"/>
        <v>267.2998309535638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27.406936271667547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27.406936271667547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2.8421709430404007E-13</v>
      </c>
      <c r="CU149" s="17">
        <f>CT149*VLOOKUP('Données projet'!$B$13,Paramètres!$A$1:$I$89,3,0)*VLOOKUP('Données projet'!$B$13,Paramètres!$A$1:$I$89,5,0)</f>
        <v>1.69961822393816E-13</v>
      </c>
      <c r="CV149" s="13">
        <f t="shared" si="149"/>
        <v>2.4004382776176369E-12</v>
      </c>
      <c r="CW149" s="20">
        <f t="shared" si="121"/>
        <v>4.4767801741866136E-12</v>
      </c>
      <c r="CX149" s="59">
        <f t="shared" si="122"/>
        <v>293.33333333333781</v>
      </c>
      <c r="CY149" s="59">
        <f ca="1">AVERAGE(OFFSET($CX$3,0,0,'Données projet'!$E$13+1,1))-AVERAGE(OFFSET($H$3,0,0,'Données projet'!$E$13+1,1))</f>
        <v>319.9010109022521</v>
      </c>
      <c r="CZ149" s="59">
        <f t="shared" si="150"/>
        <v>441.82647565372287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22.076398076133664</v>
      </c>
      <c r="DG149" s="21">
        <f>EXP(-LN(2)/25)*DG148+(1-EXP(-LN(2)/25))/(LN(2)/25)*Calculateur!DB149*Calculateur!DD149*VLOOKUP('Données projet'!$B$13,Paramètres!$A$1:$I$89,3,0)*0.475*44/12</f>
        <v>4.8025996868194278</v>
      </c>
      <c r="DH149" s="21">
        <f>EXP(-LN(2)/2)*DH148+(1-EXP(-LN(2)/2))/(LN(2)/2)*DB149*DE149*VLOOKUP('Données projet'!$B$13,Paramètres!$A$1:$I$89,3,0)*0.475*44/12</f>
        <v>2.2730843860220612E-13</v>
      </c>
      <c r="DI149" s="22">
        <f t="shared" si="123"/>
        <v>26.878997762953318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>
        <f>DO149*VLOOKUP('Données projet'!$B$14,Paramètres!$A$1:$I$89,3,0)*VLOOKUP('Données projet'!$B$14,Paramètres!$A$1:$I$89,5,0)</f>
        <v>0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229.61973863654862</v>
      </c>
      <c r="DU149" s="59">
        <f t="shared" si="152"/>
        <v>254.08208375594052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19.526412036533312</v>
      </c>
      <c r="EB149" s="21">
        <f>EXP(-LN(2)/25)*EB148+(1-EXP(-LN(2)/25))/(LN(2)/25)*Calculateur!DW149*Calculateur!DY149*VLOOKUP('Données projet'!$B$14,Paramètres!$A$1:$I$89,3,0)*0.475*44/12</f>
        <v>4.6086736598315534</v>
      </c>
      <c r="EC149" s="21">
        <f>EXP(-LN(2)/2)*EC148+(1-EXP(-LN(2)/2))/(LN(2)/2)*DW149*DZ149*VLOOKUP('Données projet'!$B$14,Paramètres!$A$1:$I$89,3,0)*0.475*44/12</f>
        <v>5.1217995376061186E-12</v>
      </c>
      <c r="ED149" s="22">
        <f t="shared" si="126"/>
        <v>24.135085696369988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-5.1159076974727213E-13</v>
      </c>
      <c r="O150" s="13">
        <f>N150*VLOOKUP('Données projet'!$B$9,Paramètres!$A$1:$I$89,3,0)*VLOOKUP('Données projet'!$B$9,Paramètres!$A$1:$I$89,5,0)</f>
        <v>-4.6288732846733184E-13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373.59295497283125</v>
      </c>
      <c r="T150" s="59">
        <f t="shared" si="142"/>
        <v>231.36959598460686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72.869763386609591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72.869763386609591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-5.1159076974727213E-13</v>
      </c>
      <c r="AJ150" s="13">
        <f>AI150*VLOOKUP('Données projet'!$B$10,Paramètres!$A$1:$I$89,3,0)*VLOOKUP('Données projet'!$B$10,Paramètres!$A$1:$I$89,5,0)</f>
        <v>-5.1875304052373401E-13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413.81510455446738</v>
      </c>
      <c r="AO150" s="59">
        <f t="shared" si="144"/>
        <v>254.25036207346602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81.664390002234853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81.664390002234853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-1.1368683772161603E-13</v>
      </c>
      <c r="BE150" s="13">
        <f>BD150*VLOOKUP('Données projet'!$B$11,Paramètres!$A$1:$I$89,3,0)*VLOOKUP('Données projet'!$B$11,Paramètres!$A$1:$I$89,5,0)</f>
        <v>-1.0995790944434703E-13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295.35565287134125</v>
      </c>
      <c r="BJ150" s="59">
        <f t="shared" si="146"/>
        <v>244.451492444461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24.143611362515355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24.143611362515355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-1.1368683772161603E-13</v>
      </c>
      <c r="BZ150" s="13">
        <f>BY150*VLOOKUP('Données projet'!$B$12,Paramètres!$A$1:$I$89,3,0)*VLOOKUP('Données projet'!$B$12,Paramètres!$A$1:$I$89,5,0)</f>
        <v>-1.223725121235475E-13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324.61094137855798</v>
      </c>
      <c r="CE150" s="59">
        <f t="shared" si="148"/>
        <v>267.2998309535638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26.869502967960646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26.869502967960646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2.8421709430404007E-13</v>
      </c>
      <c r="CU150" s="17">
        <f>CT150*VLOOKUP('Données projet'!$B$13,Paramètres!$A$1:$I$89,3,0)*VLOOKUP('Données projet'!$B$13,Paramètres!$A$1:$I$89,5,0)</f>
        <v>1.69961822393816E-13</v>
      </c>
      <c r="CV150" s="13">
        <f t="shared" si="149"/>
        <v>2.4004382776176369E-12</v>
      </c>
      <c r="CW150" s="20">
        <f t="shared" si="121"/>
        <v>4.4767801741866136E-12</v>
      </c>
      <c r="CX150" s="59">
        <f t="shared" si="122"/>
        <v>293.33333333333781</v>
      </c>
      <c r="CY150" s="59">
        <f ca="1">AVERAGE(OFFSET($CX$3,0,0,'Données projet'!$E$13+1,1))-AVERAGE(OFFSET($H$3,0,0,'Données projet'!$E$13+1,1))</f>
        <v>319.9010109022521</v>
      </c>
      <c r="CZ150" s="59">
        <f t="shared" si="150"/>
        <v>441.82647565372287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21.643493375133925</v>
      </c>
      <c r="DG150" s="21">
        <f>EXP(-LN(2)/25)*DG149+(1-EXP(-LN(2)/25))/(LN(2)/25)*Calculateur!DB150*Calculateur!DD150*VLOOKUP('Données projet'!$B$13,Paramètres!$A$1:$I$89,3,0)*0.475*44/12</f>
        <v>4.6712723458256091</v>
      </c>
      <c r="DH150" s="21">
        <f>EXP(-LN(2)/2)*DH149+(1-EXP(-LN(2)/2))/(LN(2)/2)*DB150*DE150*VLOOKUP('Données projet'!$B$13,Paramètres!$A$1:$I$89,3,0)*0.475*44/12</f>
        <v>1.6073133835654596E-13</v>
      </c>
      <c r="DI150" s="22">
        <f t="shared" si="123"/>
        <v>26.314765720959695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>
        <f>DO150*VLOOKUP('Données projet'!$B$14,Paramètres!$A$1:$I$89,3,0)*VLOOKUP('Données projet'!$B$14,Paramètres!$A$1:$I$89,5,0)</f>
        <v>0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229.61973863654862</v>
      </c>
      <c r="DU150" s="59">
        <f t="shared" si="152"/>
        <v>254.08208375594052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19.143511006432227</v>
      </c>
      <c r="EB150" s="21">
        <f>EXP(-LN(2)/25)*EB149+(1-EXP(-LN(2)/25))/(LN(2)/25)*Calculateur!DW150*Calculateur!DY150*VLOOKUP('Données projet'!$B$14,Paramètres!$A$1:$I$89,3,0)*0.475*44/12</f>
        <v>4.4826492362438453</v>
      </c>
      <c r="EC150" s="21">
        <f>EXP(-LN(2)/2)*EC149+(1-EXP(-LN(2)/2))/(LN(2)/2)*DW150*DZ150*VLOOKUP('Données projet'!$B$14,Paramètres!$A$1:$I$89,3,0)*0.475*44/12</f>
        <v>3.6216591849194102E-12</v>
      </c>
      <c r="ED150" s="22">
        <f t="shared" si="126"/>
        <v>23.626160242679692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-5.1159076974727213E-13</v>
      </c>
      <c r="O151" s="13">
        <f>N151*VLOOKUP('Données projet'!$B$9,Paramètres!$A$1:$I$89,3,0)*VLOOKUP('Données projet'!$B$9,Paramètres!$A$1:$I$89,5,0)</f>
        <v>-4.6288732846733184E-13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373.59295497283125</v>
      </c>
      <c r="T151" s="59">
        <f t="shared" si="142"/>
        <v>231.36959598460686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71.440831772765151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71.440831772765151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-5.1159076974727213E-13</v>
      </c>
      <c r="AJ151" s="13">
        <f>AI151*VLOOKUP('Données projet'!$B$10,Paramètres!$A$1:$I$89,3,0)*VLOOKUP('Données projet'!$B$10,Paramètres!$A$1:$I$89,5,0)</f>
        <v>-5.1875304052373401E-13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413.81510455446738</v>
      </c>
      <c r="AO151" s="59">
        <f t="shared" si="144"/>
        <v>254.25036207346602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80.063001124650569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80.063001124650569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-1.1368683772161603E-13</v>
      </c>
      <c r="BE151" s="13">
        <f>BD151*VLOOKUP('Données projet'!$B$11,Paramètres!$A$1:$I$89,3,0)*VLOOKUP('Données projet'!$B$11,Paramètres!$A$1:$I$89,5,0)</f>
        <v>-1.0995790944434703E-13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295.35565287134125</v>
      </c>
      <c r="BJ151" s="59">
        <f t="shared" si="146"/>
        <v>244.451492444461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23.670169869845274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23.670169869845274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-1.1368683772161603E-13</v>
      </c>
      <c r="BZ151" s="13">
        <f>BY151*VLOOKUP('Données projet'!$B$12,Paramètres!$A$1:$I$89,3,0)*VLOOKUP('Données projet'!$B$12,Paramètres!$A$1:$I$89,5,0)</f>
        <v>-1.223725121235475E-13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324.61094137855798</v>
      </c>
      <c r="CE151" s="59">
        <f t="shared" si="148"/>
        <v>267.2998309535638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26.34260840353749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26.34260840353749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2.8421709430404007E-13</v>
      </c>
      <c r="CU151" s="17">
        <f>CT151*VLOOKUP('Données projet'!$B$13,Paramètres!$A$1:$I$89,3,0)*VLOOKUP('Données projet'!$B$13,Paramètres!$A$1:$I$89,5,0)</f>
        <v>1.69961822393816E-13</v>
      </c>
      <c r="CV151" s="13">
        <f t="shared" si="149"/>
        <v>2.4004382776176369E-12</v>
      </c>
      <c r="CW151" s="20">
        <f t="shared" si="121"/>
        <v>4.4767801741866136E-12</v>
      </c>
      <c r="CX151" s="59">
        <f t="shared" si="122"/>
        <v>293.33333333333781</v>
      </c>
      <c r="CY151" s="59">
        <f ca="1">AVERAGE(OFFSET($CX$3,0,0,'Données projet'!$E$13+1,1))-AVERAGE(OFFSET($H$3,0,0,'Données projet'!$E$13+1,1))</f>
        <v>319.9010109022521</v>
      </c>
      <c r="CZ151" s="59">
        <f t="shared" si="150"/>
        <v>441.82647565372287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21.219077671274995</v>
      </c>
      <c r="DG151" s="21">
        <f>EXP(-LN(2)/25)*DG150+(1-EXP(-LN(2)/25))/(LN(2)/25)*Calculateur!DB151*Calculateur!DD151*VLOOKUP('Données projet'!$B$13,Paramètres!$A$1:$I$89,3,0)*0.475*44/12</f>
        <v>4.5435361578774716</v>
      </c>
      <c r="DH151" s="21">
        <f>EXP(-LN(2)/2)*DH150+(1-EXP(-LN(2)/2))/(LN(2)/2)*DB151*DE151*VLOOKUP('Données projet'!$B$13,Paramètres!$A$1:$I$89,3,0)*0.475*44/12</f>
        <v>1.1365421930110309E-13</v>
      </c>
      <c r="DI151" s="22">
        <f t="shared" si="123"/>
        <v>25.762613829152581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>
        <f>DO151*VLOOKUP('Données projet'!$B$14,Paramètres!$A$1:$I$89,3,0)*VLOOKUP('Données projet'!$B$14,Paramètres!$A$1:$I$89,5,0)</f>
        <v>0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229.61973863654862</v>
      </c>
      <c r="DU151" s="59">
        <f t="shared" si="152"/>
        <v>254.08208375594052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18.768118431984856</v>
      </c>
      <c r="EB151" s="21">
        <f>EXP(-LN(2)/25)*EB150+(1-EXP(-LN(2)/25))/(LN(2)/25)*Calculateur!DW151*Calculateur!DY151*VLOOKUP('Données projet'!$B$14,Paramètres!$A$1:$I$89,3,0)*0.475*44/12</f>
        <v>4.3600709571464789</v>
      </c>
      <c r="EC151" s="21">
        <f>EXP(-LN(2)/2)*EC150+(1-EXP(-LN(2)/2))/(LN(2)/2)*DW151*DZ151*VLOOKUP('Données projet'!$B$14,Paramètres!$A$1:$I$89,3,0)*0.475*44/12</f>
        <v>2.5608997688030597E-12</v>
      </c>
      <c r="ED151" s="22">
        <f t="shared" si="126"/>
        <v>23.128189389133897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-5.1159076974727213E-13</v>
      </c>
      <c r="O152" s="13">
        <f>N152*VLOOKUP('Données projet'!$B$9,Paramètres!$A$1:$I$89,3,0)*VLOOKUP('Données projet'!$B$9,Paramètres!$A$1:$I$89,5,0)</f>
        <v>-4.6288732846733184E-13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373.59295497283125</v>
      </c>
      <c r="T152" s="59">
        <f t="shared" si="142"/>
        <v>231.36959598460686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70.039920636305979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70.039920636305979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-5.1159076974727213E-13</v>
      </c>
      <c r="AJ152" s="13">
        <f>AI152*VLOOKUP('Données projet'!$B$10,Paramètres!$A$1:$I$89,3,0)*VLOOKUP('Données projet'!$B$10,Paramètres!$A$1:$I$89,5,0)</f>
        <v>-5.1875304052373401E-13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413.81510455446738</v>
      </c>
      <c r="AO152" s="59">
        <f t="shared" si="144"/>
        <v>254.25036207346602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78.493014506204943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78.493014506204943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-1.1368683772161603E-13</v>
      </c>
      <c r="BE152" s="13">
        <f>BD152*VLOOKUP('Données projet'!$B$11,Paramètres!$A$1:$I$89,3,0)*VLOOKUP('Données projet'!$B$11,Paramètres!$A$1:$I$89,5,0)</f>
        <v>-1.0995790944434703E-13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295.35565287134125</v>
      </c>
      <c r="BJ152" s="59">
        <f t="shared" si="146"/>
        <v>244.451492444461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23.206012276075658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23.206012276075658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-1.1368683772161603E-13</v>
      </c>
      <c r="BZ152" s="13">
        <f>BY152*VLOOKUP('Données projet'!$B$12,Paramètres!$A$1:$I$89,3,0)*VLOOKUP('Données projet'!$B$12,Paramètres!$A$1:$I$89,5,0)</f>
        <v>-1.223725121235475E-13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324.61094137855798</v>
      </c>
      <c r="CE152" s="59">
        <f t="shared" si="148"/>
        <v>267.2998309535638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25.826045920148722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25.826045920148722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2.8421709430404007E-13</v>
      </c>
      <c r="CU152" s="17">
        <f>CT152*VLOOKUP('Données projet'!$B$13,Paramètres!$A$1:$I$89,3,0)*VLOOKUP('Données projet'!$B$13,Paramètres!$A$1:$I$89,5,0)</f>
        <v>1.69961822393816E-13</v>
      </c>
      <c r="CV152" s="13">
        <f t="shared" si="149"/>
        <v>2.4004382776176369E-12</v>
      </c>
      <c r="CW152" s="20">
        <f t="shared" si="121"/>
        <v>4.4767801741866136E-12</v>
      </c>
      <c r="CX152" s="59">
        <f t="shared" si="122"/>
        <v>293.33333333333781</v>
      </c>
      <c r="CY152" s="59">
        <f ca="1">AVERAGE(OFFSET($CX$3,0,0,'Données projet'!$E$13+1,1))-AVERAGE(OFFSET($H$3,0,0,'Données projet'!$E$13+1,1))</f>
        <v>319.9010109022521</v>
      </c>
      <c r="CZ152" s="59">
        <f t="shared" si="150"/>
        <v>441.82647565372287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20.80298450050072</v>
      </c>
      <c r="DG152" s="21">
        <f>EXP(-LN(2)/25)*DG151+(1-EXP(-LN(2)/25))/(LN(2)/25)*Calculateur!DB152*Calculateur!DD152*VLOOKUP('Données projet'!$B$13,Paramètres!$A$1:$I$89,3,0)*0.475*44/12</f>
        <v>4.4192929227061297</v>
      </c>
      <c r="DH152" s="21">
        <f>EXP(-LN(2)/2)*DH151+(1-EXP(-LN(2)/2))/(LN(2)/2)*DB152*DE152*VLOOKUP('Données projet'!$B$13,Paramètres!$A$1:$I$89,3,0)*0.475*44/12</f>
        <v>8.0365669178272991E-14</v>
      </c>
      <c r="DI152" s="22">
        <f t="shared" si="123"/>
        <v>25.222277423206933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>
        <f>DO152*VLOOKUP('Données projet'!$B$14,Paramètres!$A$1:$I$89,3,0)*VLOOKUP('Données projet'!$B$14,Paramètres!$A$1:$I$89,5,0)</f>
        <v>0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229.61973863654862</v>
      </c>
      <c r="DU152" s="59">
        <f t="shared" si="152"/>
        <v>254.08208375594052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18.400087076955536</v>
      </c>
      <c r="EB152" s="21">
        <f>EXP(-LN(2)/25)*EB151+(1-EXP(-LN(2)/25))/(LN(2)/25)*Calculateur!DW152*Calculateur!DY152*VLOOKUP('Données projet'!$B$14,Paramètres!$A$1:$I$89,3,0)*0.475*44/12</f>
        <v>4.2408445875371417</v>
      </c>
      <c r="EC152" s="21">
        <f>EXP(-LN(2)/2)*EC151+(1-EXP(-LN(2)/2))/(LN(2)/2)*DW152*DZ152*VLOOKUP('Données projet'!$B$14,Paramètres!$A$1:$I$89,3,0)*0.475*44/12</f>
        <v>1.8108295924597053E-12</v>
      </c>
      <c r="ED152" s="22">
        <f t="shared" si="126"/>
        <v>22.640931664494488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-5.1159076974727213E-13</v>
      </c>
      <c r="O153" s="13">
        <f>N153*VLOOKUP('Données projet'!$B$9,Paramètres!$A$1:$I$89,3,0)*VLOOKUP('Données projet'!$B$9,Paramètres!$A$1:$I$89,5,0)</f>
        <v>-4.6288732846733184E-13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373.59295497283125</v>
      </c>
      <c r="T153" s="59">
        <f t="shared" si="142"/>
        <v>231.36959598460686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68.666480512761339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68.666480512761339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-5.1159076974727213E-13</v>
      </c>
      <c r="AJ153" s="13">
        <f>AI153*VLOOKUP('Données projet'!$B$10,Paramètres!$A$1:$I$89,3,0)*VLOOKUP('Données projet'!$B$10,Paramètres!$A$1:$I$89,5,0)</f>
        <v>-5.1875304052373401E-13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413.81510455446738</v>
      </c>
      <c r="AO153" s="59">
        <f t="shared" si="144"/>
        <v>254.25036207346602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76.953814367749743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76.953814367749743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-1.1368683772161603E-13</v>
      </c>
      <c r="BE153" s="13">
        <f>BD153*VLOOKUP('Données projet'!$B$11,Paramètres!$A$1:$I$89,3,0)*VLOOKUP('Données projet'!$B$11,Paramètres!$A$1:$I$89,5,0)</f>
        <v>-1.0995790944434703E-13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295.35565287134125</v>
      </c>
      <c r="BJ153" s="59">
        <f t="shared" si="146"/>
        <v>244.451492444461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22.750956529611685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22.750956529611685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-1.1368683772161603E-13</v>
      </c>
      <c r="BZ153" s="13">
        <f>BY153*VLOOKUP('Données projet'!$B$12,Paramètres!$A$1:$I$89,3,0)*VLOOKUP('Données projet'!$B$12,Paramètres!$A$1:$I$89,5,0)</f>
        <v>-1.223725121235475E-13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324.61094137855798</v>
      </c>
      <c r="CE153" s="59">
        <f t="shared" si="148"/>
        <v>267.2998309535638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25.319612911987203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25.319612911987203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2.8421709430404007E-13</v>
      </c>
      <c r="CU153" s="17">
        <f>CT153*VLOOKUP('Données projet'!$B$13,Paramètres!$A$1:$I$89,3,0)*VLOOKUP('Données projet'!$B$13,Paramètres!$A$1:$I$89,5,0)</f>
        <v>1.69961822393816E-13</v>
      </c>
      <c r="CV153" s="13">
        <f t="shared" si="149"/>
        <v>2.4004382776176369E-12</v>
      </c>
      <c r="CW153" s="20">
        <f t="shared" si="121"/>
        <v>4.4767801741866136E-12</v>
      </c>
      <c r="CX153" s="59">
        <f t="shared" si="122"/>
        <v>293.33333333333781</v>
      </c>
      <c r="CY153" s="59">
        <f ca="1">AVERAGE(OFFSET($CX$3,0,0,'Données projet'!$E$13+1,1))-AVERAGE(OFFSET($H$3,0,0,'Données projet'!$E$13+1,1))</f>
        <v>319.9010109022521</v>
      </c>
      <c r="CZ153" s="59">
        <f t="shared" si="150"/>
        <v>441.82647565372287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20.395050663013553</v>
      </c>
      <c r="DG153" s="21">
        <f>EXP(-LN(2)/25)*DG152+(1-EXP(-LN(2)/25))/(LN(2)/25)*Calculateur!DB153*Calculateur!DD153*VLOOKUP('Données projet'!$B$13,Paramètres!$A$1:$I$89,3,0)*0.475*44/12</f>
        <v>4.2984471253342162</v>
      </c>
      <c r="DH153" s="21">
        <f>EXP(-LN(2)/2)*DH152+(1-EXP(-LN(2)/2))/(LN(2)/2)*DB153*DE153*VLOOKUP('Données projet'!$B$13,Paramètres!$A$1:$I$89,3,0)*0.475*44/12</f>
        <v>5.682710965055155E-14</v>
      </c>
      <c r="DI153" s="22">
        <f t="shared" si="123"/>
        <v>24.693497788347827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>
        <f>DO153*VLOOKUP('Données projet'!$B$14,Paramètres!$A$1:$I$89,3,0)*VLOOKUP('Données projet'!$B$14,Paramètres!$A$1:$I$89,5,0)</f>
        <v>0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229.61973863654862</v>
      </c>
      <c r="DU153" s="59">
        <f t="shared" si="152"/>
        <v>254.08208375594052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18.039272592321382</v>
      </c>
      <c r="EB153" s="21">
        <f>EXP(-LN(2)/25)*EB152+(1-EXP(-LN(2)/25))/(LN(2)/25)*Calculateur!DW153*Calculateur!DY153*VLOOKUP('Données projet'!$B$14,Paramètres!$A$1:$I$89,3,0)*0.475*44/12</f>
        <v>4.1248784692746145</v>
      </c>
      <c r="EC153" s="21">
        <f>EXP(-LN(2)/2)*EC152+(1-EXP(-LN(2)/2))/(LN(2)/2)*DW153*DZ153*VLOOKUP('Données projet'!$B$14,Paramètres!$A$1:$I$89,3,0)*0.475*44/12</f>
        <v>1.2804498844015301E-12</v>
      </c>
      <c r="ED153" s="22">
        <f t="shared" si="126"/>
        <v>22.164151061597273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-5.1159076974727213E-13</v>
      </c>
      <c r="O154" s="13">
        <f>N154*VLOOKUP('Données projet'!$B$9,Paramètres!$A$1:$I$89,3,0)*VLOOKUP('Données projet'!$B$9,Paramètres!$A$1:$I$89,5,0)</f>
        <v>-4.6288732846733184E-13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373.59295497283125</v>
      </c>
      <c r="T154" s="59">
        <f t="shared" si="142"/>
        <v>231.36959598460686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67.319972712323661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67.319972712323661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-5.1159076974727213E-13</v>
      </c>
      <c r="AJ154" s="13">
        <f>AI154*VLOOKUP('Données projet'!$B$10,Paramètres!$A$1:$I$89,3,0)*VLOOKUP('Données projet'!$B$10,Paramètres!$A$1:$I$89,5,0)</f>
        <v>-5.1875304052373401E-13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413.81510455446738</v>
      </c>
      <c r="AO154" s="59">
        <f t="shared" si="144"/>
        <v>254.25036207346602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75.444797005190267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75.444797005190267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-1.1368683772161603E-13</v>
      </c>
      <c r="BE154" s="13">
        <f>BD154*VLOOKUP('Données projet'!$B$11,Paramètres!$A$1:$I$89,3,0)*VLOOKUP('Données projet'!$B$11,Paramètres!$A$1:$I$89,5,0)</f>
        <v>-1.0995790944434703E-13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295.35565287134125</v>
      </c>
      <c r="BJ154" s="59">
        <f t="shared" si="146"/>
        <v>244.451492444461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22.304824148779272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22.304824148779272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-1.1368683772161603E-13</v>
      </c>
      <c r="BZ154" s="13">
        <f>BY154*VLOOKUP('Données projet'!$B$12,Paramètres!$A$1:$I$89,3,0)*VLOOKUP('Données projet'!$B$12,Paramètres!$A$1:$I$89,5,0)</f>
        <v>-1.223725121235475E-13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324.61094137855798</v>
      </c>
      <c r="CE154" s="59">
        <f t="shared" si="148"/>
        <v>267.2998309535638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24.823110746222099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24.823110746222099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2.8421709430404007E-13</v>
      </c>
      <c r="CU154" s="17">
        <f>CT154*VLOOKUP('Données projet'!$B$13,Paramètres!$A$1:$I$89,3,0)*VLOOKUP('Données projet'!$B$13,Paramètres!$A$1:$I$89,5,0)</f>
        <v>1.69961822393816E-13</v>
      </c>
      <c r="CV154" s="13">
        <f t="shared" ref="CV154:CV203" si="173">EXP(-1.0587+0.8836*LN(CU154)+0.284)</f>
        <v>2.4004382776176369E-12</v>
      </c>
      <c r="CW154" s="20">
        <f t="shared" ref="CW154:CW203" si="174">(CU154+CV154)*0.475*44/12</f>
        <v>4.4767801741866136E-12</v>
      </c>
      <c r="CX154" s="59">
        <f t="shared" si="122"/>
        <v>293.33333333333781</v>
      </c>
      <c r="CY154" s="59">
        <f ca="1">AVERAGE(OFFSET($CX$3,0,0,'Données projet'!$E$13+1,1))-AVERAGE(OFFSET($H$3,0,0,'Données projet'!$E$13+1,1))</f>
        <v>319.9010109022521</v>
      </c>
      <c r="CZ154" s="59">
        <f t="shared" si="150"/>
        <v>441.82647565372287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19.995116159264438</v>
      </c>
      <c r="DG154" s="21">
        <f>EXP(-LN(2)/25)*DG153+(1-EXP(-LN(2)/25))/(LN(2)/25)*Calculateur!DB154*Calculateur!DD154*VLOOKUP('Données projet'!$B$13,Paramètres!$A$1:$I$89,3,0)*0.475*44/12</f>
        <v>4.1809058626464424</v>
      </c>
      <c r="DH154" s="21">
        <f>EXP(-LN(2)/2)*DH153+(1-EXP(-LN(2)/2))/(LN(2)/2)*DB154*DE154*VLOOKUP('Données projet'!$B$13,Paramètres!$A$1:$I$89,3,0)*0.475*44/12</f>
        <v>4.0182834589136502E-14</v>
      </c>
      <c r="DI154" s="22">
        <f t="shared" ref="DI154:DI203" si="175">SUM(DF154:DH154)</f>
        <v>24.176022021910921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>
        <f>DO154*VLOOKUP('Données projet'!$B$14,Paramètres!$A$1:$I$89,3,0)*VLOOKUP('Données projet'!$B$14,Paramètres!$A$1:$I$89,5,0)</f>
        <v>0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229.61973863654862</v>
      </c>
      <c r="DU154" s="59">
        <f t="shared" si="152"/>
        <v>254.08208375594052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17.685533459655797</v>
      </c>
      <c r="EB154" s="21">
        <f>EXP(-LN(2)/25)*EB153+(1-EXP(-LN(2)/25))/(LN(2)/25)*Calculateur!DW154*Calculateur!DY154*VLOOKUP('Données projet'!$B$14,Paramètres!$A$1:$I$89,3,0)*0.475*44/12</f>
        <v>4.0120834506143694</v>
      </c>
      <c r="EC154" s="21">
        <f>EXP(-LN(2)/2)*EC153+(1-EXP(-LN(2)/2))/(LN(2)/2)*DW154*DZ154*VLOOKUP('Données projet'!$B$14,Paramètres!$A$1:$I$89,3,0)*0.475*44/12</f>
        <v>9.0541479622985286E-13</v>
      </c>
      <c r="ED154" s="22">
        <f t="shared" ref="ED154:ED203" si="178">SUM(EA154:EC154)</f>
        <v>21.697616910271073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-5.1159076974727213E-13</v>
      </c>
      <c r="O155" s="13">
        <f>N155*VLOOKUP('Données projet'!$B$9,Paramètres!$A$1:$I$89,3,0)*VLOOKUP('Données projet'!$B$9,Paramètres!$A$1:$I$89,5,0)</f>
        <v>-4.6288732846733184E-13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373.59295497283125</v>
      </c>
      <c r="T155" s="59">
        <f t="shared" si="142"/>
        <v>231.36959598460686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65.9998691085639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65.9998691085639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-5.1159076974727213E-13</v>
      </c>
      <c r="AJ155" s="13">
        <f>AI155*VLOOKUP('Données projet'!$B$10,Paramètres!$A$1:$I$89,3,0)*VLOOKUP('Données projet'!$B$10,Paramètres!$A$1:$I$89,5,0)</f>
        <v>-5.1875304052373401E-13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413.81510455446738</v>
      </c>
      <c r="AO155" s="59">
        <f t="shared" si="144"/>
        <v>254.25036207346602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73.965370552700875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73.965370552700875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-1.1368683772161603E-13</v>
      </c>
      <c r="BE155" s="13">
        <f>BD155*VLOOKUP('Données projet'!$B$11,Paramètres!$A$1:$I$89,3,0)*VLOOKUP('Données projet'!$B$11,Paramètres!$A$1:$I$89,5,0)</f>
        <v>-1.0995790944434703E-13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295.35565287134125</v>
      </c>
      <c r="BJ155" s="59">
        <f t="shared" si="146"/>
        <v>244.451492444461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21.8674401518211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21.8674401518211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-1.1368683772161603E-13</v>
      </c>
      <c r="BZ155" s="13">
        <f>BY155*VLOOKUP('Données projet'!$B$12,Paramètres!$A$1:$I$89,3,0)*VLOOKUP('Données projet'!$B$12,Paramètres!$A$1:$I$89,5,0)</f>
        <v>-1.223725121235475E-13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324.61094137855798</v>
      </c>
      <c r="CE155" s="59">
        <f t="shared" si="148"/>
        <v>267.2998309535638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24.336344685091227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24.336344685091227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2.8421709430404007E-13</v>
      </c>
      <c r="CU155" s="17">
        <f>CT155*VLOOKUP('Données projet'!$B$13,Paramètres!$A$1:$I$89,3,0)*VLOOKUP('Données projet'!$B$13,Paramètres!$A$1:$I$89,5,0)</f>
        <v>1.69961822393816E-13</v>
      </c>
      <c r="CV155" s="13">
        <f t="shared" si="173"/>
        <v>2.4004382776176369E-12</v>
      </c>
      <c r="CW155" s="20">
        <f t="shared" si="174"/>
        <v>4.4767801741866136E-12</v>
      </c>
      <c r="CX155" s="59">
        <f t="shared" si="122"/>
        <v>293.33333333333781</v>
      </c>
      <c r="CY155" s="59">
        <f ca="1">AVERAGE(OFFSET($CX$3,0,0,'Données projet'!$E$13+1,1))-AVERAGE(OFFSET($H$3,0,0,'Données projet'!$E$13+1,1))</f>
        <v>319.9010109022521</v>
      </c>
      <c r="CZ155" s="59">
        <f t="shared" si="150"/>
        <v>441.82647565372287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19.603024127197884</v>
      </c>
      <c r="DG155" s="21">
        <f>EXP(-LN(2)/25)*DG154+(1-EXP(-LN(2)/25))/(LN(2)/25)*Calculateur!DB155*Calculateur!DD155*VLOOKUP('Données projet'!$B$13,Paramètres!$A$1:$I$89,3,0)*0.475*44/12</f>
        <v>4.0665787719680919</v>
      </c>
      <c r="DH155" s="21">
        <f>EXP(-LN(2)/2)*DH154+(1-EXP(-LN(2)/2))/(LN(2)/2)*DB155*DE155*VLOOKUP('Données projet'!$B$13,Paramètres!$A$1:$I$89,3,0)*0.475*44/12</f>
        <v>2.8413554825275778E-14</v>
      </c>
      <c r="DI155" s="22">
        <f t="shared" si="175"/>
        <v>23.669602899166005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>
        <f>DO155*VLOOKUP('Données projet'!$B$14,Paramètres!$A$1:$I$89,3,0)*VLOOKUP('Données projet'!$B$14,Paramètres!$A$1:$I$89,5,0)</f>
        <v>0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229.61973863654862</v>
      </c>
      <c r="DU155" s="59">
        <f t="shared" si="152"/>
        <v>254.08208375594052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17.33873093562222</v>
      </c>
      <c r="EB155" s="21">
        <f>EXP(-LN(2)/25)*EB154+(1-EXP(-LN(2)/25))/(LN(2)/25)*Calculateur!DW155*Calculateur!DY155*VLOOKUP('Données projet'!$B$14,Paramètres!$A$1:$I$89,3,0)*0.475*44/12</f>
        <v>3.9023728176710204</v>
      </c>
      <c r="EC155" s="21">
        <f>EXP(-LN(2)/2)*EC154+(1-EXP(-LN(2)/2))/(LN(2)/2)*DW155*DZ155*VLOOKUP('Données projet'!$B$14,Paramètres!$A$1:$I$89,3,0)*0.475*44/12</f>
        <v>6.4022494220076513E-13</v>
      </c>
      <c r="ED155" s="22">
        <f t="shared" si="178"/>
        <v>21.241103753293878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-5.1159076974727213E-13</v>
      </c>
      <c r="O156" s="13">
        <f>N156*VLOOKUP('Données projet'!$B$9,Paramètres!$A$1:$I$89,3,0)*VLOOKUP('Données projet'!$B$9,Paramètres!$A$1:$I$89,5,0)</f>
        <v>-4.6288732846733184E-13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373.59295497283125</v>
      </c>
      <c r="T156" s="59">
        <f t="shared" si="142"/>
        <v>231.36959598460686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64.705651931290177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64.705651931290177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-5.1159076974727213E-13</v>
      </c>
      <c r="AJ156" s="13">
        <f>AI156*VLOOKUP('Données projet'!$B$10,Paramètres!$A$1:$I$89,3,0)*VLOOKUP('Données projet'!$B$10,Paramètres!$A$1:$I$89,5,0)</f>
        <v>-5.1875304052373401E-13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413.81510455446738</v>
      </c>
      <c r="AO156" s="59">
        <f t="shared" si="144"/>
        <v>254.25036207346602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72.514954750583769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72.514954750583769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-1.1368683772161603E-13</v>
      </c>
      <c r="BE156" s="13">
        <f>BD156*VLOOKUP('Données projet'!$B$11,Paramètres!$A$1:$I$89,3,0)*VLOOKUP('Données projet'!$B$11,Paramètres!$A$1:$I$89,5,0)</f>
        <v>-1.0995790944434703E-13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295.35565287134125</v>
      </c>
      <c r="BJ156" s="59">
        <f t="shared" si="146"/>
        <v>244.451492444461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21.438632988265379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21.438632988265379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-1.1368683772161603E-13</v>
      </c>
      <c r="BZ156" s="13">
        <f>BY156*VLOOKUP('Données projet'!$B$12,Paramètres!$A$1:$I$89,3,0)*VLOOKUP('Données projet'!$B$12,Paramètres!$A$1:$I$89,5,0)</f>
        <v>-1.223725121235475E-13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324.61094137855798</v>
      </c>
      <c r="CE156" s="59">
        <f t="shared" si="148"/>
        <v>267.2998309535638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23.859123809521151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23.859123809521151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2.8421709430404007E-13</v>
      </c>
      <c r="CU156" s="17">
        <f>CT156*VLOOKUP('Données projet'!$B$13,Paramètres!$A$1:$I$89,3,0)*VLOOKUP('Données projet'!$B$13,Paramètres!$A$1:$I$89,5,0)</f>
        <v>1.69961822393816E-13</v>
      </c>
      <c r="CV156" s="13">
        <f t="shared" si="173"/>
        <v>2.4004382776176369E-12</v>
      </c>
      <c r="CW156" s="20">
        <f t="shared" si="174"/>
        <v>4.4767801741866136E-12</v>
      </c>
      <c r="CX156" s="59">
        <f t="shared" si="122"/>
        <v>293.33333333333781</v>
      </c>
      <c r="CY156" s="59">
        <f ca="1">AVERAGE(OFFSET($CX$3,0,0,'Données projet'!$E$13+1,1))-AVERAGE(OFFSET($H$3,0,0,'Données projet'!$E$13+1,1))</f>
        <v>319.9010109022521</v>
      </c>
      <c r="CZ156" s="59">
        <f t="shared" si="150"/>
        <v>441.82647565372287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19.21862078072763</v>
      </c>
      <c r="DG156" s="21">
        <f>EXP(-LN(2)/25)*DG155+(1-EXP(-LN(2)/25))/(LN(2)/25)*Calculateur!DB156*Calculateur!DD156*VLOOKUP('Données projet'!$B$13,Paramètres!$A$1:$I$89,3,0)*0.475*44/12</f>
        <v>3.955377961596541</v>
      </c>
      <c r="DH156" s="21">
        <f>EXP(-LN(2)/2)*DH155+(1-EXP(-LN(2)/2))/(LN(2)/2)*DB156*DE156*VLOOKUP('Données projet'!$B$13,Paramètres!$A$1:$I$89,3,0)*0.475*44/12</f>
        <v>2.0091417294568254E-14</v>
      </c>
      <c r="DI156" s="22">
        <f t="shared" si="175"/>
        <v>23.173998742324191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>
        <f>DO156*VLOOKUP('Données projet'!$B$14,Paramètres!$A$1:$I$89,3,0)*VLOOKUP('Données projet'!$B$14,Paramètres!$A$1:$I$89,5,0)</f>
        <v>0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229.61973863654862</v>
      </c>
      <c r="DU156" s="59">
        <f t="shared" si="152"/>
        <v>254.08208375594052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16.998728997556288</v>
      </c>
      <c r="EB156" s="21">
        <f>EXP(-LN(2)/25)*EB155+(1-EXP(-LN(2)/25))/(LN(2)/25)*Calculateur!DW156*Calculateur!DY156*VLOOKUP('Données projet'!$B$14,Paramètres!$A$1:$I$89,3,0)*0.475*44/12</f>
        <v>3.795662227754939</v>
      </c>
      <c r="EC156" s="21">
        <f>EXP(-LN(2)/2)*EC155+(1-EXP(-LN(2)/2))/(LN(2)/2)*DW156*DZ156*VLOOKUP('Données projet'!$B$14,Paramètres!$A$1:$I$89,3,0)*0.475*44/12</f>
        <v>4.5270739811492648E-13</v>
      </c>
      <c r="ED156" s="22">
        <f t="shared" si="178"/>
        <v>20.794391225311678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-5.1159076974727213E-13</v>
      </c>
      <c r="O157" s="13">
        <f>N157*VLOOKUP('Données projet'!$B$9,Paramètres!$A$1:$I$89,3,0)*VLOOKUP('Données projet'!$B$9,Paramètres!$A$1:$I$89,5,0)</f>
        <v>-4.6288732846733184E-13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373.59295497283125</v>
      </c>
      <c r="T157" s="59">
        <f t="shared" si="142"/>
        <v>231.36959598460686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63.436813563468256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63.436813563468256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-5.1159076974727213E-13</v>
      </c>
      <c r="AJ157" s="13">
        <f>AI157*VLOOKUP('Données projet'!$B$10,Paramètres!$A$1:$I$89,3,0)*VLOOKUP('Données projet'!$B$10,Paramètres!$A$1:$I$89,5,0)</f>
        <v>-5.1875304052373401E-13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413.81510455446738</v>
      </c>
      <c r="AO157" s="59">
        <f t="shared" si="144"/>
        <v>254.25036207346602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71.092980717679893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71.092980717679893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-1.1368683772161603E-13</v>
      </c>
      <c r="BE157" s="13">
        <f>BD157*VLOOKUP('Données projet'!$B$11,Paramètres!$A$1:$I$89,3,0)*VLOOKUP('Données projet'!$B$11,Paramètres!$A$1:$I$89,5,0)</f>
        <v>-1.0995790944434703E-13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295.35565287134125</v>
      </c>
      <c r="BJ157" s="59">
        <f t="shared" si="146"/>
        <v>244.451492444461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21.018234471640444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21.018234471640444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-1.1368683772161603E-13</v>
      </c>
      <c r="BZ157" s="13">
        <f>BY157*VLOOKUP('Données projet'!$B$12,Paramètres!$A$1:$I$89,3,0)*VLOOKUP('Données projet'!$B$12,Paramètres!$A$1:$I$89,5,0)</f>
        <v>-1.223725121235475E-13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324.61094137855798</v>
      </c>
      <c r="CE157" s="59">
        <f t="shared" si="148"/>
        <v>267.2998309535638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23.391260944245012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23.391260944245012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2.8421709430404007E-13</v>
      </c>
      <c r="CU157" s="17">
        <f>CT157*VLOOKUP('Données projet'!$B$13,Paramètres!$A$1:$I$89,3,0)*VLOOKUP('Données projet'!$B$13,Paramètres!$A$1:$I$89,5,0)</f>
        <v>1.69961822393816E-13</v>
      </c>
      <c r="CV157" s="13">
        <f t="shared" si="173"/>
        <v>2.4004382776176369E-12</v>
      </c>
      <c r="CW157" s="20">
        <f t="shared" si="174"/>
        <v>4.4767801741866136E-12</v>
      </c>
      <c r="CX157" s="59">
        <f t="shared" si="122"/>
        <v>293.33333333333781</v>
      </c>
      <c r="CY157" s="59">
        <f ca="1">AVERAGE(OFFSET($CX$3,0,0,'Données projet'!$E$13+1,1))-AVERAGE(OFFSET($H$3,0,0,'Données projet'!$E$13+1,1))</f>
        <v>319.9010109022521</v>
      </c>
      <c r="CZ157" s="59">
        <f t="shared" si="150"/>
        <v>441.82647565372287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18.841755349418765</v>
      </c>
      <c r="DG157" s="21">
        <f>EXP(-LN(2)/25)*DG156+(1-EXP(-LN(2)/25))/(LN(2)/25)*Calculateur!DB157*Calculateur!DD157*VLOOKUP('Données projet'!$B$13,Paramètres!$A$1:$I$89,3,0)*0.475*44/12</f>
        <v>3.8472179432323967</v>
      </c>
      <c r="DH157" s="21">
        <f>EXP(-LN(2)/2)*DH156+(1-EXP(-LN(2)/2))/(LN(2)/2)*DB157*DE157*VLOOKUP('Données projet'!$B$13,Paramètres!$A$1:$I$89,3,0)*0.475*44/12</f>
        <v>1.4206777412637892E-14</v>
      </c>
      <c r="DI157" s="22">
        <f t="shared" si="175"/>
        <v>22.688973292651177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>
        <f>DO157*VLOOKUP('Données projet'!$B$14,Paramètres!$A$1:$I$89,3,0)*VLOOKUP('Données projet'!$B$14,Paramètres!$A$1:$I$89,5,0)</f>
        <v>0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229.61973863654862</v>
      </c>
      <c r="DU157" s="59">
        <f t="shared" si="152"/>
        <v>254.08208375594052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16.665394290115124</v>
      </c>
      <c r="EB157" s="21">
        <f>EXP(-LN(2)/25)*EB156+(1-EXP(-LN(2)/25))/(LN(2)/25)*Calculateur!DW157*Calculateur!DY157*VLOOKUP('Données projet'!$B$14,Paramètres!$A$1:$I$89,3,0)*0.475*44/12</f>
        <v>3.6918696445317787</v>
      </c>
      <c r="EC157" s="21">
        <f>EXP(-LN(2)/2)*EC156+(1-EXP(-LN(2)/2))/(LN(2)/2)*DW157*DZ157*VLOOKUP('Données projet'!$B$14,Paramètres!$A$1:$I$89,3,0)*0.475*44/12</f>
        <v>3.2011247110038262E-13</v>
      </c>
      <c r="ED157" s="22">
        <f t="shared" si="178"/>
        <v>20.357263934647222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-5.1159076974727213E-13</v>
      </c>
      <c r="O158" s="13">
        <f>N158*VLOOKUP('Données projet'!$B$9,Paramètres!$A$1:$I$89,3,0)*VLOOKUP('Données projet'!$B$9,Paramètres!$A$1:$I$89,5,0)</f>
        <v>-4.6288732846733184E-13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373.59295497283125</v>
      </c>
      <c r="T158" s="59">
        <f t="shared" si="142"/>
        <v>231.36959598460686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62.192856342124337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62.192856342124337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-5.1159076974727213E-13</v>
      </c>
      <c r="AJ158" s="13">
        <f>AI158*VLOOKUP('Données projet'!$B$10,Paramètres!$A$1:$I$89,3,0)*VLOOKUP('Données projet'!$B$10,Paramètres!$A$1:$I$89,5,0)</f>
        <v>-5.1875304052373401E-13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413.81510455446738</v>
      </c>
      <c r="AO158" s="59">
        <f t="shared" si="144"/>
        <v>254.25036207346602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69.698890728242745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69.698890728242745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-1.1368683772161603E-13</v>
      </c>
      <c r="BE158" s="13">
        <f>BD158*VLOOKUP('Données projet'!$B$11,Paramètres!$A$1:$I$89,3,0)*VLOOKUP('Données projet'!$B$11,Paramètres!$A$1:$I$89,5,0)</f>
        <v>-1.0995790944434703E-13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295.35565287134125</v>
      </c>
      <c r="BJ158" s="59">
        <f t="shared" si="146"/>
        <v>244.451492444461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20.606079713508745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20.606079713508745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-1.1368683772161603E-13</v>
      </c>
      <c r="BZ158" s="13">
        <f>BY158*VLOOKUP('Données projet'!$B$12,Paramètres!$A$1:$I$89,3,0)*VLOOKUP('Données projet'!$B$12,Paramètres!$A$1:$I$89,5,0)</f>
        <v>-1.223725121235475E-13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324.61094137855798</v>
      </c>
      <c r="CE158" s="59">
        <f t="shared" si="148"/>
        <v>267.2998309535638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22.932572584388769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22.932572584388769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2.8421709430404007E-13</v>
      </c>
      <c r="CU158" s="17">
        <f>CT158*VLOOKUP('Données projet'!$B$13,Paramètres!$A$1:$I$89,3,0)*VLOOKUP('Données projet'!$B$13,Paramètres!$A$1:$I$89,5,0)</f>
        <v>1.69961822393816E-13</v>
      </c>
      <c r="CV158" s="13">
        <f t="shared" si="173"/>
        <v>2.4004382776176369E-12</v>
      </c>
      <c r="CW158" s="20">
        <f t="shared" si="174"/>
        <v>4.4767801741866136E-12</v>
      </c>
      <c r="CX158" s="59">
        <f t="shared" si="122"/>
        <v>293.33333333333781</v>
      </c>
      <c r="CY158" s="59">
        <f ca="1">AVERAGE(OFFSET($CX$3,0,0,'Données projet'!$E$13+1,1))-AVERAGE(OFFSET($H$3,0,0,'Données projet'!$E$13+1,1))</f>
        <v>319.9010109022521</v>
      </c>
      <c r="CZ158" s="59">
        <f t="shared" si="150"/>
        <v>441.82647565372287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18.472280019352652</v>
      </c>
      <c r="DG158" s="21">
        <f>EXP(-LN(2)/25)*DG157+(1-EXP(-LN(2)/25))/(LN(2)/25)*Calculateur!DB158*Calculateur!DD158*VLOOKUP('Données projet'!$B$13,Paramètres!$A$1:$I$89,3,0)*0.475*44/12</f>
        <v>3.7420155662583081</v>
      </c>
      <c r="DH158" s="21">
        <f>EXP(-LN(2)/2)*DH157+(1-EXP(-LN(2)/2))/(LN(2)/2)*DB158*DE158*VLOOKUP('Données projet'!$B$13,Paramètres!$A$1:$I$89,3,0)*0.475*44/12</f>
        <v>1.0045708647284129E-14</v>
      </c>
      <c r="DI158" s="22">
        <f t="shared" si="175"/>
        <v>22.214295585610973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>
        <f>DO158*VLOOKUP('Données projet'!$B$14,Paramètres!$A$1:$I$89,3,0)*VLOOKUP('Données projet'!$B$14,Paramètres!$A$1:$I$89,5,0)</f>
        <v>0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229.61973863654862</v>
      </c>
      <c r="DU158" s="59">
        <f t="shared" si="152"/>
        <v>254.08208375594052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16.338596072972784</v>
      </c>
      <c r="EB158" s="21">
        <f>EXP(-LN(2)/25)*EB157+(1-EXP(-LN(2)/25))/(LN(2)/25)*Calculateur!DW158*Calculateur!DY158*VLOOKUP('Données projet'!$B$14,Paramètres!$A$1:$I$89,3,0)*0.475*44/12</f>
        <v>3.5909152749550706</v>
      </c>
      <c r="EC158" s="21">
        <f>EXP(-LN(2)/2)*EC157+(1-EXP(-LN(2)/2))/(LN(2)/2)*DW158*DZ158*VLOOKUP('Données projet'!$B$14,Paramètres!$A$1:$I$89,3,0)*0.475*44/12</f>
        <v>2.2635369905746329E-13</v>
      </c>
      <c r="ED158" s="22">
        <f t="shared" si="178"/>
        <v>19.929511347928081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-5.1159076974727213E-13</v>
      </c>
      <c r="O159" s="13">
        <f>N159*VLOOKUP('Données projet'!$B$9,Paramètres!$A$1:$I$89,3,0)*VLOOKUP('Données projet'!$B$9,Paramètres!$A$1:$I$89,5,0)</f>
        <v>-4.6288732846733184E-13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373.59295497283125</v>
      </c>
      <c r="T159" s="59">
        <f t="shared" si="142"/>
        <v>231.36959598460686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60.973292363151984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60.973292363151984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-5.1159076974727213E-13</v>
      </c>
      <c r="AJ159" s="13">
        <f>AI159*VLOOKUP('Données projet'!$B$10,Paramètres!$A$1:$I$89,3,0)*VLOOKUP('Données projet'!$B$10,Paramètres!$A$1:$I$89,5,0)</f>
        <v>-5.1875304052373401E-13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413.81510455446738</v>
      </c>
      <c r="AO159" s="59">
        <f t="shared" si="144"/>
        <v>254.25036207346602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68.33213799318753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68.33213799318753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-1.1368683772161603E-13</v>
      </c>
      <c r="BE159" s="13">
        <f>BD159*VLOOKUP('Données projet'!$B$11,Paramètres!$A$1:$I$89,3,0)*VLOOKUP('Données projet'!$B$11,Paramètres!$A$1:$I$89,5,0)</f>
        <v>-1.0995790944434703E-13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295.35565287134125</v>
      </c>
      <c r="BJ159" s="59">
        <f t="shared" si="146"/>
        <v>244.451492444461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20.202007058794429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20.202007058794429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-1.1368683772161603E-13</v>
      </c>
      <c r="BZ159" s="13">
        <f>BY159*VLOOKUP('Données projet'!$B$12,Paramètres!$A$1:$I$89,3,0)*VLOOKUP('Données projet'!$B$12,Paramètres!$A$1:$I$89,5,0)</f>
        <v>-1.223725121235475E-13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324.61094137855798</v>
      </c>
      <c r="CE159" s="59">
        <f t="shared" si="148"/>
        <v>267.2998309535638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22.482878823497032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22.482878823497032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2.8421709430404007E-13</v>
      </c>
      <c r="CU159" s="17">
        <f>CT159*VLOOKUP('Données projet'!$B$13,Paramètres!$A$1:$I$89,3,0)*VLOOKUP('Données projet'!$B$13,Paramètres!$A$1:$I$89,5,0)</f>
        <v>1.69961822393816E-13</v>
      </c>
      <c r="CV159" s="13">
        <f t="shared" si="173"/>
        <v>2.4004382776176369E-12</v>
      </c>
      <c r="CW159" s="20">
        <f t="shared" si="174"/>
        <v>4.4767801741866136E-12</v>
      </c>
      <c r="CX159" s="59">
        <f t="shared" si="122"/>
        <v>293.33333333333781</v>
      </c>
      <c r="CY159" s="59">
        <f ca="1">AVERAGE(OFFSET($CX$3,0,0,'Données projet'!$E$13+1,1))-AVERAGE(OFFSET($H$3,0,0,'Données projet'!$E$13+1,1))</f>
        <v>319.9010109022521</v>
      </c>
      <c r="CZ159" s="59">
        <f t="shared" si="150"/>
        <v>441.82647565372287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18.110049875151436</v>
      </c>
      <c r="DG159" s="21">
        <f>EXP(-LN(2)/25)*DG158+(1-EXP(-LN(2)/25))/(LN(2)/25)*Calculateur!DB159*Calculateur!DD159*VLOOKUP('Données projet'!$B$13,Paramètres!$A$1:$I$89,3,0)*0.475*44/12</f>
        <v>3.6396899538149285</v>
      </c>
      <c r="DH159" s="21">
        <f>EXP(-LN(2)/2)*DH158+(1-EXP(-LN(2)/2))/(LN(2)/2)*DB159*DE159*VLOOKUP('Données projet'!$B$13,Paramètres!$A$1:$I$89,3,0)*0.475*44/12</f>
        <v>7.1033887063189469E-15</v>
      </c>
      <c r="DI159" s="22">
        <f t="shared" si="175"/>
        <v>21.749739828966373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>
        <f>DO159*VLOOKUP('Données projet'!$B$14,Paramètres!$A$1:$I$89,3,0)*VLOOKUP('Données projet'!$B$14,Paramètres!$A$1:$I$89,5,0)</f>
        <v>0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229.61973863654862</v>
      </c>
      <c r="DU159" s="59">
        <f t="shared" si="152"/>
        <v>254.08208375594052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16.018206169541376</v>
      </c>
      <c r="EB159" s="21">
        <f>EXP(-LN(2)/25)*EB158+(1-EXP(-LN(2)/25))/(LN(2)/25)*Calculateur!DW159*Calculateur!DY159*VLOOKUP('Données projet'!$B$14,Paramètres!$A$1:$I$89,3,0)*0.475*44/12</f>
        <v>3.4927215079233971</v>
      </c>
      <c r="EC159" s="21">
        <f>EXP(-LN(2)/2)*EC158+(1-EXP(-LN(2)/2))/(LN(2)/2)*DW159*DZ159*VLOOKUP('Données projet'!$B$14,Paramètres!$A$1:$I$89,3,0)*0.475*44/12</f>
        <v>1.6005623555019133E-13</v>
      </c>
      <c r="ED159" s="22">
        <f t="shared" si="178"/>
        <v>19.510927677464931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-5.1159076974727213E-13</v>
      </c>
      <c r="O160" s="13">
        <f>N160*VLOOKUP('Données projet'!$B$9,Paramètres!$A$1:$I$89,3,0)*VLOOKUP('Données projet'!$B$9,Paramètres!$A$1:$I$89,5,0)</f>
        <v>-4.6288732846733184E-13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373.59295497283125</v>
      </c>
      <c r="T160" s="59">
        <f t="shared" si="142"/>
        <v>231.36959598460686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59.777643289946703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59.777643289946703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-5.1159076974727213E-13</v>
      </c>
      <c r="AJ160" s="13">
        <f>AI160*VLOOKUP('Données projet'!$B$10,Paramètres!$A$1:$I$89,3,0)*VLOOKUP('Données projet'!$B$10,Paramètres!$A$1:$I$89,5,0)</f>
        <v>-5.1875304052373401E-13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413.81510455446738</v>
      </c>
      <c r="AO160" s="59">
        <f t="shared" si="144"/>
        <v>254.25036207346602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66.992186445629883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66.992186445629883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-1.1368683772161603E-13</v>
      </c>
      <c r="BE160" s="13">
        <f>BD160*VLOOKUP('Données projet'!$B$11,Paramètres!$A$1:$I$89,3,0)*VLOOKUP('Données projet'!$B$11,Paramètres!$A$1:$I$89,5,0)</f>
        <v>-1.0995790944434703E-13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295.35565287134125</v>
      </c>
      <c r="BJ160" s="59">
        <f t="shared" si="146"/>
        <v>244.451492444461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19.805858022379081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19.805858022379081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-1.1368683772161603E-13</v>
      </c>
      <c r="BZ160" s="13">
        <f>BY160*VLOOKUP('Données projet'!$B$12,Paramètres!$A$1:$I$89,3,0)*VLOOKUP('Données projet'!$B$12,Paramètres!$A$1:$I$89,5,0)</f>
        <v>-1.223725121235475E-13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324.61094137855798</v>
      </c>
      <c r="CE160" s="59">
        <f t="shared" si="148"/>
        <v>267.2998309535638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22.042003282970271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22.042003282970271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2.8421709430404007E-13</v>
      </c>
      <c r="CU160" s="17">
        <f>CT160*VLOOKUP('Données projet'!$B$13,Paramètres!$A$1:$I$89,3,0)*VLOOKUP('Données projet'!$B$13,Paramètres!$A$1:$I$89,5,0)</f>
        <v>1.69961822393816E-13</v>
      </c>
      <c r="CV160" s="13">
        <f t="shared" si="173"/>
        <v>2.4004382776176369E-12</v>
      </c>
      <c r="CW160" s="20">
        <f t="shared" si="174"/>
        <v>4.4767801741866136E-12</v>
      </c>
      <c r="CX160" s="59">
        <f t="shared" si="122"/>
        <v>293.33333333333781</v>
      </c>
      <c r="CY160" s="59">
        <f ca="1">AVERAGE(OFFSET($CX$3,0,0,'Données projet'!$E$13+1,1))-AVERAGE(OFFSET($H$3,0,0,'Données projet'!$E$13+1,1))</f>
        <v>319.9010109022521</v>
      </c>
      <c r="CZ160" s="59">
        <f t="shared" si="150"/>
        <v>441.82647565372287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17.754922843139433</v>
      </c>
      <c r="DG160" s="21">
        <f>EXP(-LN(2)/25)*DG159+(1-EXP(-LN(2)/25))/(LN(2)/25)*Calculateur!DB160*Calculateur!DD160*VLOOKUP('Données projet'!$B$13,Paramètres!$A$1:$I$89,3,0)*0.475*44/12</f>
        <v>3.5401624406248833</v>
      </c>
      <c r="DH160" s="21">
        <f>EXP(-LN(2)/2)*DH159+(1-EXP(-LN(2)/2))/(LN(2)/2)*DB160*DE160*VLOOKUP('Données projet'!$B$13,Paramètres!$A$1:$I$89,3,0)*0.475*44/12</f>
        <v>5.0228543236420651E-15</v>
      </c>
      <c r="DI160" s="22">
        <f t="shared" si="175"/>
        <v>21.295085283764319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>
        <f>DO160*VLOOKUP('Données projet'!$B$14,Paramètres!$A$1:$I$89,3,0)*VLOOKUP('Données projet'!$B$14,Paramètres!$A$1:$I$89,5,0)</f>
        <v>0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229.61973863654862</v>
      </c>
      <c r="DU160" s="59">
        <f t="shared" si="152"/>
        <v>254.08208375594052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15.704098916697712</v>
      </c>
      <c r="EB160" s="21">
        <f>EXP(-LN(2)/25)*EB159+(1-EXP(-LN(2)/25))/(LN(2)/25)*Calculateur!DW160*Calculateur!DY160*VLOOKUP('Données projet'!$B$14,Paramètres!$A$1:$I$89,3,0)*0.475*44/12</f>
        <v>3.3972128546149905</v>
      </c>
      <c r="EC160" s="21">
        <f>EXP(-LN(2)/2)*EC159+(1-EXP(-LN(2)/2))/(LN(2)/2)*DW160*DZ160*VLOOKUP('Données projet'!$B$14,Paramètres!$A$1:$I$89,3,0)*0.475*44/12</f>
        <v>1.1317684952873166E-13</v>
      </c>
      <c r="ED160" s="22">
        <f t="shared" si="178"/>
        <v>19.101311771312815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-5.1159076974727213E-13</v>
      </c>
      <c r="O161" s="13">
        <f>N161*VLOOKUP('Données projet'!$B$9,Paramètres!$A$1:$I$89,3,0)*VLOOKUP('Données projet'!$B$9,Paramètres!$A$1:$I$89,5,0)</f>
        <v>-4.6288732846733184E-13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373.59295497283125</v>
      </c>
      <c r="T161" s="59">
        <f t="shared" si="142"/>
        <v>231.36959598460686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58.605440165793055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58.605440165793055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-5.1159076974727213E-13</v>
      </c>
      <c r="AJ161" s="13">
        <f>AI161*VLOOKUP('Données projet'!$B$10,Paramètres!$A$1:$I$89,3,0)*VLOOKUP('Données projet'!$B$10,Paramètres!$A$1:$I$89,5,0)</f>
        <v>-5.1875304052373401E-13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413.81510455446738</v>
      </c>
      <c r="AO161" s="59">
        <f t="shared" si="144"/>
        <v>254.25036207346602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65.678510530630106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65.678510530630106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-1.1368683772161603E-13</v>
      </c>
      <c r="BE161" s="13">
        <f>BD161*VLOOKUP('Données projet'!$B$11,Paramètres!$A$1:$I$89,3,0)*VLOOKUP('Données projet'!$B$11,Paramètres!$A$1:$I$89,5,0)</f>
        <v>-1.0995790944434703E-13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295.35565287134125</v>
      </c>
      <c r="BJ161" s="59">
        <f t="shared" si="146"/>
        <v>244.451492444461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19.417477226940782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19.417477226940782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-1.1368683772161603E-13</v>
      </c>
      <c r="BZ161" s="13">
        <f>BY161*VLOOKUP('Données projet'!$B$12,Paramètres!$A$1:$I$89,3,0)*VLOOKUP('Données projet'!$B$12,Paramètres!$A$1:$I$89,5,0)</f>
        <v>-1.223725121235475E-13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324.61094137855798</v>
      </c>
      <c r="CE161" s="59">
        <f t="shared" si="148"/>
        <v>267.2998309535638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21.609773042885713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21.609773042885713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2.8421709430404007E-13</v>
      </c>
      <c r="CU161" s="17">
        <f>CT161*VLOOKUP('Données projet'!$B$13,Paramètres!$A$1:$I$89,3,0)*VLOOKUP('Données projet'!$B$13,Paramètres!$A$1:$I$89,5,0)</f>
        <v>1.69961822393816E-13</v>
      </c>
      <c r="CV161" s="13">
        <f t="shared" si="173"/>
        <v>2.4004382776176369E-12</v>
      </c>
      <c r="CW161" s="20">
        <f t="shared" si="174"/>
        <v>4.4767801741866136E-12</v>
      </c>
      <c r="CX161" s="59">
        <f t="shared" si="122"/>
        <v>293.33333333333781</v>
      </c>
      <c r="CY161" s="59">
        <f ca="1">AVERAGE(OFFSET($CX$3,0,0,'Données projet'!$E$13+1,1))-AVERAGE(OFFSET($H$3,0,0,'Données projet'!$E$13+1,1))</f>
        <v>319.9010109022521</v>
      </c>
      <c r="CZ161" s="59">
        <f t="shared" si="150"/>
        <v>441.82647565372287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17.406759635619085</v>
      </c>
      <c r="DG161" s="21">
        <f>EXP(-LN(2)/25)*DG160+(1-EXP(-LN(2)/25))/(LN(2)/25)*Calculateur!DB161*Calculateur!DD161*VLOOKUP('Données projet'!$B$13,Paramètres!$A$1:$I$89,3,0)*0.475*44/12</f>
        <v>3.4433565125169441</v>
      </c>
      <c r="DH161" s="21">
        <f>EXP(-LN(2)/2)*DH160+(1-EXP(-LN(2)/2))/(LN(2)/2)*DB161*DE161*VLOOKUP('Données projet'!$B$13,Paramètres!$A$1:$I$89,3,0)*0.475*44/12</f>
        <v>3.5516943531594742E-15</v>
      </c>
      <c r="DI161" s="22">
        <f t="shared" si="175"/>
        <v>20.850116148136035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>
        <f>DO161*VLOOKUP('Données projet'!$B$14,Paramètres!$A$1:$I$89,3,0)*VLOOKUP('Données projet'!$B$14,Paramètres!$A$1:$I$89,5,0)</f>
        <v>0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229.61973863654862</v>
      </c>
      <c r="DU161" s="59">
        <f t="shared" si="152"/>
        <v>254.08208375594052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15.396151115495805</v>
      </c>
      <c r="EB161" s="21">
        <f>EXP(-LN(2)/25)*EB160+(1-EXP(-LN(2)/25))/(LN(2)/25)*Calculateur!DW161*Calculateur!DY161*VLOOKUP('Données projet'!$B$14,Paramètres!$A$1:$I$89,3,0)*0.475*44/12</f>
        <v>3.3043158904538839</v>
      </c>
      <c r="EC161" s="21">
        <f>EXP(-LN(2)/2)*EC160+(1-EXP(-LN(2)/2))/(LN(2)/2)*DW161*DZ161*VLOOKUP('Données projet'!$B$14,Paramètres!$A$1:$I$89,3,0)*0.475*44/12</f>
        <v>8.0028117775095679E-14</v>
      </c>
      <c r="ED161" s="22">
        <f t="shared" si="178"/>
        <v>18.700467005949772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-5.1159076974727213E-13</v>
      </c>
      <c r="O162" s="13">
        <f>N162*VLOOKUP('Données projet'!$B$9,Paramètres!$A$1:$I$89,3,0)*VLOOKUP('Données projet'!$B$9,Paramètres!$A$1:$I$89,5,0)</f>
        <v>-4.6288732846733184E-13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373.59295497283125</v>
      </c>
      <c r="T162" s="59">
        <f t="shared" si="142"/>
        <v>231.36959598460686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57.45622322993075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57.45622322993075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-5.1159076974727213E-13</v>
      </c>
      <c r="AJ162" s="13">
        <f>AI162*VLOOKUP('Données projet'!$B$10,Paramètres!$A$1:$I$89,3,0)*VLOOKUP('Données projet'!$B$10,Paramètres!$A$1:$I$89,5,0)</f>
        <v>-5.1875304052373401E-13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413.81510455446738</v>
      </c>
      <c r="AO162" s="59">
        <f t="shared" si="144"/>
        <v>254.25036207346602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64.390594999060283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64.390594999060283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-1.1368683772161603E-13</v>
      </c>
      <c r="BE162" s="13">
        <f>BD162*VLOOKUP('Données projet'!$B$11,Paramètres!$A$1:$I$89,3,0)*VLOOKUP('Données projet'!$B$11,Paramètres!$A$1:$I$89,5,0)</f>
        <v>-1.0995790944434703E-13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295.35565287134125</v>
      </c>
      <c r="BJ162" s="59">
        <f t="shared" si="146"/>
        <v>244.451492444461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19.036712342012134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19.036712342012134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-1.1368683772161603E-13</v>
      </c>
      <c r="BZ162" s="13">
        <f>BY162*VLOOKUP('Données projet'!$B$12,Paramètres!$A$1:$I$89,3,0)*VLOOKUP('Données projet'!$B$12,Paramètres!$A$1:$I$89,5,0)</f>
        <v>-1.223725121235475E-13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324.61094137855798</v>
      </c>
      <c r="CE162" s="59">
        <f t="shared" si="148"/>
        <v>267.2998309535638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21.186018574174799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21.186018574174799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2.8421709430404007E-13</v>
      </c>
      <c r="CU162" s="17">
        <f>CT162*VLOOKUP('Données projet'!$B$13,Paramètres!$A$1:$I$89,3,0)*VLOOKUP('Données projet'!$B$13,Paramètres!$A$1:$I$89,5,0)</f>
        <v>1.69961822393816E-13</v>
      </c>
      <c r="CV162" s="13">
        <f t="shared" si="173"/>
        <v>2.4004382776176369E-12</v>
      </c>
      <c r="CW162" s="20">
        <f t="shared" si="174"/>
        <v>4.4767801741866136E-12</v>
      </c>
      <c r="CX162" s="59">
        <f t="shared" si="122"/>
        <v>293.33333333333781</v>
      </c>
      <c r="CY162" s="59">
        <f ca="1">AVERAGE(OFFSET($CX$3,0,0,'Données projet'!$E$13+1,1))-AVERAGE(OFFSET($H$3,0,0,'Données projet'!$E$13+1,1))</f>
        <v>319.9010109022521</v>
      </c>
      <c r="CZ162" s="59">
        <f t="shared" si="150"/>
        <v>441.82647565372287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17.065423696239623</v>
      </c>
      <c r="DG162" s="21">
        <f>EXP(-LN(2)/25)*DG161+(1-EXP(-LN(2)/25))/(LN(2)/25)*Calculateur!DB162*Calculateur!DD162*VLOOKUP('Données projet'!$B$13,Paramètres!$A$1:$I$89,3,0)*0.475*44/12</f>
        <v>3.349197747603919</v>
      </c>
      <c r="DH162" s="21">
        <f>EXP(-LN(2)/2)*DH161+(1-EXP(-LN(2)/2))/(LN(2)/2)*DB162*DE162*VLOOKUP('Données projet'!$B$13,Paramètres!$A$1:$I$89,3,0)*0.475*44/12</f>
        <v>2.5114271618210329E-15</v>
      </c>
      <c r="DI162" s="22">
        <f t="shared" si="175"/>
        <v>20.414621443843547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>
        <f>DO162*VLOOKUP('Données projet'!$B$14,Paramètres!$A$1:$I$89,3,0)*VLOOKUP('Données projet'!$B$14,Paramètres!$A$1:$I$89,5,0)</f>
        <v>0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229.61973863654862</v>
      </c>
      <c r="DU162" s="59">
        <f t="shared" si="152"/>
        <v>254.08208375594052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15.094241982845855</v>
      </c>
      <c r="EB162" s="21">
        <f>EXP(-LN(2)/25)*EB161+(1-EXP(-LN(2)/25))/(LN(2)/25)*Calculateur!DW162*Calculateur!DY162*VLOOKUP('Données projet'!$B$14,Paramètres!$A$1:$I$89,3,0)*0.475*44/12</f>
        <v>3.2139591986630016</v>
      </c>
      <c r="EC162" s="21">
        <f>EXP(-LN(2)/2)*EC161+(1-EXP(-LN(2)/2))/(LN(2)/2)*DW162*DZ162*VLOOKUP('Données projet'!$B$14,Paramètres!$A$1:$I$89,3,0)*0.475*44/12</f>
        <v>5.6588424764365842E-14</v>
      </c>
      <c r="ED162" s="22">
        <f t="shared" si="178"/>
        <v>18.308201181508913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-5.1159076974727213E-13</v>
      </c>
      <c r="O163" s="13">
        <f>N163*VLOOKUP('Données projet'!$B$9,Paramètres!$A$1:$I$89,3,0)*VLOOKUP('Données projet'!$B$9,Paramètres!$A$1:$I$89,5,0)</f>
        <v>-4.6288732846733184E-13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373.59295497283125</v>
      </c>
      <c r="T163" s="59">
        <f t="shared" si="142"/>
        <v>231.36959598460686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56.329541737227586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56.329541737227586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-5.1159076974727213E-13</v>
      </c>
      <c r="AJ163" s="13">
        <f>AI163*VLOOKUP('Données projet'!$B$10,Paramètres!$A$1:$I$89,3,0)*VLOOKUP('Données projet'!$B$10,Paramètres!$A$1:$I$89,5,0)</f>
        <v>-5.1875304052373401E-13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413.81510455446738</v>
      </c>
      <c r="AO163" s="59">
        <f t="shared" si="144"/>
        <v>254.25036207346602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63.127934705513638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63.127934705513638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-1.1368683772161603E-13</v>
      </c>
      <c r="BE163" s="13">
        <f>BD163*VLOOKUP('Données projet'!$B$11,Paramètres!$A$1:$I$89,3,0)*VLOOKUP('Données projet'!$B$11,Paramètres!$A$1:$I$89,5,0)</f>
        <v>-1.0995790944434703E-13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295.35565287134125</v>
      </c>
      <c r="BJ163" s="59">
        <f t="shared" si="146"/>
        <v>244.451492444461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18.66341402423329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18.66341402423329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-1.1368683772161603E-13</v>
      </c>
      <c r="BZ163" s="13">
        <f>BY163*VLOOKUP('Données projet'!$B$12,Paramètres!$A$1:$I$89,3,0)*VLOOKUP('Données projet'!$B$12,Paramètres!$A$1:$I$89,5,0)</f>
        <v>-1.223725121235475E-13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324.61094137855798</v>
      </c>
      <c r="CE163" s="59">
        <f t="shared" si="148"/>
        <v>267.2998309535638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20.770573672130599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20.770573672130599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2.8421709430404007E-13</v>
      </c>
      <c r="CU163" s="17">
        <f>CT163*VLOOKUP('Données projet'!$B$13,Paramètres!$A$1:$I$89,3,0)*VLOOKUP('Données projet'!$B$13,Paramètres!$A$1:$I$89,5,0)</f>
        <v>1.69961822393816E-13</v>
      </c>
      <c r="CV163" s="13">
        <f t="shared" si="173"/>
        <v>2.4004382776176369E-12</v>
      </c>
      <c r="CW163" s="20">
        <f t="shared" si="174"/>
        <v>4.4767801741866136E-12</v>
      </c>
      <c r="CX163" s="59">
        <f t="shared" si="122"/>
        <v>293.33333333333781</v>
      </c>
      <c r="CY163" s="59">
        <f ca="1">AVERAGE(OFFSET($CX$3,0,0,'Données projet'!$E$13+1,1))-AVERAGE(OFFSET($H$3,0,0,'Données projet'!$E$13+1,1))</f>
        <v>319.9010109022521</v>
      </c>
      <c r="CZ163" s="59">
        <f t="shared" si="150"/>
        <v>441.82647565372287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16.730781146437028</v>
      </c>
      <c r="DG163" s="21">
        <f>EXP(-LN(2)/25)*DG162+(1-EXP(-LN(2)/25))/(LN(2)/25)*Calculateur!DB163*Calculateur!DD163*VLOOKUP('Données projet'!$B$13,Paramètres!$A$1:$I$89,3,0)*0.475*44/12</f>
        <v>3.2576137590690348</v>
      </c>
      <c r="DH163" s="21">
        <f>EXP(-LN(2)/2)*DH162+(1-EXP(-LN(2)/2))/(LN(2)/2)*DB163*DE163*VLOOKUP('Données projet'!$B$13,Paramètres!$A$1:$I$89,3,0)*0.475*44/12</f>
        <v>1.7758471765797373E-15</v>
      </c>
      <c r="DI163" s="22">
        <f t="shared" si="175"/>
        <v>19.988394905506063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>
        <f>DO163*VLOOKUP('Données projet'!$B$14,Paramètres!$A$1:$I$89,3,0)*VLOOKUP('Données projet'!$B$14,Paramètres!$A$1:$I$89,5,0)</f>
        <v>0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229.61973863654862</v>
      </c>
      <c r="DU163" s="59">
        <f t="shared" si="152"/>
        <v>254.08208375594052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14.798253104140782</v>
      </c>
      <c r="EB163" s="21">
        <f>EXP(-LN(2)/25)*EB162+(1-EXP(-LN(2)/25))/(LN(2)/25)*Calculateur!DW163*Calculateur!DY163*VLOOKUP('Données projet'!$B$14,Paramètres!$A$1:$I$89,3,0)*0.475*44/12</f>
        <v>3.1260733153607934</v>
      </c>
      <c r="EC163" s="21">
        <f>EXP(-LN(2)/2)*EC162+(1-EXP(-LN(2)/2))/(LN(2)/2)*DW163*DZ163*VLOOKUP('Données projet'!$B$14,Paramètres!$A$1:$I$89,3,0)*0.475*44/12</f>
        <v>4.0014058887547846E-14</v>
      </c>
      <c r="ED163" s="22">
        <f t="shared" si="178"/>
        <v>17.924326419501615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-5.1159076974727213E-13</v>
      </c>
      <c r="O164" s="13">
        <f>N164*VLOOKUP('Données projet'!$B$9,Paramètres!$A$1:$I$89,3,0)*VLOOKUP('Données projet'!$B$9,Paramètres!$A$1:$I$89,5,0)</f>
        <v>-4.6288732846733184E-13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373.59295497283125</v>
      </c>
      <c r="T164" s="59">
        <f t="shared" si="142"/>
        <v>231.36959598460686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55.224953781388479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55.224953781388479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-5.1159076974727213E-13</v>
      </c>
      <c r="AJ164" s="13">
        <f>AI164*VLOOKUP('Données projet'!$B$10,Paramètres!$A$1:$I$89,3,0)*VLOOKUP('Données projet'!$B$10,Paramètres!$A$1:$I$89,5,0)</f>
        <v>-5.1875304052373401E-13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413.81510455446738</v>
      </c>
      <c r="AO164" s="59">
        <f t="shared" si="144"/>
        <v>254.25036207346602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61.89003441017671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61.89003441017671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-1.1368683772161603E-13</v>
      </c>
      <c r="BE164" s="13">
        <f>BD164*VLOOKUP('Données projet'!$B$11,Paramètres!$A$1:$I$89,3,0)*VLOOKUP('Données projet'!$B$11,Paramètres!$A$1:$I$89,5,0)</f>
        <v>-1.0995790944434703E-13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295.35565287134125</v>
      </c>
      <c r="BJ164" s="59">
        <f t="shared" si="146"/>
        <v>244.451492444461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18.297435858776598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18.297435858776598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-1.1368683772161603E-13</v>
      </c>
      <c r="BZ164" s="13">
        <f>BY164*VLOOKUP('Données projet'!$B$12,Paramètres!$A$1:$I$89,3,0)*VLOOKUP('Données projet'!$B$12,Paramètres!$A$1:$I$89,5,0)</f>
        <v>-1.223725121235475E-13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324.61094137855798</v>
      </c>
      <c r="CE164" s="59">
        <f t="shared" si="148"/>
        <v>267.2998309535638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20.363275391219119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20.363275391219119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2.8421709430404007E-13</v>
      </c>
      <c r="CU164" s="17">
        <f>CT164*VLOOKUP('Données projet'!$B$13,Paramètres!$A$1:$I$89,3,0)*VLOOKUP('Données projet'!$B$13,Paramètres!$A$1:$I$89,5,0)</f>
        <v>1.69961822393816E-13</v>
      </c>
      <c r="CV164" s="13">
        <f t="shared" si="173"/>
        <v>2.4004382776176369E-12</v>
      </c>
      <c r="CW164" s="20">
        <f t="shared" si="174"/>
        <v>4.4767801741866136E-12</v>
      </c>
      <c r="CX164" s="59">
        <f t="shared" si="122"/>
        <v>293.33333333333781</v>
      </c>
      <c r="CY164" s="59">
        <f ca="1">AVERAGE(OFFSET($CX$3,0,0,'Données projet'!$E$13+1,1))-AVERAGE(OFFSET($H$3,0,0,'Données projet'!$E$13+1,1))</f>
        <v>319.9010109022521</v>
      </c>
      <c r="CZ164" s="59">
        <f t="shared" si="150"/>
        <v>441.82647565372287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16.402700732924259</v>
      </c>
      <c r="DG164" s="21">
        <f>EXP(-LN(2)/25)*DG163+(1-EXP(-LN(2)/25))/(LN(2)/25)*Calculateur!DB164*Calculateur!DD164*VLOOKUP('Données projet'!$B$13,Paramètres!$A$1:$I$89,3,0)*0.475*44/12</f>
        <v>3.1685341395168298</v>
      </c>
      <c r="DH164" s="21">
        <f>EXP(-LN(2)/2)*DH163+(1-EXP(-LN(2)/2))/(LN(2)/2)*DB164*DE164*VLOOKUP('Données projet'!$B$13,Paramètres!$A$1:$I$89,3,0)*0.475*44/12</f>
        <v>1.2557135809105167E-15</v>
      </c>
      <c r="DI164" s="22">
        <f t="shared" si="175"/>
        <v>19.571234872441089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>
        <f>DO164*VLOOKUP('Données projet'!$B$14,Paramètres!$A$1:$I$89,3,0)*VLOOKUP('Données projet'!$B$14,Paramètres!$A$1:$I$89,5,0)</f>
        <v>0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229.61973863654862</v>
      </c>
      <c r="DU164" s="59">
        <f t="shared" si="152"/>
        <v>254.08208375594052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14.508068386811727</v>
      </c>
      <c r="EB164" s="21">
        <f>EXP(-LN(2)/25)*EB163+(1-EXP(-LN(2)/25))/(LN(2)/25)*Calculateur!DW164*Calculateur!DY164*VLOOKUP('Données projet'!$B$14,Paramètres!$A$1:$I$89,3,0)*0.475*44/12</f>
        <v>3.0405906761592014</v>
      </c>
      <c r="EC164" s="21">
        <f>EXP(-LN(2)/2)*EC163+(1-EXP(-LN(2)/2))/(LN(2)/2)*DW164*DZ164*VLOOKUP('Données projet'!$B$14,Paramètres!$A$1:$I$89,3,0)*0.475*44/12</f>
        <v>2.8294212382182924E-14</v>
      </c>
      <c r="ED164" s="22">
        <f t="shared" si="178"/>
        <v>17.548659062970955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-5.1159076974727213E-13</v>
      </c>
      <c r="O165" s="13">
        <f>N165*VLOOKUP('Données projet'!$B$9,Paramètres!$A$1:$I$89,3,0)*VLOOKUP('Données projet'!$B$9,Paramètres!$A$1:$I$89,5,0)</f>
        <v>-4.6288732846733184E-13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373.59295497283125</v>
      </c>
      <c r="T165" s="59">
        <f t="shared" si="142"/>
        <v>231.36959598460686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54.142026121631247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54.142026121631247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-5.1159076974727213E-13</v>
      </c>
      <c r="AJ165" s="13">
        <f>AI165*VLOOKUP('Données projet'!$B$10,Paramètres!$A$1:$I$89,3,0)*VLOOKUP('Données projet'!$B$10,Paramètres!$A$1:$I$89,5,0)</f>
        <v>-5.1875304052373401E-13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413.81510455446738</v>
      </c>
      <c r="AO165" s="59">
        <f t="shared" si="144"/>
        <v>254.25036207346602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60.67640858458671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60.67640858458671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-1.1368683772161603E-13</v>
      </c>
      <c r="BE165" s="13">
        <f>BD165*VLOOKUP('Données projet'!$B$11,Paramètres!$A$1:$I$89,3,0)*VLOOKUP('Données projet'!$B$11,Paramètres!$A$1:$I$89,5,0)</f>
        <v>-1.0995790944434703E-13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295.35565287134125</v>
      </c>
      <c r="BJ165" s="59">
        <f t="shared" si="146"/>
        <v>244.451492444461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17.938634301919873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17.938634301919873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-1.1368683772161603E-13</v>
      </c>
      <c r="BZ165" s="13">
        <f>BY165*VLOOKUP('Données projet'!$B$12,Paramètres!$A$1:$I$89,3,0)*VLOOKUP('Données projet'!$B$12,Paramètres!$A$1:$I$89,5,0)</f>
        <v>-1.223725121235475E-13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324.61094137855798</v>
      </c>
      <c r="CE165" s="59">
        <f t="shared" si="148"/>
        <v>267.2998309535638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19.963963981168892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19.963963981168892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2.8421709430404007E-13</v>
      </c>
      <c r="CU165" s="17">
        <f>CT165*VLOOKUP('Données projet'!$B$13,Paramètres!$A$1:$I$89,3,0)*VLOOKUP('Données projet'!$B$13,Paramètres!$A$1:$I$89,5,0)</f>
        <v>1.69961822393816E-13</v>
      </c>
      <c r="CV165" s="13">
        <f t="shared" si="173"/>
        <v>2.4004382776176369E-12</v>
      </c>
      <c r="CW165" s="20">
        <f t="shared" si="174"/>
        <v>4.4767801741866136E-12</v>
      </c>
      <c r="CX165" s="59">
        <f t="shared" si="122"/>
        <v>293.33333333333781</v>
      </c>
      <c r="CY165" s="59">
        <f ca="1">AVERAGE(OFFSET($CX$3,0,0,'Données projet'!$E$13+1,1))-AVERAGE(OFFSET($H$3,0,0,'Données projet'!$E$13+1,1))</f>
        <v>319.9010109022521</v>
      </c>
      <c r="CZ165" s="59">
        <f t="shared" si="150"/>
        <v>441.82647565372287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16.081053776211185</v>
      </c>
      <c r="DG165" s="21">
        <f>EXP(-LN(2)/25)*DG164+(1-EXP(-LN(2)/25))/(LN(2)/25)*Calculateur!DB165*Calculateur!DD165*VLOOKUP('Données projet'!$B$13,Paramètres!$A$1:$I$89,3,0)*0.475*44/12</f>
        <v>3.0818904068457735</v>
      </c>
      <c r="DH165" s="21">
        <f>EXP(-LN(2)/2)*DH164+(1-EXP(-LN(2)/2))/(LN(2)/2)*DB165*DE165*VLOOKUP('Données projet'!$B$13,Paramètres!$A$1:$I$89,3,0)*0.475*44/12</f>
        <v>8.8792358828986876E-16</v>
      </c>
      <c r="DI165" s="22">
        <f t="shared" si="175"/>
        <v>19.162944183056958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>
        <f>DO165*VLOOKUP('Données projet'!$B$14,Paramètres!$A$1:$I$89,3,0)*VLOOKUP('Données projet'!$B$14,Paramètres!$A$1:$I$89,5,0)</f>
        <v>0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229.61973863654862</v>
      </c>
      <c r="DU165" s="59">
        <f t="shared" si="152"/>
        <v>254.08208375594052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14.223574014794295</v>
      </c>
      <c r="EB165" s="21">
        <f>EXP(-LN(2)/25)*EB164+(1-EXP(-LN(2)/25))/(LN(2)/25)*Calculateur!DW165*Calculateur!DY165*VLOOKUP('Données projet'!$B$14,Paramètres!$A$1:$I$89,3,0)*0.475*44/12</f>
        <v>2.957445564221914</v>
      </c>
      <c r="EC165" s="21">
        <f>EXP(-LN(2)/2)*EC164+(1-EXP(-LN(2)/2))/(LN(2)/2)*DW165*DZ165*VLOOKUP('Données projet'!$B$14,Paramètres!$A$1:$I$89,3,0)*0.475*44/12</f>
        <v>2.0007029443773926E-14</v>
      </c>
      <c r="ED165" s="22">
        <f t="shared" si="178"/>
        <v>17.18101957901623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-5.1159076974727213E-13</v>
      </c>
      <c r="O166" s="13">
        <f>N166*VLOOKUP('Données projet'!$B$9,Paramètres!$A$1:$I$89,3,0)*VLOOKUP('Données projet'!$B$9,Paramètres!$A$1:$I$89,5,0)</f>
        <v>-4.6288732846733184E-13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373.59295497283125</v>
      </c>
      <c r="T166" s="59">
        <f t="shared" si="142"/>
        <v>231.36959598460686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53.080334012761206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53.080334012761206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-5.1159076974727213E-13</v>
      </c>
      <c r="AJ166" s="13">
        <f>AI166*VLOOKUP('Données projet'!$B$10,Paramètres!$A$1:$I$89,3,0)*VLOOKUP('Données projet'!$B$10,Paramètres!$A$1:$I$89,5,0)</f>
        <v>-5.1875304052373401E-13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413.81510455446738</v>
      </c>
      <c r="AO166" s="59">
        <f t="shared" si="144"/>
        <v>254.25036207346602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59.486581221197874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59.486581221197874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-1.1368683772161603E-13</v>
      </c>
      <c r="BE166" s="13">
        <f>BD166*VLOOKUP('Données projet'!$B$11,Paramètres!$A$1:$I$89,3,0)*VLOOKUP('Données projet'!$B$11,Paramètres!$A$1:$I$89,5,0)</f>
        <v>-1.0995790944434703E-13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295.35565287134125</v>
      </c>
      <c r="BJ166" s="59">
        <f t="shared" si="146"/>
        <v>244.451492444461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17.586868624745765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17.586868624745765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-1.1368683772161603E-13</v>
      </c>
      <c r="BZ166" s="13">
        <f>BY166*VLOOKUP('Données projet'!$B$12,Paramètres!$A$1:$I$89,3,0)*VLOOKUP('Données projet'!$B$12,Paramètres!$A$1:$I$89,5,0)</f>
        <v>-1.223725121235475E-13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324.61094137855798</v>
      </c>
      <c r="CE166" s="59">
        <f t="shared" si="148"/>
        <v>267.2998309535638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19.572482824313838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19.572482824313838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2.8421709430404007E-13</v>
      </c>
      <c r="CU166" s="17">
        <f>CT166*VLOOKUP('Données projet'!$B$13,Paramètres!$A$1:$I$89,3,0)*VLOOKUP('Données projet'!$B$13,Paramètres!$A$1:$I$89,5,0)</f>
        <v>1.69961822393816E-13</v>
      </c>
      <c r="CV166" s="13">
        <f t="shared" si="173"/>
        <v>2.4004382776176369E-12</v>
      </c>
      <c r="CW166" s="20">
        <f t="shared" si="174"/>
        <v>4.4767801741866136E-12</v>
      </c>
      <c r="CX166" s="59">
        <f t="shared" si="122"/>
        <v>293.33333333333781</v>
      </c>
      <c r="CY166" s="59">
        <f ca="1">AVERAGE(OFFSET($CX$3,0,0,'Données projet'!$E$13+1,1))-AVERAGE(OFFSET($H$3,0,0,'Données projet'!$E$13+1,1))</f>
        <v>319.9010109022521</v>
      </c>
      <c r="CZ166" s="59">
        <f t="shared" si="150"/>
        <v>441.82647565372287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15.76571412013398</v>
      </c>
      <c r="DG166" s="21">
        <f>EXP(-LN(2)/25)*DG165+(1-EXP(-LN(2)/25))/(LN(2)/25)*Calculateur!DB166*Calculateur!DD166*VLOOKUP('Données projet'!$B$13,Paramètres!$A$1:$I$89,3,0)*0.475*44/12</f>
        <v>2.997615951601003</v>
      </c>
      <c r="DH166" s="21">
        <f>EXP(-LN(2)/2)*DH165+(1-EXP(-LN(2)/2))/(LN(2)/2)*DB166*DE166*VLOOKUP('Données projet'!$B$13,Paramètres!$A$1:$I$89,3,0)*0.475*44/12</f>
        <v>6.2785679045525843E-16</v>
      </c>
      <c r="DI166" s="22">
        <f t="shared" si="175"/>
        <v>18.763330071734984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>
        <f>DO166*VLOOKUP('Données projet'!$B$14,Paramètres!$A$1:$I$89,3,0)*VLOOKUP('Données projet'!$B$14,Paramètres!$A$1:$I$89,5,0)</f>
        <v>0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229.61973863654862</v>
      </c>
      <c r="DU166" s="59">
        <f t="shared" si="152"/>
        <v>254.08208375594052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13.944658403887692</v>
      </c>
      <c r="EB166" s="21">
        <f>EXP(-LN(2)/25)*EB165+(1-EXP(-LN(2)/25))/(LN(2)/25)*Calculateur!DW166*Calculateur!DY166*VLOOKUP('Données projet'!$B$14,Paramètres!$A$1:$I$89,3,0)*0.475*44/12</f>
        <v>2.8765740597429628</v>
      </c>
      <c r="EC166" s="21">
        <f>EXP(-LN(2)/2)*EC165+(1-EXP(-LN(2)/2))/(LN(2)/2)*DW166*DZ166*VLOOKUP('Données projet'!$B$14,Paramètres!$A$1:$I$89,3,0)*0.475*44/12</f>
        <v>1.4147106191091464E-14</v>
      </c>
      <c r="ED166" s="22">
        <f t="shared" si="178"/>
        <v>16.821232463630668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-5.1159076974727213E-13</v>
      </c>
      <c r="O167" s="13">
        <f>N167*VLOOKUP('Données projet'!$B$9,Paramètres!$A$1:$I$89,3,0)*VLOOKUP('Données projet'!$B$9,Paramètres!$A$1:$I$89,5,0)</f>
        <v>-4.6288732846733184E-13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373.59295497283125</v>
      </c>
      <c r="T167" s="59">
        <f t="shared" si="142"/>
        <v>231.36959598460686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52.039461038577862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52.039461038577862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-5.1159076974727213E-13</v>
      </c>
      <c r="AJ167" s="13">
        <f>AI167*VLOOKUP('Données projet'!$B$10,Paramètres!$A$1:$I$89,3,0)*VLOOKUP('Données projet'!$B$10,Paramètres!$A$1:$I$89,5,0)</f>
        <v>-5.1875304052373401E-13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413.81510455446738</v>
      </c>
      <c r="AO167" s="59">
        <f t="shared" si="144"/>
        <v>254.25036207346602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58.32008564668206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58.32008564668206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-1.1368683772161603E-13</v>
      </c>
      <c r="BE167" s="13">
        <f>BD167*VLOOKUP('Données projet'!$B$11,Paramètres!$A$1:$I$89,3,0)*VLOOKUP('Données projet'!$B$11,Paramètres!$A$1:$I$89,5,0)</f>
        <v>-1.0995790944434703E-13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295.35565287134125</v>
      </c>
      <c r="BJ167" s="59">
        <f t="shared" si="146"/>
        <v>244.451492444461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17.242000857945165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17.242000857945165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-1.1368683772161603E-13</v>
      </c>
      <c r="BZ167" s="13">
        <f>BY167*VLOOKUP('Données projet'!$B$12,Paramètres!$A$1:$I$89,3,0)*VLOOKUP('Données projet'!$B$12,Paramètres!$A$1:$I$89,5,0)</f>
        <v>-1.223725121235475E-13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324.61094137855798</v>
      </c>
      <c r="CE167" s="59">
        <f t="shared" si="148"/>
        <v>267.2998309535638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19.188678374164784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19.188678374164784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2.8421709430404007E-13</v>
      </c>
      <c r="CU167" s="17">
        <f>CT167*VLOOKUP('Données projet'!$B$13,Paramètres!$A$1:$I$89,3,0)*VLOOKUP('Données projet'!$B$13,Paramètres!$A$1:$I$89,5,0)</f>
        <v>1.69961822393816E-13</v>
      </c>
      <c r="CV167" s="13">
        <f t="shared" si="173"/>
        <v>2.4004382776176369E-12</v>
      </c>
      <c r="CW167" s="20">
        <f t="shared" si="174"/>
        <v>4.4767801741866136E-12</v>
      </c>
      <c r="CX167" s="59">
        <f t="shared" si="122"/>
        <v>293.33333333333781</v>
      </c>
      <c r="CY167" s="59">
        <f ca="1">AVERAGE(OFFSET($CX$3,0,0,'Données projet'!$E$13+1,1))-AVERAGE(OFFSET($H$3,0,0,'Données projet'!$E$13+1,1))</f>
        <v>319.9010109022521</v>
      </c>
      <c r="CZ167" s="59">
        <f t="shared" si="150"/>
        <v>441.82647565372287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15.456558082374251</v>
      </c>
      <c r="DG167" s="21">
        <f>EXP(-LN(2)/25)*DG166+(1-EXP(-LN(2)/25))/(LN(2)/25)*Calculateur!DB167*Calculateur!DD167*VLOOKUP('Données projet'!$B$13,Paramètres!$A$1:$I$89,3,0)*0.475*44/12</f>
        <v>2.9156459857667016</v>
      </c>
      <c r="DH167" s="21">
        <f>EXP(-LN(2)/2)*DH166+(1-EXP(-LN(2)/2))/(LN(2)/2)*DB167*DE167*VLOOKUP('Données projet'!$B$13,Paramètres!$A$1:$I$89,3,0)*0.475*44/12</f>
        <v>4.4396179414493448E-16</v>
      </c>
      <c r="DI167" s="22">
        <f t="shared" si="175"/>
        <v>18.372204068140952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>
        <f>DO167*VLOOKUP('Données projet'!$B$14,Paramètres!$A$1:$I$89,3,0)*VLOOKUP('Données projet'!$B$14,Paramètres!$A$1:$I$89,5,0)</f>
        <v>0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229.61973863654862</v>
      </c>
      <c r="DU167" s="59">
        <f t="shared" si="152"/>
        <v>254.08208375594052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13.671212157989242</v>
      </c>
      <c r="EB167" s="21">
        <f>EXP(-LN(2)/25)*EB166+(1-EXP(-LN(2)/25))/(LN(2)/25)*Calculateur!DW167*Calculateur!DY167*VLOOKUP('Données projet'!$B$14,Paramètres!$A$1:$I$89,3,0)*0.475*44/12</f>
        <v>2.797913990806836</v>
      </c>
      <c r="EC167" s="21">
        <f>EXP(-LN(2)/2)*EC166+(1-EXP(-LN(2)/2))/(LN(2)/2)*DW167*DZ167*VLOOKUP('Données projet'!$B$14,Paramètres!$A$1:$I$89,3,0)*0.475*44/12</f>
        <v>1.0003514721886965E-14</v>
      </c>
      <c r="ED167" s="22">
        <f t="shared" si="178"/>
        <v>16.469126148796089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-5.1159076974727213E-13</v>
      </c>
      <c r="O168" s="13">
        <f>N168*VLOOKUP('Données projet'!$B$9,Paramètres!$A$1:$I$89,3,0)*VLOOKUP('Données projet'!$B$9,Paramètres!$A$1:$I$89,5,0)</f>
        <v>-4.6288732846733184E-13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373.59295497283125</v>
      </c>
      <c r="T168" s="59">
        <f t="shared" si="142"/>
        <v>231.36959598460686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51.018998948548429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51.018998948548429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-5.1159076974727213E-13</v>
      </c>
      <c r="AJ168" s="13">
        <f>AI168*VLOOKUP('Données projet'!$B$10,Paramètres!$A$1:$I$89,3,0)*VLOOKUP('Données projet'!$B$10,Paramètres!$A$1:$I$89,5,0)</f>
        <v>-5.1875304052373401E-13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413.81510455446738</v>
      </c>
      <c r="AO168" s="59">
        <f t="shared" si="144"/>
        <v>254.25036207346602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57.176464338890455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57.176464338890455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-1.1368683772161603E-13</v>
      </c>
      <c r="BE168" s="13">
        <f>BD168*VLOOKUP('Données projet'!$B$11,Paramètres!$A$1:$I$89,3,0)*VLOOKUP('Données projet'!$B$11,Paramètres!$A$1:$I$89,5,0)</f>
        <v>-1.0995790944434703E-13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295.35565287134125</v>
      </c>
      <c r="BJ168" s="59">
        <f t="shared" si="146"/>
        <v>244.451492444461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16.903895737702957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16.903895737702957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-1.1368683772161603E-13</v>
      </c>
      <c r="BZ168" s="13">
        <f>BY168*VLOOKUP('Données projet'!$B$12,Paramètres!$A$1:$I$89,3,0)*VLOOKUP('Données projet'!$B$12,Paramètres!$A$1:$I$89,5,0)</f>
        <v>-1.223725121235475E-13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324.61094137855798</v>
      </c>
      <c r="CE168" s="59">
        <f t="shared" si="148"/>
        <v>267.2998309535638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18.812400095185552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18.812400095185552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2.8421709430404007E-13</v>
      </c>
      <c r="CU168" s="17">
        <f>CT168*VLOOKUP('Données projet'!$B$13,Paramètres!$A$1:$I$89,3,0)*VLOOKUP('Données projet'!$B$13,Paramètres!$A$1:$I$89,5,0)</f>
        <v>1.69961822393816E-13</v>
      </c>
      <c r="CV168" s="13">
        <f t="shared" si="173"/>
        <v>2.4004382776176369E-12</v>
      </c>
      <c r="CW168" s="20">
        <f t="shared" si="174"/>
        <v>4.4767801741866136E-12</v>
      </c>
      <c r="CX168" s="59">
        <f t="shared" si="122"/>
        <v>293.33333333333781</v>
      </c>
      <c r="CY168" s="59">
        <f ca="1">AVERAGE(OFFSET($CX$3,0,0,'Données projet'!$E$13+1,1))-AVERAGE(OFFSET($H$3,0,0,'Données projet'!$E$13+1,1))</f>
        <v>319.9010109022521</v>
      </c>
      <c r="CZ168" s="59">
        <f t="shared" si="150"/>
        <v>441.82647565372287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15.153464405948426</v>
      </c>
      <c r="DG168" s="21">
        <f>EXP(-LN(2)/25)*DG167+(1-EXP(-LN(2)/25))/(LN(2)/25)*Calculateur!DB168*Calculateur!DD168*VLOOKUP('Données projet'!$B$13,Paramètres!$A$1:$I$89,3,0)*0.475*44/12</f>
        <v>2.8359174929587527</v>
      </c>
      <c r="DH168" s="21">
        <f>EXP(-LN(2)/2)*DH167+(1-EXP(-LN(2)/2))/(LN(2)/2)*DB168*DE168*VLOOKUP('Données projet'!$B$13,Paramètres!$A$1:$I$89,3,0)*0.475*44/12</f>
        <v>3.1392839522762926E-16</v>
      </c>
      <c r="DI168" s="22">
        <f t="shared" si="175"/>
        <v>17.98938189890718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>
        <f>DO168*VLOOKUP('Données projet'!$B$14,Paramètres!$A$1:$I$89,3,0)*VLOOKUP('Données projet'!$B$14,Paramètres!$A$1:$I$89,5,0)</f>
        <v>0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229.61973863654862</v>
      </c>
      <c r="DU168" s="59">
        <f t="shared" si="152"/>
        <v>254.08208375594052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13.403128026187119</v>
      </c>
      <c r="EB168" s="21">
        <f>EXP(-LN(2)/25)*EB167+(1-EXP(-LN(2)/25))/(LN(2)/25)*Calculateur!DW168*Calculateur!DY168*VLOOKUP('Données projet'!$B$14,Paramètres!$A$1:$I$89,3,0)*0.475*44/12</f>
        <v>2.721404885592321</v>
      </c>
      <c r="EC168" s="21">
        <f>EXP(-LN(2)/2)*EC167+(1-EXP(-LN(2)/2))/(LN(2)/2)*DW168*DZ168*VLOOKUP('Données projet'!$B$14,Paramètres!$A$1:$I$89,3,0)*0.475*44/12</f>
        <v>7.0735530955457334E-15</v>
      </c>
      <c r="ED168" s="22">
        <f t="shared" si="178"/>
        <v>16.124532911779447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-5.1159076974727213E-13</v>
      </c>
      <c r="O169" s="13">
        <f>N169*VLOOKUP('Données projet'!$B$9,Paramètres!$A$1:$I$89,3,0)*VLOOKUP('Données projet'!$B$9,Paramètres!$A$1:$I$89,5,0)</f>
        <v>-4.6288732846733184E-13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373.59295497283125</v>
      </c>
      <c r="T169" s="59">
        <f t="shared" si="142"/>
        <v>231.36959598460686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50.018547497684054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50.018547497684054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-5.1159076974727213E-13</v>
      </c>
      <c r="AJ169" s="13">
        <f>AI169*VLOOKUP('Données projet'!$B$10,Paramètres!$A$1:$I$89,3,0)*VLOOKUP('Données projet'!$B$10,Paramètres!$A$1:$I$89,5,0)</f>
        <v>-5.1875304052373401E-13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413.81510455446738</v>
      </c>
      <c r="AO169" s="59">
        <f t="shared" si="144"/>
        <v>254.25036207346602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56.055268747404519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56.055268747404519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-1.1368683772161603E-13</v>
      </c>
      <c r="BE169" s="13">
        <f>BD169*VLOOKUP('Données projet'!$B$11,Paramètres!$A$1:$I$89,3,0)*VLOOKUP('Données projet'!$B$11,Paramètres!$A$1:$I$89,5,0)</f>
        <v>-1.0995790944434703E-13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295.35565287134125</v>
      </c>
      <c r="BJ169" s="59">
        <f t="shared" si="146"/>
        <v>244.451492444461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16.57242065264494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16.57242065264494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-1.1368683772161603E-13</v>
      </c>
      <c r="BZ169" s="13">
        <f>BY169*VLOOKUP('Données projet'!$B$12,Paramètres!$A$1:$I$89,3,0)*VLOOKUP('Données projet'!$B$12,Paramètres!$A$1:$I$89,5,0)</f>
        <v>-1.223725121235475E-13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324.61094137855798</v>
      </c>
      <c r="CE169" s="59">
        <f t="shared" si="148"/>
        <v>267.2998309535638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18.443500403750015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18.443500403750015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2.8421709430404007E-13</v>
      </c>
      <c r="CU169" s="17">
        <f>CT169*VLOOKUP('Données projet'!$B$13,Paramètres!$A$1:$I$89,3,0)*VLOOKUP('Données projet'!$B$13,Paramètres!$A$1:$I$89,5,0)</f>
        <v>1.69961822393816E-13</v>
      </c>
      <c r="CV169" s="13">
        <f t="shared" si="173"/>
        <v>2.4004382776176369E-12</v>
      </c>
      <c r="CW169" s="20">
        <f t="shared" si="174"/>
        <v>4.4767801741866136E-12</v>
      </c>
      <c r="CX169" s="59">
        <f t="shared" si="122"/>
        <v>293.33333333333781</v>
      </c>
      <c r="CY169" s="59">
        <f ca="1">AVERAGE(OFFSET($CX$3,0,0,'Données projet'!$E$13+1,1))-AVERAGE(OFFSET($H$3,0,0,'Données projet'!$E$13+1,1))</f>
        <v>319.9010109022521</v>
      </c>
      <c r="CZ169" s="59">
        <f t="shared" si="150"/>
        <v>441.82647565372287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14.856314211648424</v>
      </c>
      <c r="DG169" s="21">
        <f>EXP(-LN(2)/25)*DG168+(1-EXP(-LN(2)/25))/(LN(2)/25)*Calculateur!DB169*Calculateur!DD169*VLOOKUP('Données projet'!$B$13,Paramètres!$A$1:$I$89,3,0)*0.475*44/12</f>
        <v>2.7583691799793764</v>
      </c>
      <c r="DH169" s="21">
        <f>EXP(-LN(2)/2)*DH168+(1-EXP(-LN(2)/2))/(LN(2)/2)*DB169*DE169*VLOOKUP('Données projet'!$B$13,Paramètres!$A$1:$I$89,3,0)*0.475*44/12</f>
        <v>2.2198089707246726E-16</v>
      </c>
      <c r="DI169" s="22">
        <f t="shared" si="175"/>
        <v>17.6146833916278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>
        <f>DO169*VLOOKUP('Données projet'!$B$14,Paramètres!$A$1:$I$89,3,0)*VLOOKUP('Données projet'!$B$14,Paramètres!$A$1:$I$89,5,0)</f>
        <v>0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229.61973863654862</v>
      </c>
      <c r="DU169" s="59">
        <f t="shared" si="152"/>
        <v>254.08208375594052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13.140300860694461</v>
      </c>
      <c r="EB169" s="21">
        <f>EXP(-LN(2)/25)*EB168+(1-EXP(-LN(2)/25))/(LN(2)/25)*Calculateur!DW169*Calculateur!DY169*VLOOKUP('Données projet'!$B$14,Paramètres!$A$1:$I$89,3,0)*0.475*44/12</f>
        <v>2.646987925883336</v>
      </c>
      <c r="EC169" s="21">
        <f>EXP(-LN(2)/2)*EC168+(1-EXP(-LN(2)/2))/(LN(2)/2)*DW169*DZ169*VLOOKUP('Données projet'!$B$14,Paramètres!$A$1:$I$89,3,0)*0.475*44/12</f>
        <v>5.0017573609434831E-15</v>
      </c>
      <c r="ED169" s="22">
        <f t="shared" si="178"/>
        <v>15.787288786577802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-5.1159076974727213E-13</v>
      </c>
      <c r="O170" s="13">
        <f>N170*VLOOKUP('Données projet'!$B$9,Paramètres!$A$1:$I$89,3,0)*VLOOKUP('Données projet'!$B$9,Paramètres!$A$1:$I$89,5,0)</f>
        <v>-4.6288732846733184E-13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373.59295497283125</v>
      </c>
      <c r="T170" s="59">
        <f t="shared" si="142"/>
        <v>231.36959598460686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49.037714289556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49.037714289556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-5.1159076974727213E-13</v>
      </c>
      <c r="AJ170" s="13">
        <f>AI170*VLOOKUP('Données projet'!$B$10,Paramètres!$A$1:$I$89,3,0)*VLOOKUP('Données projet'!$B$10,Paramètres!$A$1:$I$89,5,0)</f>
        <v>-5.1875304052373401E-13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413.81510455446738</v>
      </c>
      <c r="AO170" s="59">
        <f t="shared" si="144"/>
        <v>254.25036207346602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54.95605911760584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54.95605911760584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-1.1368683772161603E-13</v>
      </c>
      <c r="BE170" s="13">
        <f>BD170*VLOOKUP('Données projet'!$B$11,Paramètres!$A$1:$I$89,3,0)*VLOOKUP('Données projet'!$B$11,Paramètres!$A$1:$I$89,5,0)</f>
        <v>-1.0995790944434703E-13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295.35565287134125</v>
      </c>
      <c r="BJ170" s="59">
        <f t="shared" si="146"/>
        <v>244.451492444461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16.24744559182507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16.24744559182507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-1.1368683772161603E-13</v>
      </c>
      <c r="BZ170" s="13">
        <f>BY170*VLOOKUP('Données projet'!$B$12,Paramètres!$A$1:$I$89,3,0)*VLOOKUP('Données projet'!$B$12,Paramètres!$A$1:$I$89,5,0)</f>
        <v>-1.223725121235475E-13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324.61094137855798</v>
      </c>
      <c r="CE170" s="59">
        <f t="shared" si="148"/>
        <v>267.2998309535638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18.081834610256934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18.081834610256934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2.8421709430404007E-13</v>
      </c>
      <c r="CU170" s="17">
        <f>CT170*VLOOKUP('Données projet'!$B$13,Paramètres!$A$1:$I$89,3,0)*VLOOKUP('Données projet'!$B$13,Paramètres!$A$1:$I$89,5,0)</f>
        <v>1.69961822393816E-13</v>
      </c>
      <c r="CV170" s="13">
        <f t="shared" si="173"/>
        <v>2.4004382776176369E-12</v>
      </c>
      <c r="CW170" s="20">
        <f t="shared" si="174"/>
        <v>4.4767801741866136E-12</v>
      </c>
      <c r="CX170" s="59">
        <f t="shared" si="122"/>
        <v>293.33333333333781</v>
      </c>
      <c r="CY170" s="59">
        <f ca="1">AVERAGE(OFFSET($CX$3,0,0,'Données projet'!$E$13+1,1))-AVERAGE(OFFSET($H$3,0,0,'Données projet'!$E$13+1,1))</f>
        <v>319.9010109022521</v>
      </c>
      <c r="CZ170" s="59">
        <f t="shared" si="150"/>
        <v>441.82647565372287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14.564990951414924</v>
      </c>
      <c r="DG170" s="21">
        <f>EXP(-LN(2)/25)*DG169+(1-EXP(-LN(2)/25))/(LN(2)/25)*Calculateur!DB170*Calculateur!DD170*VLOOKUP('Données projet'!$B$13,Paramètres!$A$1:$I$89,3,0)*0.475*44/12</f>
        <v>2.6829414296965095</v>
      </c>
      <c r="DH170" s="21">
        <f>EXP(-LN(2)/2)*DH169+(1-EXP(-LN(2)/2))/(LN(2)/2)*DB170*DE170*VLOOKUP('Données projet'!$B$13,Paramètres!$A$1:$I$89,3,0)*0.475*44/12</f>
        <v>1.5696419761381466E-16</v>
      </c>
      <c r="DI170" s="22">
        <f t="shared" si="175"/>
        <v>17.247932381111433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>
        <f>DO170*VLOOKUP('Données projet'!$B$14,Paramètres!$A$1:$I$89,3,0)*VLOOKUP('Données projet'!$B$14,Paramètres!$A$1:$I$89,5,0)</f>
        <v>0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229.61973863654862</v>
      </c>
      <c r="DU170" s="59">
        <f t="shared" si="152"/>
        <v>254.08208375594052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12.882627575608373</v>
      </c>
      <c r="EB170" s="21">
        <f>EXP(-LN(2)/25)*EB169+(1-EXP(-LN(2)/25))/(LN(2)/25)*Calculateur!DW170*Calculateur!DY170*VLOOKUP('Données projet'!$B$14,Paramètres!$A$1:$I$89,3,0)*0.475*44/12</f>
        <v>2.5746059018510108</v>
      </c>
      <c r="EC170" s="21">
        <f>EXP(-LN(2)/2)*EC169+(1-EXP(-LN(2)/2))/(LN(2)/2)*DW170*DZ170*VLOOKUP('Données projet'!$B$14,Paramètres!$A$1:$I$89,3,0)*0.475*44/12</f>
        <v>3.5367765477728671E-15</v>
      </c>
      <c r="ED170" s="22">
        <f t="shared" si="178"/>
        <v>15.457233477459386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-5.1159076974727213E-13</v>
      </c>
      <c r="O171" s="13">
        <f>N171*VLOOKUP('Données projet'!$B$9,Paramètres!$A$1:$I$89,3,0)*VLOOKUP('Données projet'!$B$9,Paramètres!$A$1:$I$89,5,0)</f>
        <v>-4.6288732846733184E-13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373.59295497283125</v>
      </c>
      <c r="T171" s="59">
        <f t="shared" si="142"/>
        <v>231.36959598460686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48.076114622390151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48.076114622390151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-5.1159076974727213E-13</v>
      </c>
      <c r="AJ171" s="13">
        <f>AI171*VLOOKUP('Données projet'!$B$10,Paramètres!$A$1:$I$89,3,0)*VLOOKUP('Données projet'!$B$10,Paramètres!$A$1:$I$89,5,0)</f>
        <v>-5.1875304052373401E-13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413.81510455446738</v>
      </c>
      <c r="AO171" s="59">
        <f t="shared" si="144"/>
        <v>254.25036207346602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53.878404318195834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53.878404318195834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-1.1368683772161603E-13</v>
      </c>
      <c r="BE171" s="13">
        <f>BD171*VLOOKUP('Données projet'!$B$11,Paramètres!$A$1:$I$89,3,0)*VLOOKUP('Données projet'!$B$11,Paramètres!$A$1:$I$89,5,0)</f>
        <v>-1.0995790944434703E-13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295.35565287134125</v>
      </c>
      <c r="BJ171" s="59">
        <f t="shared" si="146"/>
        <v>244.451492444461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15.928843093732663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15.928843093732663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-1.1368683772161603E-13</v>
      </c>
      <c r="BZ171" s="13">
        <f>BY171*VLOOKUP('Données projet'!$B$12,Paramètres!$A$1:$I$89,3,0)*VLOOKUP('Données projet'!$B$12,Paramètres!$A$1:$I$89,5,0)</f>
        <v>-1.223725121235475E-13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324.61094137855798</v>
      </c>
      <c r="CE171" s="59">
        <f t="shared" si="148"/>
        <v>267.2998309535638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17.7272608623799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17.7272608623799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2.8421709430404007E-13</v>
      </c>
      <c r="CU171" s="17">
        <f>CT171*VLOOKUP('Données projet'!$B$13,Paramètres!$A$1:$I$89,3,0)*VLOOKUP('Données projet'!$B$13,Paramètres!$A$1:$I$89,5,0)</f>
        <v>1.69961822393816E-13</v>
      </c>
      <c r="CV171" s="13">
        <f t="shared" si="173"/>
        <v>2.4004382776176369E-12</v>
      </c>
      <c r="CW171" s="20">
        <f t="shared" si="174"/>
        <v>4.4767801741866136E-12</v>
      </c>
      <c r="CX171" s="59">
        <f t="shared" si="122"/>
        <v>293.33333333333781</v>
      </c>
      <c r="CY171" s="59">
        <f ca="1">AVERAGE(OFFSET($CX$3,0,0,'Données projet'!$E$13+1,1))-AVERAGE(OFFSET($H$3,0,0,'Données projet'!$E$13+1,1))</f>
        <v>319.9010109022521</v>
      </c>
      <c r="CZ171" s="59">
        <f t="shared" si="150"/>
        <v>441.82647565372287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14.279380362624957</v>
      </c>
      <c r="DG171" s="21">
        <f>EXP(-LN(2)/25)*DG170+(1-EXP(-LN(2)/25))/(LN(2)/25)*Calculateur!DB171*Calculateur!DD171*VLOOKUP('Données projet'!$B$13,Paramètres!$A$1:$I$89,3,0)*0.475*44/12</f>
        <v>2.6095762552117008</v>
      </c>
      <c r="DH171" s="21">
        <f>EXP(-LN(2)/2)*DH170+(1-EXP(-LN(2)/2))/(LN(2)/2)*DB171*DE171*VLOOKUP('Données projet'!$B$13,Paramètres!$A$1:$I$89,3,0)*0.475*44/12</f>
        <v>1.1099044853623366E-16</v>
      </c>
      <c r="DI171" s="22">
        <f t="shared" si="175"/>
        <v>16.888956617836659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>
        <f>DO171*VLOOKUP('Données projet'!$B$14,Paramètres!$A$1:$I$89,3,0)*VLOOKUP('Données projet'!$B$14,Paramètres!$A$1:$I$89,5,0)</f>
        <v>0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229.61973863654862</v>
      </c>
      <c r="DU171" s="59">
        <f t="shared" si="152"/>
        <v>254.08208375594052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12.630007106477638</v>
      </c>
      <c r="EB171" s="21">
        <f>EXP(-LN(2)/25)*EB170+(1-EXP(-LN(2)/25))/(LN(2)/25)*Calculateur!DW171*Calculateur!DY171*VLOOKUP('Données projet'!$B$14,Paramètres!$A$1:$I$89,3,0)*0.475*44/12</f>
        <v>2.5042031680722547</v>
      </c>
      <c r="EC171" s="21">
        <f>EXP(-LN(2)/2)*EC170+(1-EXP(-LN(2)/2))/(LN(2)/2)*DW171*DZ171*VLOOKUP('Données projet'!$B$14,Paramètres!$A$1:$I$89,3,0)*0.475*44/12</f>
        <v>2.5008786804717419E-15</v>
      </c>
      <c r="ED171" s="22">
        <f t="shared" si="178"/>
        <v>15.134210274549895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-5.1159076974727213E-13</v>
      </c>
      <c r="O172" s="13">
        <f>N172*VLOOKUP('Données projet'!$B$9,Paramètres!$A$1:$I$89,3,0)*VLOOKUP('Données projet'!$B$9,Paramètres!$A$1:$I$89,5,0)</f>
        <v>-4.6288732846733184E-13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373.59295497283125</v>
      </c>
      <c r="T172" s="59">
        <f t="shared" si="142"/>
        <v>231.36959598460686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47.133371338179543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47.133371338179543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-5.1159076974727213E-13</v>
      </c>
      <c r="AJ172" s="13">
        <f>AI172*VLOOKUP('Données projet'!$B$10,Paramètres!$A$1:$I$89,3,0)*VLOOKUP('Données projet'!$B$10,Paramètres!$A$1:$I$89,5,0)</f>
        <v>-5.1875304052373401E-13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413.81510455446738</v>
      </c>
      <c r="AO172" s="59">
        <f t="shared" si="144"/>
        <v>254.25036207346602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52.821881672097739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52.821881672097739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-1.1368683772161603E-13</v>
      </c>
      <c r="BE172" s="13">
        <f>BD172*VLOOKUP('Données projet'!$B$11,Paramètres!$A$1:$I$89,3,0)*VLOOKUP('Données projet'!$B$11,Paramètres!$A$1:$I$89,5,0)</f>
        <v>-1.0995790944434703E-13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295.35565287134125</v>
      </c>
      <c r="BJ172" s="59">
        <f t="shared" si="146"/>
        <v>244.451492444461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15.616488196299514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15.616488196299514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-1.1368683772161603E-13</v>
      </c>
      <c r="BZ172" s="13">
        <f>BY172*VLOOKUP('Données projet'!$B$12,Paramètres!$A$1:$I$89,3,0)*VLOOKUP('Données projet'!$B$12,Paramètres!$A$1:$I$89,5,0)</f>
        <v>-1.223725121235475E-13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324.61094137855798</v>
      </c>
      <c r="CE172" s="59">
        <f t="shared" si="148"/>
        <v>267.2998309535638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17.379640089430104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17.379640089430104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2.8421709430404007E-13</v>
      </c>
      <c r="CU172" s="17">
        <f>CT172*VLOOKUP('Données projet'!$B$13,Paramètres!$A$1:$I$89,3,0)*VLOOKUP('Données projet'!$B$13,Paramètres!$A$1:$I$89,5,0)</f>
        <v>1.69961822393816E-13</v>
      </c>
      <c r="CV172" s="13">
        <f t="shared" si="173"/>
        <v>2.4004382776176369E-12</v>
      </c>
      <c r="CW172" s="20">
        <f t="shared" si="174"/>
        <v>4.4767801741866136E-12</v>
      </c>
      <c r="CX172" s="59">
        <f t="shared" si="122"/>
        <v>293.33333333333781</v>
      </c>
      <c r="CY172" s="59">
        <f ca="1">AVERAGE(OFFSET($CX$3,0,0,'Données projet'!$E$13+1,1))-AVERAGE(OFFSET($H$3,0,0,'Données projet'!$E$13+1,1))</f>
        <v>319.9010109022521</v>
      </c>
      <c r="CZ172" s="59">
        <f t="shared" si="150"/>
        <v>441.82647565372287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13.999370423275906</v>
      </c>
      <c r="DG172" s="21">
        <f>EXP(-LN(2)/25)*DG171+(1-EXP(-LN(2)/25))/(LN(2)/25)*Calculateur!DB172*Calculateur!DD172*VLOOKUP('Données projet'!$B$13,Paramètres!$A$1:$I$89,3,0)*0.475*44/12</f>
        <v>2.5382172552812858</v>
      </c>
      <c r="DH172" s="21">
        <f>EXP(-LN(2)/2)*DH171+(1-EXP(-LN(2)/2))/(LN(2)/2)*DB172*DE172*VLOOKUP('Données projet'!$B$13,Paramètres!$A$1:$I$89,3,0)*0.475*44/12</f>
        <v>7.8482098806907341E-17</v>
      </c>
      <c r="DI172" s="22">
        <f t="shared" si="175"/>
        <v>16.537587678557191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>
        <f>DO172*VLOOKUP('Données projet'!$B$14,Paramètres!$A$1:$I$89,3,0)*VLOOKUP('Données projet'!$B$14,Paramètres!$A$1:$I$89,5,0)</f>
        <v>0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229.61973863654862</v>
      </c>
      <c r="DU172" s="59">
        <f t="shared" si="152"/>
        <v>254.08208375594052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12.382340370663284</v>
      </c>
      <c r="EB172" s="21">
        <f>EXP(-LN(2)/25)*EB171+(1-EXP(-LN(2)/25))/(LN(2)/25)*Calculateur!DW172*Calculateur!DY172*VLOOKUP('Données projet'!$B$14,Paramètres!$A$1:$I$89,3,0)*0.475*44/12</f>
        <v>2.435725600750998</v>
      </c>
      <c r="EC172" s="21">
        <f>EXP(-LN(2)/2)*EC171+(1-EXP(-LN(2)/2))/(LN(2)/2)*DW172*DZ172*VLOOKUP('Données projet'!$B$14,Paramètres!$A$1:$I$89,3,0)*0.475*44/12</f>
        <v>1.7683882738864339E-15</v>
      </c>
      <c r="ED172" s="22">
        <f t="shared" si="178"/>
        <v>14.818065971414283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-5.1159076974727213E-13</v>
      </c>
      <c r="O173" s="13">
        <f>N173*VLOOKUP('Données projet'!$B$9,Paramètres!$A$1:$I$89,3,0)*VLOOKUP('Données projet'!$B$9,Paramètres!$A$1:$I$89,5,0)</f>
        <v>-4.6288732846733184E-13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373.59295497283125</v>
      </c>
      <c r="T173" s="59">
        <f t="shared" si="142"/>
        <v>231.36959598460686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46.209114674755682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46.209114674755682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-5.1159076974727213E-13</v>
      </c>
      <c r="AJ173" s="13">
        <f>AI173*VLOOKUP('Données projet'!$B$10,Paramètres!$A$1:$I$89,3,0)*VLOOKUP('Données projet'!$B$10,Paramètres!$A$1:$I$89,5,0)</f>
        <v>-5.1875304052373401E-13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413.81510455446738</v>
      </c>
      <c r="AO173" s="59">
        <f t="shared" si="144"/>
        <v>254.25036207346602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51.786076790674443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51.786076790674443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-1.1368683772161603E-13</v>
      </c>
      <c r="BE173" s="13">
        <f>BD173*VLOOKUP('Données projet'!$B$11,Paramètres!$A$1:$I$89,3,0)*VLOOKUP('Données projet'!$B$11,Paramètres!$A$1:$I$89,5,0)</f>
        <v>-1.0995790944434703E-13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295.35565287134125</v>
      </c>
      <c r="BJ173" s="59">
        <f t="shared" si="146"/>
        <v>244.451492444461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15.310258387887353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15.310258387887353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-1.1368683772161603E-13</v>
      </c>
      <c r="BZ173" s="13">
        <f>BY173*VLOOKUP('Données projet'!$B$12,Paramètres!$A$1:$I$89,3,0)*VLOOKUP('Données projet'!$B$12,Paramètres!$A$1:$I$89,5,0)</f>
        <v>-1.223725121235475E-13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324.61094137855798</v>
      </c>
      <c r="CE173" s="59">
        <f t="shared" si="148"/>
        <v>267.2998309535638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17.038835947810117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17.038835947810117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2.8421709430404007E-13</v>
      </c>
      <c r="CU173" s="17">
        <f>CT173*VLOOKUP('Données projet'!$B$13,Paramètres!$A$1:$I$89,3,0)*VLOOKUP('Données projet'!$B$13,Paramètres!$A$1:$I$89,5,0)</f>
        <v>1.69961822393816E-13</v>
      </c>
      <c r="CV173" s="13">
        <f t="shared" si="173"/>
        <v>2.4004382776176369E-12</v>
      </c>
      <c r="CW173" s="20">
        <f t="shared" si="174"/>
        <v>4.4767801741866136E-12</v>
      </c>
      <c r="CX173" s="59">
        <f t="shared" si="122"/>
        <v>293.33333333333781</v>
      </c>
      <c r="CY173" s="59">
        <f ca="1">AVERAGE(OFFSET($CX$3,0,0,'Données projet'!$E$13+1,1))-AVERAGE(OFFSET($H$3,0,0,'Données projet'!$E$13+1,1))</f>
        <v>319.9010109022521</v>
      </c>
      <c r="CZ173" s="59">
        <f t="shared" si="150"/>
        <v>441.82647565372287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13.72485130804829</v>
      </c>
      <c r="DG173" s="21">
        <f>EXP(-LN(2)/25)*DG172+(1-EXP(-LN(2)/25))/(LN(2)/25)*Calculateur!DB173*Calculateur!DD173*VLOOKUP('Données projet'!$B$13,Paramètres!$A$1:$I$89,3,0)*0.475*44/12</f>
        <v>2.4688095709565747</v>
      </c>
      <c r="DH173" s="21">
        <f>EXP(-LN(2)/2)*DH172+(1-EXP(-LN(2)/2))/(LN(2)/2)*DB173*DE173*VLOOKUP('Données projet'!$B$13,Paramètres!$A$1:$I$89,3,0)*0.475*44/12</f>
        <v>5.5495224268116834E-17</v>
      </c>
      <c r="DI173" s="22">
        <f t="shared" si="175"/>
        <v>16.193660879004867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>
        <f>DO173*VLOOKUP('Données projet'!$B$14,Paramètres!$A$1:$I$89,3,0)*VLOOKUP('Données projet'!$B$14,Paramètres!$A$1:$I$89,5,0)</f>
        <v>0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229.61973863654862</v>
      </c>
      <c r="DU173" s="59">
        <f t="shared" si="152"/>
        <v>254.08208375594052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12.139530228476458</v>
      </c>
      <c r="EB173" s="21">
        <f>EXP(-LN(2)/25)*EB172+(1-EXP(-LN(2)/25))/(LN(2)/25)*Calculateur!DW173*Calculateur!DY173*VLOOKUP('Données projet'!$B$14,Paramètres!$A$1:$I$89,3,0)*0.475*44/12</f>
        <v>2.3691205561092197</v>
      </c>
      <c r="EC173" s="21">
        <f>EXP(-LN(2)/2)*EC172+(1-EXP(-LN(2)/2))/(LN(2)/2)*DW173*DZ173*VLOOKUP('Données projet'!$B$14,Paramètres!$A$1:$I$89,3,0)*0.475*44/12</f>
        <v>1.2504393402358712E-15</v>
      </c>
      <c r="ED173" s="22">
        <f t="shared" si="178"/>
        <v>14.508650784585679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-5.1159076974727213E-13</v>
      </c>
      <c r="O174" s="13">
        <f>N174*VLOOKUP('Données projet'!$B$9,Paramètres!$A$1:$I$89,3,0)*VLOOKUP('Données projet'!$B$9,Paramètres!$A$1:$I$89,5,0)</f>
        <v>-4.6288732846733184E-13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373.59295497283125</v>
      </c>
      <c r="T174" s="59">
        <f t="shared" si="142"/>
        <v>231.36959598460686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45.30298212076066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45.30298212076066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-5.1159076974727213E-13</v>
      </c>
      <c r="AJ174" s="13">
        <f>AI174*VLOOKUP('Données projet'!$B$10,Paramètres!$A$1:$I$89,3,0)*VLOOKUP('Données projet'!$B$10,Paramètres!$A$1:$I$89,5,0)</f>
        <v>-5.1875304052373401E-13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413.81510455446738</v>
      </c>
      <c r="AO174" s="59">
        <f t="shared" si="144"/>
        <v>254.25036207346602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50.770583411197265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50.770583411197265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-1.1368683772161603E-13</v>
      </c>
      <c r="BE174" s="13">
        <f>BD174*VLOOKUP('Données projet'!$B$11,Paramètres!$A$1:$I$89,3,0)*VLOOKUP('Données projet'!$B$11,Paramètres!$A$1:$I$89,5,0)</f>
        <v>-1.0995790944434703E-13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295.35565287134125</v>
      </c>
      <c r="BJ174" s="59">
        <f t="shared" si="146"/>
        <v>244.451492444461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15.010033559236415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15.010033559236415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-1.1368683772161603E-13</v>
      </c>
      <c r="BZ174" s="13">
        <f>BY174*VLOOKUP('Données projet'!$B$12,Paramètres!$A$1:$I$89,3,0)*VLOOKUP('Données projet'!$B$12,Paramètres!$A$1:$I$89,5,0)</f>
        <v>-1.223725121235475E-13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324.61094137855798</v>
      </c>
      <c r="CE174" s="59">
        <f t="shared" si="148"/>
        <v>267.2998309535638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16.7047147675373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16.7047147675373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2.8421709430404007E-13</v>
      </c>
      <c r="CU174" s="17">
        <f>CT174*VLOOKUP('Données projet'!$B$13,Paramètres!$A$1:$I$89,3,0)*VLOOKUP('Données projet'!$B$13,Paramètres!$A$1:$I$89,5,0)</f>
        <v>1.69961822393816E-13</v>
      </c>
      <c r="CV174" s="13">
        <f t="shared" si="173"/>
        <v>2.4004382776176369E-12</v>
      </c>
      <c r="CW174" s="20">
        <f t="shared" si="174"/>
        <v>4.4767801741866136E-12</v>
      </c>
      <c r="CX174" s="59">
        <f t="shared" si="122"/>
        <v>293.33333333333781</v>
      </c>
      <c r="CY174" s="59">
        <f ca="1">AVERAGE(OFFSET($CX$3,0,0,'Données projet'!$E$13+1,1))-AVERAGE(OFFSET($H$3,0,0,'Données projet'!$E$13+1,1))</f>
        <v>319.9010109022521</v>
      </c>
      <c r="CZ174" s="59">
        <f t="shared" si="150"/>
        <v>441.82647565372287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13.455715345230161</v>
      </c>
      <c r="DG174" s="21">
        <f>EXP(-LN(2)/25)*DG173+(1-EXP(-LN(2)/25))/(LN(2)/25)*Calculateur!DB174*Calculateur!DD174*VLOOKUP('Données projet'!$B$13,Paramètres!$A$1:$I$89,3,0)*0.475*44/12</f>
        <v>2.4012998434097144</v>
      </c>
      <c r="DH174" s="21">
        <f>EXP(-LN(2)/2)*DH173+(1-EXP(-LN(2)/2))/(LN(2)/2)*DB174*DE174*VLOOKUP('Données projet'!$B$13,Paramètres!$A$1:$I$89,3,0)*0.475*44/12</f>
        <v>3.9241049403453676E-17</v>
      </c>
      <c r="DI174" s="22">
        <f t="shared" si="175"/>
        <v>15.857015188639874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>
        <f>DO174*VLOOKUP('Données projet'!$B$14,Paramètres!$A$1:$I$89,3,0)*VLOOKUP('Données projet'!$B$14,Paramètres!$A$1:$I$89,5,0)</f>
        <v>0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229.61973863654862</v>
      </c>
      <c r="DU174" s="59">
        <f t="shared" si="152"/>
        <v>254.08208375594052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11.901481445078351</v>
      </c>
      <c r="EB174" s="21">
        <f>EXP(-LN(2)/25)*EB173+(1-EXP(-LN(2)/25))/(LN(2)/25)*Calculateur!DW174*Calculateur!DY174*VLOOKUP('Données projet'!$B$14,Paramètres!$A$1:$I$89,3,0)*0.475*44/12</f>
        <v>2.3043368299157776</v>
      </c>
      <c r="EC174" s="21">
        <f>EXP(-LN(2)/2)*EC173+(1-EXP(-LN(2)/2))/(LN(2)/2)*DW174*DZ174*VLOOKUP('Données projet'!$B$14,Paramètres!$A$1:$I$89,3,0)*0.475*44/12</f>
        <v>8.8419413694321706E-16</v>
      </c>
      <c r="ED174" s="22">
        <f t="shared" si="178"/>
        <v>14.20581827499413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-5.1159076974727213E-13</v>
      </c>
      <c r="O175" s="13">
        <f>N175*VLOOKUP('Données projet'!$B$9,Paramètres!$A$1:$I$89,3,0)*VLOOKUP('Données projet'!$B$9,Paramètres!$A$1:$I$89,5,0)</f>
        <v>-4.6288732846733184E-13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373.59295497283125</v>
      </c>
      <c r="T175" s="59">
        <f t="shared" si="142"/>
        <v>231.36959598460686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44.414618273463198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44.414618273463198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-5.1159076974727213E-13</v>
      </c>
      <c r="AJ175" s="13">
        <f>AI175*VLOOKUP('Données projet'!$B$10,Paramètres!$A$1:$I$89,3,0)*VLOOKUP('Données projet'!$B$10,Paramètres!$A$1:$I$89,5,0)</f>
        <v>-5.1875304052373401E-13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413.81510455446738</v>
      </c>
      <c r="AO175" s="59">
        <f t="shared" si="144"/>
        <v>254.25036207346602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49.775003237501828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49.775003237501828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-1.1368683772161603E-13</v>
      </c>
      <c r="BE175" s="13">
        <f>BD175*VLOOKUP('Données projet'!$B$11,Paramètres!$A$1:$I$89,3,0)*VLOOKUP('Données projet'!$B$11,Paramètres!$A$1:$I$89,5,0)</f>
        <v>-1.0995790944434703E-13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295.35565287134125</v>
      </c>
      <c r="BJ175" s="59">
        <f t="shared" si="146"/>
        <v>244.451492444461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14.715695956356258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14.715695956356258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-1.1368683772161603E-13</v>
      </c>
      <c r="BZ175" s="13">
        <f>BY175*VLOOKUP('Données projet'!$B$12,Paramètres!$A$1:$I$89,3,0)*VLOOKUP('Données projet'!$B$12,Paramètres!$A$1:$I$89,5,0)</f>
        <v>-1.223725121235475E-13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324.61094137855798</v>
      </c>
      <c r="CE175" s="59">
        <f t="shared" si="148"/>
        <v>267.2998309535638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16.377145499815835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16.377145499815835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2.8421709430404007E-13</v>
      </c>
      <c r="CU175" s="17">
        <f>CT175*VLOOKUP('Données projet'!$B$13,Paramètres!$A$1:$I$89,3,0)*VLOOKUP('Données projet'!$B$13,Paramètres!$A$1:$I$89,5,0)</f>
        <v>1.69961822393816E-13</v>
      </c>
      <c r="CV175" s="13">
        <f t="shared" si="173"/>
        <v>2.4004382776176369E-12</v>
      </c>
      <c r="CW175" s="20">
        <f t="shared" si="174"/>
        <v>4.4767801741866136E-12</v>
      </c>
      <c r="CX175" s="59">
        <f t="shared" si="122"/>
        <v>293.33333333333781</v>
      </c>
      <c r="CY175" s="59">
        <f ca="1">AVERAGE(OFFSET($CX$3,0,0,'Données projet'!$E$13+1,1))-AVERAGE(OFFSET($H$3,0,0,'Données projet'!$E$13+1,1))</f>
        <v>319.9010109022521</v>
      </c>
      <c r="CZ175" s="59">
        <f t="shared" si="150"/>
        <v>441.82647565372287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13.191856974486166</v>
      </c>
      <c r="DG175" s="21">
        <f>EXP(-LN(2)/25)*DG174+(1-EXP(-LN(2)/25))/(LN(2)/25)*Calculateur!DB175*Calculateur!DD175*VLOOKUP('Données projet'!$B$13,Paramètres!$A$1:$I$89,3,0)*0.475*44/12</f>
        <v>2.335636172912805</v>
      </c>
      <c r="DH175" s="21">
        <f>EXP(-LN(2)/2)*DH174+(1-EXP(-LN(2)/2))/(LN(2)/2)*DB175*DE175*VLOOKUP('Données projet'!$B$13,Paramètres!$A$1:$I$89,3,0)*0.475*44/12</f>
        <v>2.7747612134058423E-17</v>
      </c>
      <c r="DI175" s="22">
        <f t="shared" si="175"/>
        <v>15.527493147398971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>
        <f>DO175*VLOOKUP('Données projet'!$B$14,Paramètres!$A$1:$I$89,3,0)*VLOOKUP('Données projet'!$B$14,Paramètres!$A$1:$I$89,5,0)</f>
        <v>0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229.61973863654862</v>
      </c>
      <c r="DU175" s="59">
        <f t="shared" si="152"/>
        <v>254.08208375594052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11.668100653127262</v>
      </c>
      <c r="EB175" s="21">
        <f>EXP(-LN(2)/25)*EB174+(1-EXP(-LN(2)/25))/(LN(2)/25)*Calculateur!DW175*Calculateur!DY175*VLOOKUP('Données projet'!$B$14,Paramètres!$A$1:$I$89,3,0)*0.475*44/12</f>
        <v>2.2413246181219235</v>
      </c>
      <c r="EC175" s="21">
        <f>EXP(-LN(2)/2)*EC174+(1-EXP(-LN(2)/2))/(LN(2)/2)*DW175*DZ175*VLOOKUP('Données projet'!$B$14,Paramètres!$A$1:$I$89,3,0)*0.475*44/12</f>
        <v>6.2521967011793568E-16</v>
      </c>
      <c r="ED175" s="22">
        <f t="shared" si="178"/>
        <v>13.909425271249185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-5.1159076974727213E-13</v>
      </c>
      <c r="O176" s="13">
        <f>N176*VLOOKUP('Données projet'!$B$9,Paramètres!$A$1:$I$89,3,0)*VLOOKUP('Données projet'!$B$9,Paramètres!$A$1:$I$89,5,0)</f>
        <v>-4.6288732846733184E-13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373.59295497283125</v>
      </c>
      <c r="T176" s="59">
        <f t="shared" si="142"/>
        <v>231.36959598460686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43.543674699362789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43.543674699362789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-5.1159076974727213E-13</v>
      </c>
      <c r="AJ176" s="13">
        <f>AI176*VLOOKUP('Données projet'!$B$10,Paramètres!$A$1:$I$89,3,0)*VLOOKUP('Données projet'!$B$10,Paramètres!$A$1:$I$89,5,0)</f>
        <v>-5.1875304052373401E-13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413.81510455446738</v>
      </c>
      <c r="AO176" s="59">
        <f t="shared" si="144"/>
        <v>254.25036207346602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48.798945783768616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48.798945783768616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-1.1368683772161603E-13</v>
      </c>
      <c r="BE176" s="13">
        <f>BD176*VLOOKUP('Données projet'!$B$11,Paramètres!$A$1:$I$89,3,0)*VLOOKUP('Données projet'!$B$11,Paramètres!$A$1:$I$89,5,0)</f>
        <v>-1.0995790944434703E-13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295.35565287134125</v>
      </c>
      <c r="BJ176" s="59">
        <f t="shared" si="146"/>
        <v>244.451492444461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14.42713013434037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14.42713013434037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-1.1368683772161603E-13</v>
      </c>
      <c r="BZ176" s="13">
        <f>BY176*VLOOKUP('Données projet'!$B$12,Paramètres!$A$1:$I$89,3,0)*VLOOKUP('Données projet'!$B$12,Paramètres!$A$1:$I$89,5,0)</f>
        <v>-1.223725121235475E-13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324.61094137855798</v>
      </c>
      <c r="CE176" s="59">
        <f t="shared" si="148"/>
        <v>267.2998309535638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16.055999665636861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16.055999665636861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2.8421709430404007E-13</v>
      </c>
      <c r="CU176" s="17">
        <f>CT176*VLOOKUP('Données projet'!$B$13,Paramètres!$A$1:$I$89,3,0)*VLOOKUP('Données projet'!$B$13,Paramètres!$A$1:$I$89,5,0)</f>
        <v>1.69961822393816E-13</v>
      </c>
      <c r="CV176" s="13">
        <f t="shared" si="173"/>
        <v>2.4004382776176369E-12</v>
      </c>
      <c r="CW176" s="20">
        <f t="shared" si="174"/>
        <v>4.4767801741866136E-12</v>
      </c>
      <c r="CX176" s="59">
        <f t="shared" si="122"/>
        <v>293.33333333333781</v>
      </c>
      <c r="CY176" s="59">
        <f ca="1">AVERAGE(OFFSET($CX$3,0,0,'Données projet'!$E$13+1,1))-AVERAGE(OFFSET($H$3,0,0,'Données projet'!$E$13+1,1))</f>
        <v>319.9010109022521</v>
      </c>
      <c r="CZ176" s="59">
        <f t="shared" si="150"/>
        <v>441.82647565372287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12.933172705454746</v>
      </c>
      <c r="DG176" s="21">
        <f>EXP(-LN(2)/25)*DG175+(1-EXP(-LN(2)/25))/(LN(2)/25)*Calculateur!DB176*Calculateur!DD176*VLOOKUP('Données projet'!$B$13,Paramètres!$A$1:$I$89,3,0)*0.475*44/12</f>
        <v>2.2717680789387362</v>
      </c>
      <c r="DH176" s="21">
        <f>EXP(-LN(2)/2)*DH175+(1-EXP(-LN(2)/2))/(LN(2)/2)*DB176*DE176*VLOOKUP('Données projet'!$B$13,Paramètres!$A$1:$I$89,3,0)*0.475*44/12</f>
        <v>1.9620524701726841E-17</v>
      </c>
      <c r="DI176" s="22">
        <f t="shared" si="175"/>
        <v>15.204940784393482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>
        <f>DO176*VLOOKUP('Données projet'!$B$14,Paramètres!$A$1:$I$89,3,0)*VLOOKUP('Données projet'!$B$14,Paramètres!$A$1:$I$89,5,0)</f>
        <v>0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229.61973863654862</v>
      </c>
      <c r="DU176" s="59">
        <f t="shared" si="152"/>
        <v>254.08208375594052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11.439296316158105</v>
      </c>
      <c r="EB176" s="21">
        <f>EXP(-LN(2)/25)*EB175+(1-EXP(-LN(2)/25))/(LN(2)/25)*Calculateur!DW176*Calculateur!DY176*VLOOKUP('Données projet'!$B$14,Paramètres!$A$1:$I$89,3,0)*0.475*44/12</f>
        <v>2.1800354785732403</v>
      </c>
      <c r="EC176" s="21">
        <f>EXP(-LN(2)/2)*EC175+(1-EXP(-LN(2)/2))/(LN(2)/2)*DW176*DZ176*VLOOKUP('Données projet'!$B$14,Paramètres!$A$1:$I$89,3,0)*0.475*44/12</f>
        <v>4.4209706847160858E-16</v>
      </c>
      <c r="ED176" s="22">
        <f t="shared" si="178"/>
        <v>13.619331794731345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-5.1159076974727213E-13</v>
      </c>
      <c r="O177" s="13">
        <f>N177*VLOOKUP('Données projet'!$B$9,Paramètres!$A$1:$I$89,3,0)*VLOOKUP('Données projet'!$B$9,Paramètres!$A$1:$I$89,5,0)</f>
        <v>-4.6288732846733184E-13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373.59295497283125</v>
      </c>
      <c r="T177" s="59">
        <f t="shared" si="142"/>
        <v>231.36959598460686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42.689809797527367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42.689809797527367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-5.1159076974727213E-13</v>
      </c>
      <c r="AJ177" s="13">
        <f>AI177*VLOOKUP('Données projet'!$B$10,Paramètres!$A$1:$I$89,3,0)*VLOOKUP('Données projet'!$B$10,Paramètres!$A$1:$I$89,5,0)</f>
        <v>-5.1875304052373401E-13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413.81510455446738</v>
      </c>
      <c r="AO177" s="59">
        <f t="shared" si="144"/>
        <v>254.25036207346602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47.842028221366853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47.842028221366853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-1.1368683772161603E-13</v>
      </c>
      <c r="BE177" s="13">
        <f>BD177*VLOOKUP('Données projet'!$B$11,Paramètres!$A$1:$I$89,3,0)*VLOOKUP('Données projet'!$B$11,Paramètres!$A$1:$I$89,5,0)</f>
        <v>-1.0995790944434703E-13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295.35565287134125</v>
      </c>
      <c r="BJ177" s="59">
        <f t="shared" si="146"/>
        <v>244.451492444461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14.144222912086441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14.144222912086441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-1.1368683772161603E-13</v>
      </c>
      <c r="BZ177" s="13">
        <f>BY177*VLOOKUP('Données projet'!$B$12,Paramètres!$A$1:$I$89,3,0)*VLOOKUP('Données projet'!$B$12,Paramètres!$A$1:$I$89,5,0)</f>
        <v>-1.223725121235475E-13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324.61094137855798</v>
      </c>
      <c r="CE177" s="59">
        <f t="shared" si="148"/>
        <v>267.2998309535638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15.74115130538652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15.74115130538652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2.8421709430404007E-13</v>
      </c>
      <c r="CU177" s="17">
        <f>CT177*VLOOKUP('Données projet'!$B$13,Paramètres!$A$1:$I$89,3,0)*VLOOKUP('Données projet'!$B$13,Paramètres!$A$1:$I$89,5,0)</f>
        <v>1.69961822393816E-13</v>
      </c>
      <c r="CV177" s="13">
        <f t="shared" si="173"/>
        <v>2.4004382776176369E-12</v>
      </c>
      <c r="CW177" s="20">
        <f t="shared" si="174"/>
        <v>4.4767801741866136E-12</v>
      </c>
      <c r="CX177" s="59">
        <f t="shared" si="122"/>
        <v>293.33333333333781</v>
      </c>
      <c r="CY177" s="59">
        <f ca="1">AVERAGE(OFFSET($CX$3,0,0,'Données projet'!$E$13+1,1))-AVERAGE(OFFSET($H$3,0,0,'Données projet'!$E$13+1,1))</f>
        <v>319.9010109022521</v>
      </c>
      <c r="CZ177" s="59">
        <f t="shared" si="150"/>
        <v>441.82647565372287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12.679561077157208</v>
      </c>
      <c r="DG177" s="21">
        <f>EXP(-LN(2)/25)*DG176+(1-EXP(-LN(2)/25))/(LN(2)/25)*Calculateur!DB177*Calculateur!DD177*VLOOKUP('Données projet'!$B$13,Paramètres!$A$1:$I$89,3,0)*0.475*44/12</f>
        <v>2.2096464613530653</v>
      </c>
      <c r="DH177" s="21">
        <f>EXP(-LN(2)/2)*DH176+(1-EXP(-LN(2)/2))/(LN(2)/2)*DB177*DE177*VLOOKUP('Données projet'!$B$13,Paramètres!$A$1:$I$89,3,0)*0.475*44/12</f>
        <v>1.3873806067029213E-17</v>
      </c>
      <c r="DI177" s="22">
        <f t="shared" si="175"/>
        <v>14.889207538510274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>
        <f>DO177*VLOOKUP('Données projet'!$B$14,Paramètres!$A$1:$I$89,3,0)*VLOOKUP('Données projet'!$B$14,Paramètres!$A$1:$I$89,5,0)</f>
        <v>0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229.61973863654862</v>
      </c>
      <c r="DU177" s="59">
        <f t="shared" si="152"/>
        <v>254.08208375594052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11.214978692680047</v>
      </c>
      <c r="EB177" s="21">
        <f>EXP(-LN(2)/25)*EB176+(1-EXP(-LN(2)/25))/(LN(2)/25)*Calculateur!DW177*Calculateur!DY177*VLOOKUP('Données projet'!$B$14,Paramètres!$A$1:$I$89,3,0)*0.475*44/12</f>
        <v>2.1204222937685717</v>
      </c>
      <c r="EC177" s="21">
        <f>EXP(-LN(2)/2)*EC176+(1-EXP(-LN(2)/2))/(LN(2)/2)*DW177*DZ177*VLOOKUP('Données projet'!$B$14,Paramètres!$A$1:$I$89,3,0)*0.475*44/12</f>
        <v>3.1260983505896789E-16</v>
      </c>
      <c r="ED177" s="22">
        <f t="shared" si="178"/>
        <v>13.335400986448619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-5.1159076974727213E-13</v>
      </c>
      <c r="O178" s="13">
        <f>N178*VLOOKUP('Données projet'!$B$9,Paramètres!$A$1:$I$89,3,0)*VLOOKUP('Données projet'!$B$9,Paramètres!$A$1:$I$89,5,0)</f>
        <v>-4.6288732846733184E-13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373.59295497283125</v>
      </c>
      <c r="T178" s="59">
        <f t="shared" si="142"/>
        <v>231.36959598460686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41.852688665610771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41.852688665610771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-5.1159076974727213E-13</v>
      </c>
      <c r="AJ178" s="13">
        <f>AI178*VLOOKUP('Données projet'!$B$10,Paramètres!$A$1:$I$89,3,0)*VLOOKUP('Données projet'!$B$10,Paramètres!$A$1:$I$89,5,0)</f>
        <v>-5.1875304052373401E-13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413.81510455446738</v>
      </c>
      <c r="AO178" s="59">
        <f t="shared" si="144"/>
        <v>254.25036207346602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46.9038752287017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46.9038752287017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-1.1368683772161603E-13</v>
      </c>
      <c r="BE178" s="13">
        <f>BD178*VLOOKUP('Données projet'!$B$11,Paramètres!$A$1:$I$89,3,0)*VLOOKUP('Données projet'!$B$11,Paramètres!$A$1:$I$89,5,0)</f>
        <v>-1.0995790944434703E-13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295.35565287134125</v>
      </c>
      <c r="BJ178" s="59">
        <f t="shared" si="146"/>
        <v>244.451492444461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13.866863327904545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13.866863327904545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-1.1368683772161603E-13</v>
      </c>
      <c r="BZ178" s="13">
        <f>BY178*VLOOKUP('Données projet'!$B$12,Paramètres!$A$1:$I$89,3,0)*VLOOKUP('Données projet'!$B$12,Paramètres!$A$1:$I$89,5,0)</f>
        <v>-1.223725121235475E-13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324.61094137855798</v>
      </c>
      <c r="CE178" s="59">
        <f t="shared" si="148"/>
        <v>267.2998309535638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15.432476929442151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15.432476929442151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2.8421709430404007E-13</v>
      </c>
      <c r="CU178" s="17">
        <f>CT178*VLOOKUP('Données projet'!$B$13,Paramètres!$A$1:$I$89,3,0)*VLOOKUP('Données projet'!$B$13,Paramètres!$A$1:$I$89,5,0)</f>
        <v>1.69961822393816E-13</v>
      </c>
      <c r="CV178" s="13">
        <f t="shared" si="173"/>
        <v>2.4004382776176369E-12</v>
      </c>
      <c r="CW178" s="20">
        <f t="shared" si="174"/>
        <v>4.4767801741866136E-12</v>
      </c>
      <c r="CX178" s="59">
        <f t="shared" si="122"/>
        <v>293.33333333333781</v>
      </c>
      <c r="CY178" s="59">
        <f ca="1">AVERAGE(OFFSET($CX$3,0,0,'Données projet'!$E$13+1,1))-AVERAGE(OFFSET($H$3,0,0,'Données projet'!$E$13+1,1))</f>
        <v>319.9010109022521</v>
      </c>
      <c r="CZ178" s="59">
        <f t="shared" si="150"/>
        <v>441.82647565372287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12.430922618202766</v>
      </c>
      <c r="DG178" s="21">
        <f>EXP(-LN(2)/25)*DG177+(1-EXP(-LN(2)/25))/(LN(2)/25)*Calculateur!DB178*Calculateur!DD178*VLOOKUP('Données projet'!$B$13,Paramètres!$A$1:$I$89,3,0)*0.475*44/12</f>
        <v>2.1492235626671086</v>
      </c>
      <c r="DH178" s="21">
        <f>EXP(-LN(2)/2)*DH177+(1-EXP(-LN(2)/2))/(LN(2)/2)*DB178*DE178*VLOOKUP('Données projet'!$B$13,Paramètres!$A$1:$I$89,3,0)*0.475*44/12</f>
        <v>9.8102623508634222E-18</v>
      </c>
      <c r="DI178" s="22">
        <f t="shared" si="175"/>
        <v>14.580146180869875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>
        <f>DO178*VLOOKUP('Données projet'!$B$14,Paramètres!$A$1:$I$89,3,0)*VLOOKUP('Données projet'!$B$14,Paramètres!$A$1:$I$89,5,0)</f>
        <v>0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229.61973863654862</v>
      </c>
      <c r="DU178" s="59">
        <f t="shared" si="152"/>
        <v>254.08208375594052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10.995059800978154</v>
      </c>
      <c r="EB178" s="21">
        <f>EXP(-LN(2)/25)*EB177+(1-EXP(-LN(2)/25))/(LN(2)/25)*Calculateur!DW178*Calculateur!DY178*VLOOKUP('Données projet'!$B$14,Paramètres!$A$1:$I$89,3,0)*0.475*44/12</f>
        <v>2.0624392346373082</v>
      </c>
      <c r="EC178" s="21">
        <f>EXP(-LN(2)/2)*EC177+(1-EXP(-LN(2)/2))/(LN(2)/2)*DW178*DZ178*VLOOKUP('Données projet'!$B$14,Paramètres!$A$1:$I$89,3,0)*0.475*44/12</f>
        <v>2.2104853423580434E-16</v>
      </c>
      <c r="ED178" s="22">
        <f t="shared" si="178"/>
        <v>13.057499035615463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-5.1159076974727213E-13</v>
      </c>
      <c r="O179" s="13">
        <f>N179*VLOOKUP('Données projet'!$B$9,Paramètres!$A$1:$I$89,3,0)*VLOOKUP('Données projet'!$B$9,Paramètres!$A$1:$I$89,5,0)</f>
        <v>-4.6288732846733184E-13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373.59295497283125</v>
      </c>
      <c r="T179" s="59">
        <f t="shared" si="142"/>
        <v>231.36959598460686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41.031982968497587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41.031982968497587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-5.1159076974727213E-13</v>
      </c>
      <c r="AJ179" s="13">
        <f>AI179*VLOOKUP('Données projet'!$B$10,Paramètres!$A$1:$I$89,3,0)*VLOOKUP('Données projet'!$B$10,Paramètres!$A$1:$I$89,5,0)</f>
        <v>-5.1875304052373401E-13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413.81510455446738</v>
      </c>
      <c r="AO179" s="59">
        <f t="shared" si="144"/>
        <v>254.25036207346602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45.984118844005891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45.984118844005891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-1.1368683772161603E-13</v>
      </c>
      <c r="BE179" s="13">
        <f>BD179*VLOOKUP('Données projet'!$B$11,Paramètres!$A$1:$I$89,3,0)*VLOOKUP('Données projet'!$B$11,Paramètres!$A$1:$I$89,5,0)</f>
        <v>-1.0995790944434703E-13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295.35565287134125</v>
      </c>
      <c r="BJ179" s="59">
        <f t="shared" si="146"/>
        <v>244.451492444461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13.594942595995814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13.594942595995814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-1.1368683772161603E-13</v>
      </c>
      <c r="BZ179" s="13">
        <f>BY179*VLOOKUP('Données projet'!$B$12,Paramètres!$A$1:$I$89,3,0)*VLOOKUP('Données projet'!$B$12,Paramètres!$A$1:$I$89,5,0)</f>
        <v>-1.223725121235475E-13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324.61094137855798</v>
      </c>
      <c r="CE179" s="59">
        <f t="shared" si="148"/>
        <v>267.2998309535638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15.129855469737272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15.129855469737272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2.8421709430404007E-13</v>
      </c>
      <c r="CU179" s="17">
        <f>CT179*VLOOKUP('Données projet'!$B$13,Paramètres!$A$1:$I$89,3,0)*VLOOKUP('Données projet'!$B$13,Paramètres!$A$1:$I$89,5,0)</f>
        <v>1.69961822393816E-13</v>
      </c>
      <c r="CV179" s="13">
        <f t="shared" si="173"/>
        <v>2.4004382776176369E-12</v>
      </c>
      <c r="CW179" s="20">
        <f t="shared" si="174"/>
        <v>4.4767801741866136E-12</v>
      </c>
      <c r="CX179" s="59">
        <f t="shared" si="122"/>
        <v>293.33333333333781</v>
      </c>
      <c r="CY179" s="59">
        <f ca="1">AVERAGE(OFFSET($CX$3,0,0,'Données projet'!$E$13+1,1))-AVERAGE(OFFSET($H$3,0,0,'Données projet'!$E$13+1,1))</f>
        <v>319.9010109022521</v>
      </c>
      <c r="CZ179" s="59">
        <f t="shared" si="150"/>
        <v>441.82647565372287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12.187159807773936</v>
      </c>
      <c r="DG179" s="21">
        <f>EXP(-LN(2)/25)*DG178+(1-EXP(-LN(2)/25))/(LN(2)/25)*Calculateur!DB179*Calculateur!DD179*VLOOKUP('Données projet'!$B$13,Paramètres!$A$1:$I$89,3,0)*0.475*44/12</f>
        <v>2.0904529313232216</v>
      </c>
      <c r="DH179" s="21">
        <f>EXP(-LN(2)/2)*DH178+(1-EXP(-LN(2)/2))/(LN(2)/2)*DB179*DE179*VLOOKUP('Données projet'!$B$13,Paramètres!$A$1:$I$89,3,0)*0.475*44/12</f>
        <v>6.9369030335146074E-18</v>
      </c>
      <c r="DI179" s="22">
        <f t="shared" si="175"/>
        <v>14.277612739097158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>
        <f>DO179*VLOOKUP('Données projet'!$B$14,Paramètres!$A$1:$I$89,3,0)*VLOOKUP('Données projet'!$B$14,Paramètres!$A$1:$I$89,5,0)</f>
        <v>0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229.61973863654862</v>
      </c>
      <c r="DU179" s="59">
        <f t="shared" si="152"/>
        <v>254.08208375594052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10.779453384605256</v>
      </c>
      <c r="EB179" s="21">
        <f>EXP(-LN(2)/25)*EB178+(1-EXP(-LN(2)/25))/(LN(2)/25)*Calculateur!DW179*Calculateur!DY179*VLOOKUP('Données projet'!$B$14,Paramètres!$A$1:$I$89,3,0)*0.475*44/12</f>
        <v>2.0060417253071856</v>
      </c>
      <c r="EC179" s="21">
        <f>EXP(-LN(2)/2)*EC178+(1-EXP(-LN(2)/2))/(LN(2)/2)*DW179*DZ179*VLOOKUP('Données projet'!$B$14,Paramètres!$A$1:$I$89,3,0)*0.475*44/12</f>
        <v>1.5630491752948397E-16</v>
      </c>
      <c r="ED179" s="22">
        <f t="shared" si="178"/>
        <v>12.785495109912443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-5.1159076974727213E-13</v>
      </c>
      <c r="O180" s="13">
        <f>N180*VLOOKUP('Données projet'!$B$9,Paramètres!$A$1:$I$89,3,0)*VLOOKUP('Données projet'!$B$9,Paramètres!$A$1:$I$89,5,0)</f>
        <v>-4.6288732846733184E-13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373.59295497283125</v>
      </c>
      <c r="T180" s="59">
        <f t="shared" si="142"/>
        <v>231.36959598460686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40.227370809523748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40.227370809523748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-5.1159076974727213E-13</v>
      </c>
      <c r="AJ180" s="13">
        <f>AI180*VLOOKUP('Données projet'!$B$10,Paramètres!$A$1:$I$89,3,0)*VLOOKUP('Données projet'!$B$10,Paramètres!$A$1:$I$89,5,0)</f>
        <v>-5.1875304052373401E-13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413.81510455446738</v>
      </c>
      <c r="AO180" s="59">
        <f t="shared" si="144"/>
        <v>254.25036207346602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45.082398321017969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45.082398321017969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-1.1368683772161603E-13</v>
      </c>
      <c r="BE180" s="13">
        <f>BD180*VLOOKUP('Données projet'!$B$11,Paramètres!$A$1:$I$89,3,0)*VLOOKUP('Données projet'!$B$11,Paramètres!$A$1:$I$89,5,0)</f>
        <v>-1.0995790944434703E-13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295.35565287134125</v>
      </c>
      <c r="BJ180" s="59">
        <f t="shared" si="146"/>
        <v>244.451492444461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13.328354063784543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13.328354063784543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-1.1368683772161603E-13</v>
      </c>
      <c r="BZ180" s="13">
        <f>BY180*VLOOKUP('Données projet'!$B$12,Paramètres!$A$1:$I$89,3,0)*VLOOKUP('Données projet'!$B$12,Paramètres!$A$1:$I$89,5,0)</f>
        <v>-1.223725121235475E-13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324.61094137855798</v>
      </c>
      <c r="CE180" s="59">
        <f t="shared" si="148"/>
        <v>267.2998309535638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14.833168232276343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14.833168232276343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2.8421709430404007E-13</v>
      </c>
      <c r="CU180" s="17">
        <f>CT180*VLOOKUP('Données projet'!$B$13,Paramètres!$A$1:$I$89,3,0)*VLOOKUP('Données projet'!$B$13,Paramètres!$A$1:$I$89,5,0)</f>
        <v>1.69961822393816E-13</v>
      </c>
      <c r="CV180" s="13">
        <f t="shared" si="173"/>
        <v>2.4004382776176369E-12</v>
      </c>
      <c r="CW180" s="20">
        <f t="shared" si="174"/>
        <v>4.4767801741866136E-12</v>
      </c>
      <c r="CX180" s="59">
        <f t="shared" si="122"/>
        <v>293.33333333333781</v>
      </c>
      <c r="CY180" s="59">
        <f ca="1">AVERAGE(OFFSET($CX$3,0,0,'Données projet'!$E$13+1,1))-AVERAGE(OFFSET($H$3,0,0,'Données projet'!$E$13+1,1))</f>
        <v>319.9010109022521</v>
      </c>
      <c r="CZ180" s="59">
        <f t="shared" si="150"/>
        <v>441.82647565372287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11.948177037376981</v>
      </c>
      <c r="DG180" s="21">
        <f>EXP(-LN(2)/25)*DG179+(1-EXP(-LN(2)/25))/(LN(2)/25)*Calculateur!DB180*Calculateur!DD180*VLOOKUP('Données projet'!$B$13,Paramètres!$A$1:$I$89,3,0)*0.475*44/12</f>
        <v>2.0332893859840464</v>
      </c>
      <c r="DH180" s="21">
        <f>EXP(-LN(2)/2)*DH179+(1-EXP(-LN(2)/2))/(LN(2)/2)*DB180*DE180*VLOOKUP('Données projet'!$B$13,Paramètres!$A$1:$I$89,3,0)*0.475*44/12</f>
        <v>4.9051311754317119E-18</v>
      </c>
      <c r="DI180" s="22">
        <f t="shared" si="175"/>
        <v>13.981466423361027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>
        <f>DO180*VLOOKUP('Données projet'!$B$14,Paramètres!$A$1:$I$89,3,0)*VLOOKUP('Données projet'!$B$14,Paramètres!$A$1:$I$89,5,0)</f>
        <v>0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229.61973863654862</v>
      </c>
      <c r="DU180" s="59">
        <f t="shared" si="152"/>
        <v>254.08208375594052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10.568074878550503</v>
      </c>
      <c r="EB180" s="21">
        <f>EXP(-LN(2)/25)*EB179+(1-EXP(-LN(2)/25))/(LN(2)/25)*Calculateur!DW180*Calculateur!DY180*VLOOKUP('Données projet'!$B$14,Paramètres!$A$1:$I$89,3,0)*0.475*44/12</f>
        <v>1.9511864088355111</v>
      </c>
      <c r="EC180" s="21">
        <f>EXP(-LN(2)/2)*EC179+(1-EXP(-LN(2)/2))/(LN(2)/2)*DW180*DZ180*VLOOKUP('Données projet'!$B$14,Paramètres!$A$1:$I$89,3,0)*0.475*44/12</f>
        <v>1.1052426711790218E-16</v>
      </c>
      <c r="ED180" s="22">
        <f t="shared" si="178"/>
        <v>12.519261287386014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-5.1159076974727213E-13</v>
      </c>
      <c r="O181" s="13">
        <f>N181*VLOOKUP('Données projet'!$B$9,Paramètres!$A$1:$I$89,3,0)*VLOOKUP('Données projet'!$B$9,Paramètres!$A$1:$I$89,5,0)</f>
        <v>-4.6288732846733184E-13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373.59295497283125</v>
      </c>
      <c r="T181" s="59">
        <f t="shared" si="142"/>
        <v>231.36959598460686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39.438536604222428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39.438536604222428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-5.1159076974727213E-13</v>
      </c>
      <c r="AJ181" s="13">
        <f>AI181*VLOOKUP('Données projet'!$B$10,Paramètres!$A$1:$I$89,3,0)*VLOOKUP('Données projet'!$B$10,Paramètres!$A$1:$I$89,5,0)</f>
        <v>-5.1875304052373401E-13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413.81510455446738</v>
      </c>
      <c r="AO181" s="59">
        <f t="shared" si="144"/>
        <v>254.25036207346602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44.198359987490626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44.198359987490626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-1.1368683772161603E-13</v>
      </c>
      <c r="BE181" s="13">
        <f>BD181*VLOOKUP('Données projet'!$B$11,Paramètres!$A$1:$I$89,3,0)*VLOOKUP('Données projet'!$B$11,Paramètres!$A$1:$I$89,5,0)</f>
        <v>-1.0995790944434703E-13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295.35565287134125</v>
      </c>
      <c r="BJ181" s="59">
        <f t="shared" si="146"/>
        <v>244.451492444461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13.066993170086986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13.066993170086986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-1.1368683772161603E-13</v>
      </c>
      <c r="BZ181" s="13">
        <f>BY181*VLOOKUP('Données projet'!$B$12,Paramètres!$A$1:$I$89,3,0)*VLOOKUP('Données projet'!$B$12,Paramètres!$A$1:$I$89,5,0)</f>
        <v>-1.223725121235475E-13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324.61094137855798</v>
      </c>
      <c r="CE181" s="59">
        <f t="shared" si="148"/>
        <v>267.2998309535638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14.542298850580675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14.542298850580675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2.8421709430404007E-13</v>
      </c>
      <c r="CU181" s="17">
        <f>CT181*VLOOKUP('Données projet'!$B$13,Paramètres!$A$1:$I$89,3,0)*VLOOKUP('Données projet'!$B$13,Paramètres!$A$1:$I$89,5,0)</f>
        <v>1.69961822393816E-13</v>
      </c>
      <c r="CV181" s="13">
        <f t="shared" si="173"/>
        <v>2.4004382776176369E-12</v>
      </c>
      <c r="CW181" s="20">
        <f t="shared" si="174"/>
        <v>4.4767801741866136E-12</v>
      </c>
      <c r="CX181" s="59">
        <f t="shared" si="122"/>
        <v>293.33333333333781</v>
      </c>
      <c r="CY181" s="59">
        <f ca="1">AVERAGE(OFFSET($CX$3,0,0,'Données projet'!$E$13+1,1))-AVERAGE(OFFSET($H$3,0,0,'Données projet'!$E$13+1,1))</f>
        <v>319.9010109022521</v>
      </c>
      <c r="CZ181" s="59">
        <f t="shared" si="150"/>
        <v>441.82647565372287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11.713880573342413</v>
      </c>
      <c r="DG181" s="21">
        <f>EXP(-LN(2)/25)*DG180+(1-EXP(-LN(2)/25))/(LN(2)/25)*Calculateur!DB181*Calculateur!DD181*VLOOKUP('Données projet'!$B$13,Paramètres!$A$1:$I$89,3,0)*0.475*44/12</f>
        <v>1.9776889807982709</v>
      </c>
      <c r="DH181" s="21">
        <f>EXP(-LN(2)/2)*DH180+(1-EXP(-LN(2)/2))/(LN(2)/2)*DB181*DE181*VLOOKUP('Données projet'!$B$13,Paramètres!$A$1:$I$89,3,0)*0.475*44/12</f>
        <v>3.4684515167573045E-18</v>
      </c>
      <c r="DI181" s="22">
        <f t="shared" si="175"/>
        <v>13.691569554140685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>
        <f>DO181*VLOOKUP('Données projet'!$B$14,Paramètres!$A$1:$I$89,3,0)*VLOOKUP('Données projet'!$B$14,Paramètres!$A$1:$I$89,5,0)</f>
        <v>0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229.61973863654862</v>
      </c>
      <c r="DU181" s="59">
        <f t="shared" si="152"/>
        <v>254.08208375594052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10.360841376071324</v>
      </c>
      <c r="EB181" s="21">
        <f>EXP(-LN(2)/25)*EB180+(1-EXP(-LN(2)/25))/(LN(2)/25)*Calculateur!DW181*Calculateur!DY181*VLOOKUP('Données projet'!$B$14,Paramètres!$A$1:$I$89,3,0)*0.475*44/12</f>
        <v>1.8978311138774704</v>
      </c>
      <c r="EC181" s="21">
        <f>EXP(-LN(2)/2)*EC180+(1-EXP(-LN(2)/2))/(LN(2)/2)*DW181*DZ181*VLOOKUP('Données projet'!$B$14,Paramètres!$A$1:$I$89,3,0)*0.475*44/12</f>
        <v>7.8152458764741997E-17</v>
      </c>
      <c r="ED181" s="22">
        <f t="shared" si="178"/>
        <v>12.258672489948795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-5.1159076974727213E-13</v>
      </c>
      <c r="O182" s="13">
        <f>N182*VLOOKUP('Données projet'!$B$9,Paramètres!$A$1:$I$89,3,0)*VLOOKUP('Données projet'!$B$9,Paramètres!$A$1:$I$89,5,0)</f>
        <v>-4.6288732846733184E-13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373.59295497283125</v>
      </c>
      <c r="T182" s="59">
        <f t="shared" si="142"/>
        <v>231.36959598460686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38.665170956545708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38.665170956545708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-5.1159076974727213E-13</v>
      </c>
      <c r="AJ182" s="13">
        <f>AI182*VLOOKUP('Données projet'!$B$10,Paramètres!$A$1:$I$89,3,0)*VLOOKUP('Données projet'!$B$10,Paramètres!$A$1:$I$89,5,0)</f>
        <v>-5.1875304052373401E-13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413.81510455446738</v>
      </c>
      <c r="AO182" s="59">
        <f t="shared" si="144"/>
        <v>254.25036207346602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43.331657106473614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43.331657106473614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-1.1368683772161603E-13</v>
      </c>
      <c r="BE182" s="13">
        <f>BD182*VLOOKUP('Données projet'!$B$11,Paramètres!$A$1:$I$89,3,0)*VLOOKUP('Données projet'!$B$11,Paramètres!$A$1:$I$89,5,0)</f>
        <v>-1.0995790944434703E-13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295.35565287134125</v>
      </c>
      <c r="BJ182" s="59">
        <f t="shared" si="146"/>
        <v>244.451492444461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12.810757404100434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12.810757404100434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-1.1368683772161603E-13</v>
      </c>
      <c r="BZ182" s="13">
        <f>BY182*VLOOKUP('Données projet'!$B$12,Paramètres!$A$1:$I$89,3,0)*VLOOKUP('Données projet'!$B$12,Paramètres!$A$1:$I$89,5,0)</f>
        <v>-1.223725121235475E-13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324.61094137855798</v>
      </c>
      <c r="CE182" s="59">
        <f t="shared" si="148"/>
        <v>267.2998309535638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14.257133240047255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14.257133240047255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2.8421709430404007E-13</v>
      </c>
      <c r="CU182" s="17">
        <f>CT182*VLOOKUP('Données projet'!$B$13,Paramètres!$A$1:$I$89,3,0)*VLOOKUP('Données projet'!$B$13,Paramètres!$A$1:$I$89,5,0)</f>
        <v>1.69961822393816E-13</v>
      </c>
      <c r="CV182" s="13">
        <f t="shared" si="173"/>
        <v>2.4004382776176369E-12</v>
      </c>
      <c r="CW182" s="20">
        <f t="shared" si="174"/>
        <v>4.4767801741866136E-12</v>
      </c>
      <c r="CX182" s="59">
        <f t="shared" si="122"/>
        <v>293.33333333333781</v>
      </c>
      <c r="CY182" s="59">
        <f ca="1">AVERAGE(OFFSET($CX$3,0,0,'Données projet'!$E$13+1,1))-AVERAGE(OFFSET($H$3,0,0,'Données projet'!$E$13+1,1))</f>
        <v>319.9010109022521</v>
      </c>
      <c r="CZ182" s="59">
        <f t="shared" si="150"/>
        <v>441.82647565372287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11.484178520060832</v>
      </c>
      <c r="DG182" s="21">
        <f>EXP(-LN(2)/25)*DG181+(1-EXP(-LN(2)/25))/(LN(2)/25)*Calculateur!DB182*Calculateur!DD182*VLOOKUP('Données projet'!$B$13,Paramètres!$A$1:$I$89,3,0)*0.475*44/12</f>
        <v>1.9236089716161988</v>
      </c>
      <c r="DH182" s="21">
        <f>EXP(-LN(2)/2)*DH181+(1-EXP(-LN(2)/2))/(LN(2)/2)*DB182*DE182*VLOOKUP('Données projet'!$B$13,Paramètres!$A$1:$I$89,3,0)*0.475*44/12</f>
        <v>2.4525655877158563E-18</v>
      </c>
      <c r="DI182" s="22">
        <f t="shared" si="175"/>
        <v>13.407787491677031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>
        <f>DO182*VLOOKUP('Données projet'!$B$14,Paramètres!$A$1:$I$89,3,0)*VLOOKUP('Données projet'!$B$14,Paramètres!$A$1:$I$89,5,0)</f>
        <v>0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229.61973863654862</v>
      </c>
      <c r="DU182" s="59">
        <f t="shared" si="152"/>
        <v>254.08208375594052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10.157671596175806</v>
      </c>
      <c r="EB182" s="21">
        <f>EXP(-LN(2)/25)*EB181+(1-EXP(-LN(2)/25))/(LN(2)/25)*Calculateur!DW182*Calculateur!DY182*VLOOKUP('Données projet'!$B$14,Paramètres!$A$1:$I$89,3,0)*0.475*44/12</f>
        <v>1.8459348222658902</v>
      </c>
      <c r="EC182" s="21">
        <f>EXP(-LN(2)/2)*EC181+(1-EXP(-LN(2)/2))/(LN(2)/2)*DW182*DZ182*VLOOKUP('Données projet'!$B$14,Paramètres!$A$1:$I$89,3,0)*0.475*44/12</f>
        <v>5.5262133558951103E-17</v>
      </c>
      <c r="ED182" s="22">
        <f t="shared" si="178"/>
        <v>12.003606418441697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-5.1159076974727213E-13</v>
      </c>
      <c r="O183" s="13">
        <f>N183*VLOOKUP('Données projet'!$B$9,Paramètres!$A$1:$I$89,3,0)*VLOOKUP('Données projet'!$B$9,Paramètres!$A$1:$I$89,5,0)</f>
        <v>-4.6288732846733184E-13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373.59295497283125</v>
      </c>
      <c r="T183" s="59">
        <f t="shared" si="142"/>
        <v>231.36959598460686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37.906970537513459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37.906970537513459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-5.1159076974727213E-13</v>
      </c>
      <c r="AJ183" s="13">
        <f>AI183*VLOOKUP('Données projet'!$B$10,Paramètres!$A$1:$I$89,3,0)*VLOOKUP('Données projet'!$B$10,Paramètres!$A$1:$I$89,5,0)</f>
        <v>-5.1875304052373401E-13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413.81510455446738</v>
      </c>
      <c r="AO183" s="59">
        <f t="shared" si="144"/>
        <v>254.25036207346602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42.481949740316786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42.481949740316786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-1.1368683772161603E-13</v>
      </c>
      <c r="BE183" s="13">
        <f>BD183*VLOOKUP('Données projet'!$B$11,Paramètres!$A$1:$I$89,3,0)*VLOOKUP('Données projet'!$B$11,Paramètres!$A$1:$I$89,5,0)</f>
        <v>-1.0995790944434703E-13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295.35565287134125</v>
      </c>
      <c r="BJ183" s="59">
        <f t="shared" si="146"/>
        <v>244.451492444461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12.559546265196493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12.559546265196493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-1.1368683772161603E-13</v>
      </c>
      <c r="BZ183" s="13">
        <f>BY183*VLOOKUP('Données projet'!$B$12,Paramètres!$A$1:$I$89,3,0)*VLOOKUP('Données projet'!$B$12,Paramètres!$A$1:$I$89,5,0)</f>
        <v>-1.223725121235475E-13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324.61094137855798</v>
      </c>
      <c r="CE183" s="59">
        <f t="shared" si="148"/>
        <v>267.2998309535638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13.977559553202546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13.977559553202546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2.8421709430404007E-13</v>
      </c>
      <c r="CU183" s="17">
        <f>CT183*VLOOKUP('Données projet'!$B$13,Paramètres!$A$1:$I$89,3,0)*VLOOKUP('Données projet'!$B$13,Paramètres!$A$1:$I$89,5,0)</f>
        <v>1.69961822393816E-13</v>
      </c>
      <c r="CV183" s="13">
        <f t="shared" si="173"/>
        <v>2.4004382776176369E-12</v>
      </c>
      <c r="CW183" s="20">
        <f t="shared" si="174"/>
        <v>4.4767801741866136E-12</v>
      </c>
      <c r="CX183" s="59">
        <f t="shared" si="122"/>
        <v>293.33333333333781</v>
      </c>
      <c r="CY183" s="59">
        <f ca="1">AVERAGE(OFFSET($CX$3,0,0,'Données projet'!$E$13+1,1))-AVERAGE(OFFSET($H$3,0,0,'Données projet'!$E$13+1,1))</f>
        <v>319.9010109022521</v>
      </c>
      <c r="CZ183" s="59">
        <f t="shared" si="150"/>
        <v>441.82647565372287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11.258980783939684</v>
      </c>
      <c r="DG183" s="21">
        <f>EXP(-LN(2)/25)*DG182+(1-EXP(-LN(2)/25))/(LN(2)/25)*Calculateur!DB183*Calculateur!DD183*VLOOKUP('Données projet'!$B$13,Paramètres!$A$1:$I$89,3,0)*0.475*44/12</f>
        <v>1.8710077831291545</v>
      </c>
      <c r="DH183" s="21">
        <f>EXP(-LN(2)/2)*DH182+(1-EXP(-LN(2)/2))/(LN(2)/2)*DB183*DE183*VLOOKUP('Données projet'!$B$13,Paramètres!$A$1:$I$89,3,0)*0.475*44/12</f>
        <v>1.7342257583786524E-18</v>
      </c>
      <c r="DI183" s="22">
        <f t="shared" si="175"/>
        <v>13.129988567068839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>
        <f>DO183*VLOOKUP('Données projet'!$B$14,Paramètres!$A$1:$I$89,3,0)*VLOOKUP('Données projet'!$B$14,Paramètres!$A$1:$I$89,5,0)</f>
        <v>0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229.61973863654862</v>
      </c>
      <c r="DU183" s="59">
        <f t="shared" si="152"/>
        <v>254.08208375594052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9.9584858517427115</v>
      </c>
      <c r="EB183" s="21">
        <f>EXP(-LN(2)/25)*EB182+(1-EXP(-LN(2)/25))/(LN(2)/25)*Calculateur!DW183*Calculateur!DY183*VLOOKUP('Données projet'!$B$14,Paramètres!$A$1:$I$89,3,0)*0.475*44/12</f>
        <v>1.7954576374775362</v>
      </c>
      <c r="EC183" s="21">
        <f>EXP(-LN(2)/2)*EC182+(1-EXP(-LN(2)/2))/(LN(2)/2)*DW183*DZ183*VLOOKUP('Données projet'!$B$14,Paramètres!$A$1:$I$89,3,0)*0.475*44/12</f>
        <v>3.9076229382371005E-17</v>
      </c>
      <c r="ED183" s="22">
        <f t="shared" si="178"/>
        <v>11.753943489220248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-5.1159076974727213E-13</v>
      </c>
      <c r="O184" s="13">
        <f>N184*VLOOKUP('Données projet'!$B$9,Paramètres!$A$1:$I$89,3,0)*VLOOKUP('Données projet'!$B$9,Paramètres!$A$1:$I$89,5,0)</f>
        <v>-4.6288732846733184E-13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373.59295497283125</v>
      </c>
      <c r="T184" s="59">
        <f t="shared" si="142"/>
        <v>231.36959598460686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37.163637966241843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37.163637966241843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-5.1159076974727213E-13</v>
      </c>
      <c r="AJ184" s="13">
        <f>AI184*VLOOKUP('Données projet'!$B$10,Paramètres!$A$1:$I$89,3,0)*VLOOKUP('Données projet'!$B$10,Paramètres!$A$1:$I$89,5,0)</f>
        <v>-5.1875304052373401E-13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413.81510455446738</v>
      </c>
      <c r="AO184" s="59">
        <f t="shared" si="144"/>
        <v>254.25036207346602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41.648904617339973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41.648904617339973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-1.1368683772161603E-13</v>
      </c>
      <c r="BE184" s="13">
        <f>BD184*VLOOKUP('Données projet'!$B$11,Paramètres!$A$1:$I$89,3,0)*VLOOKUP('Données projet'!$B$11,Paramètres!$A$1:$I$89,5,0)</f>
        <v>-1.0995790944434703E-13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295.35565287134125</v>
      </c>
      <c r="BJ184" s="59">
        <f t="shared" si="146"/>
        <v>244.451492444461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12.313261223502794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12.313261223502794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-1.1368683772161603E-13</v>
      </c>
      <c r="BZ184" s="13">
        <f>BY184*VLOOKUP('Données projet'!$B$12,Paramètres!$A$1:$I$89,3,0)*VLOOKUP('Données projet'!$B$12,Paramètres!$A$1:$I$89,5,0)</f>
        <v>-1.223725121235475E-13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324.61094137855798</v>
      </c>
      <c r="CE184" s="59">
        <f t="shared" si="148"/>
        <v>267.2998309535638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13.703468135833752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13.703468135833752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2.8421709430404007E-13</v>
      </c>
      <c r="CU184" s="17">
        <f>CT184*VLOOKUP('Données projet'!$B$13,Paramètres!$A$1:$I$89,3,0)*VLOOKUP('Données projet'!$B$13,Paramètres!$A$1:$I$89,5,0)</f>
        <v>1.69961822393816E-13</v>
      </c>
      <c r="CV184" s="13">
        <f t="shared" si="173"/>
        <v>2.4004382776176369E-12</v>
      </c>
      <c r="CW184" s="20">
        <f t="shared" si="174"/>
        <v>4.4767801741866136E-12</v>
      </c>
      <c r="CX184" s="59">
        <f t="shared" si="122"/>
        <v>293.33333333333781</v>
      </c>
      <c r="CY184" s="59">
        <f ca="1">AVERAGE(OFFSET($CX$3,0,0,'Données projet'!$E$13+1,1))-AVERAGE(OFFSET($H$3,0,0,'Données projet'!$E$13+1,1))</f>
        <v>319.9010109022521</v>
      </c>
      <c r="CZ184" s="59">
        <f t="shared" si="150"/>
        <v>441.82647565372287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11.038199038066816</v>
      </c>
      <c r="DG184" s="21">
        <f>EXP(-LN(2)/25)*DG183+(1-EXP(-LN(2)/25))/(LN(2)/25)*Calculateur!DB184*Calculateur!DD184*VLOOKUP('Données projet'!$B$13,Paramètres!$A$1:$I$89,3,0)*0.475*44/12</f>
        <v>1.8198449769074647</v>
      </c>
      <c r="DH184" s="21">
        <f>EXP(-LN(2)/2)*DH183+(1-EXP(-LN(2)/2))/(LN(2)/2)*DB184*DE184*VLOOKUP('Données projet'!$B$13,Paramètres!$A$1:$I$89,3,0)*0.475*44/12</f>
        <v>1.2262827938579284E-18</v>
      </c>
      <c r="DI184" s="22">
        <f t="shared" si="175"/>
        <v>12.858044014974281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>
        <f>DO184*VLOOKUP('Données projet'!$B$14,Paramètres!$A$1:$I$89,3,0)*VLOOKUP('Données projet'!$B$14,Paramètres!$A$1:$I$89,5,0)</f>
        <v>0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229.61973863654862</v>
      </c>
      <c r="DU184" s="59">
        <f t="shared" si="152"/>
        <v>254.08208375594052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9.7632060182666418</v>
      </c>
      <c r="EB184" s="21">
        <f>EXP(-LN(2)/25)*EB183+(1-EXP(-LN(2)/25))/(LN(2)/25)*Calculateur!DW184*Calculateur!DY184*VLOOKUP('Données projet'!$B$14,Paramètres!$A$1:$I$89,3,0)*0.475*44/12</f>
        <v>1.7463607539616994</v>
      </c>
      <c r="EC184" s="21">
        <f>EXP(-LN(2)/2)*EC183+(1-EXP(-LN(2)/2))/(LN(2)/2)*DW184*DZ184*VLOOKUP('Données projet'!$B$14,Paramètres!$A$1:$I$89,3,0)*0.475*44/12</f>
        <v>2.7631066779475555E-17</v>
      </c>
      <c r="ED184" s="22">
        <f t="shared" si="178"/>
        <v>11.509566772228341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-5.1159076974727213E-13</v>
      </c>
      <c r="O185" s="13">
        <f>N185*VLOOKUP('Données projet'!$B$9,Paramètres!$A$1:$I$89,3,0)*VLOOKUP('Données projet'!$B$9,Paramètres!$A$1:$I$89,5,0)</f>
        <v>-4.6288732846733184E-13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373.59295497283125</v>
      </c>
      <c r="T185" s="59">
        <f t="shared" si="142"/>
        <v>231.36959598460686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36.43488169330476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36.43488169330476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-5.1159076974727213E-13</v>
      </c>
      <c r="AJ185" s="13">
        <f>AI185*VLOOKUP('Données projet'!$B$10,Paramètres!$A$1:$I$89,3,0)*VLOOKUP('Données projet'!$B$10,Paramètres!$A$1:$I$89,5,0)</f>
        <v>-5.1875304052373401E-13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413.81510455446738</v>
      </c>
      <c r="AO185" s="59">
        <f t="shared" si="144"/>
        <v>254.25036207346602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40.832195001117384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40.832195001117384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-1.1368683772161603E-13</v>
      </c>
      <c r="BE185" s="13">
        <f>BD185*VLOOKUP('Données projet'!$B$11,Paramètres!$A$1:$I$89,3,0)*VLOOKUP('Données projet'!$B$11,Paramètres!$A$1:$I$89,5,0)</f>
        <v>-1.0995790944434703E-13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295.35565287134125</v>
      </c>
      <c r="BJ185" s="59">
        <f t="shared" si="146"/>
        <v>244.451492444461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12.071805681257665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12.071805681257665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-1.1368683772161603E-13</v>
      </c>
      <c r="BZ185" s="13">
        <f>BY185*VLOOKUP('Données projet'!$B$12,Paramètres!$A$1:$I$89,3,0)*VLOOKUP('Données projet'!$B$12,Paramètres!$A$1:$I$89,5,0)</f>
        <v>-1.223725121235475E-13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324.61094137855798</v>
      </c>
      <c r="CE185" s="59">
        <f t="shared" si="148"/>
        <v>267.2998309535638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13.434751483980303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13.434751483980303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2.8421709430404007E-13</v>
      </c>
      <c r="CU185" s="17">
        <f>CT185*VLOOKUP('Données projet'!$B$13,Paramètres!$A$1:$I$89,3,0)*VLOOKUP('Données projet'!$B$13,Paramètres!$A$1:$I$89,5,0)</f>
        <v>1.69961822393816E-13</v>
      </c>
      <c r="CV185" s="13">
        <f t="shared" si="173"/>
        <v>2.4004382776176369E-12</v>
      </c>
      <c r="CW185" s="20">
        <f t="shared" si="174"/>
        <v>4.4767801741866136E-12</v>
      </c>
      <c r="CX185" s="59">
        <f t="shared" si="122"/>
        <v>293.33333333333781</v>
      </c>
      <c r="CY185" s="59">
        <f ca="1">AVERAGE(OFFSET($CX$3,0,0,'Données projet'!$E$13+1,1))-AVERAGE(OFFSET($H$3,0,0,'Données projet'!$E$13+1,1))</f>
        <v>319.9010109022521</v>
      </c>
      <c r="CZ185" s="59">
        <f t="shared" si="150"/>
        <v>441.82647565372287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10.821746687566947</v>
      </c>
      <c r="DG185" s="21">
        <f>EXP(-LN(2)/25)*DG184+(1-EXP(-LN(2)/25))/(LN(2)/25)*Calculateur!DB185*Calculateur!DD185*VLOOKUP('Données projet'!$B$13,Paramètres!$A$1:$I$89,3,0)*0.475*44/12</f>
        <v>1.7700812203124421</v>
      </c>
      <c r="DH185" s="21">
        <f>EXP(-LN(2)/2)*DH184+(1-EXP(-LN(2)/2))/(LN(2)/2)*DB185*DE185*VLOOKUP('Données projet'!$B$13,Paramètres!$A$1:$I$89,3,0)*0.475*44/12</f>
        <v>8.671128791893264E-19</v>
      </c>
      <c r="DI185" s="22">
        <f t="shared" si="175"/>
        <v>12.591827907879388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>
        <f>DO185*VLOOKUP('Données projet'!$B$14,Paramètres!$A$1:$I$89,3,0)*VLOOKUP('Données projet'!$B$14,Paramètres!$A$1:$I$89,5,0)</f>
        <v>0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229.61973863654862</v>
      </c>
      <c r="DU185" s="59">
        <f t="shared" si="152"/>
        <v>254.08208375594052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9.5717555032160995</v>
      </c>
      <c r="EB185" s="21">
        <f>EXP(-LN(2)/25)*EB184+(1-EXP(-LN(2)/25))/(LN(2)/25)*Calculateur!DW185*Calculateur!DY185*VLOOKUP('Données projet'!$B$14,Paramètres!$A$1:$I$89,3,0)*0.475*44/12</f>
        <v>1.6986064273074961</v>
      </c>
      <c r="EC185" s="21">
        <f>EXP(-LN(2)/2)*EC184+(1-EXP(-LN(2)/2))/(LN(2)/2)*DW185*DZ185*VLOOKUP('Données projet'!$B$14,Paramètres!$A$1:$I$89,3,0)*0.475*44/12</f>
        <v>1.9538114691185505E-17</v>
      </c>
      <c r="ED185" s="22">
        <f t="shared" si="178"/>
        <v>11.270361930523595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-5.1159076974727213E-13</v>
      </c>
      <c r="O186" s="13">
        <f>N186*VLOOKUP('Données projet'!$B$9,Paramètres!$A$1:$I$89,3,0)*VLOOKUP('Données projet'!$B$9,Paramètres!$A$1:$I$89,5,0)</f>
        <v>-4.6288732846733184E-13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373.59295497283125</v>
      </c>
      <c r="T186" s="59">
        <f t="shared" si="142"/>
        <v>231.36959598460686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35.72041588638254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35.72041588638254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-5.1159076974727213E-13</v>
      </c>
      <c r="AJ186" s="13">
        <f>AI186*VLOOKUP('Données projet'!$B$10,Paramètres!$A$1:$I$89,3,0)*VLOOKUP('Données projet'!$B$10,Paramètres!$A$1:$I$89,5,0)</f>
        <v>-5.1875304052373401E-13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413.81510455446738</v>
      </c>
      <c r="AO186" s="59">
        <f t="shared" si="144"/>
        <v>254.25036207346602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40.031500562325242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40.031500562325242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-1.1368683772161603E-13</v>
      </c>
      <c r="BE186" s="13">
        <f>BD186*VLOOKUP('Données projet'!$B$11,Paramètres!$A$1:$I$89,3,0)*VLOOKUP('Données projet'!$B$11,Paramètres!$A$1:$I$89,5,0)</f>
        <v>-1.0995790944434703E-13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295.35565287134125</v>
      </c>
      <c r="BJ186" s="59">
        <f t="shared" si="146"/>
        <v>244.451492444461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11.835084934922625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11.835084934922625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-1.1368683772161603E-13</v>
      </c>
      <c r="BZ186" s="13">
        <f>BY186*VLOOKUP('Données projet'!$B$12,Paramètres!$A$1:$I$89,3,0)*VLOOKUP('Données projet'!$B$12,Paramètres!$A$1:$I$89,5,0)</f>
        <v>-1.223725121235475E-13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324.61094137855798</v>
      </c>
      <c r="CE186" s="59">
        <f t="shared" si="148"/>
        <v>267.2998309535638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13.171304201768725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13.171304201768725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2.8421709430404007E-13</v>
      </c>
      <c r="CU186" s="17">
        <f>CT186*VLOOKUP('Données projet'!$B$13,Paramètres!$A$1:$I$89,3,0)*VLOOKUP('Données projet'!$B$13,Paramètres!$A$1:$I$89,5,0)</f>
        <v>1.69961822393816E-13</v>
      </c>
      <c r="CV186" s="13">
        <f t="shared" si="173"/>
        <v>2.4004382776176369E-12</v>
      </c>
      <c r="CW186" s="20">
        <f t="shared" si="174"/>
        <v>4.4767801741866136E-12</v>
      </c>
      <c r="CX186" s="59">
        <f t="shared" si="122"/>
        <v>293.33333333333781</v>
      </c>
      <c r="CY186" s="59">
        <f ca="1">AVERAGE(OFFSET($CX$3,0,0,'Données projet'!$E$13+1,1))-AVERAGE(OFFSET($H$3,0,0,'Données projet'!$E$13+1,1))</f>
        <v>319.9010109022521</v>
      </c>
      <c r="CZ186" s="59">
        <f t="shared" si="150"/>
        <v>441.82647565372287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10.609538835637482</v>
      </c>
      <c r="DG186" s="21">
        <f>EXP(-LN(2)/25)*DG185+(1-EXP(-LN(2)/25))/(LN(2)/25)*Calculateur!DB186*Calculateur!DD186*VLOOKUP('Données projet'!$B$13,Paramètres!$A$1:$I$89,3,0)*0.475*44/12</f>
        <v>1.7216782562584725</v>
      </c>
      <c r="DH186" s="21">
        <f>EXP(-LN(2)/2)*DH185+(1-EXP(-LN(2)/2))/(LN(2)/2)*DB186*DE186*VLOOKUP('Données projet'!$B$13,Paramètres!$A$1:$I$89,3,0)*0.475*44/12</f>
        <v>6.1314139692896427E-19</v>
      </c>
      <c r="DI186" s="22">
        <f t="shared" si="175"/>
        <v>12.331217091895954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>
        <f>DO186*VLOOKUP('Données projet'!$B$14,Paramètres!$A$1:$I$89,3,0)*VLOOKUP('Données projet'!$B$14,Paramètres!$A$1:$I$89,5,0)</f>
        <v>0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229.61973863654862</v>
      </c>
      <c r="DU186" s="59">
        <f t="shared" si="152"/>
        <v>254.08208375594052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9.3840592159924157</v>
      </c>
      <c r="EB186" s="21">
        <f>EXP(-LN(2)/25)*EB185+(1-EXP(-LN(2)/25))/(LN(2)/25)*Calculateur!DW186*Calculateur!DY186*VLOOKUP('Données projet'!$B$14,Paramètres!$A$1:$I$89,3,0)*0.475*44/12</f>
        <v>1.6521579452269428</v>
      </c>
      <c r="EC186" s="21">
        <f>EXP(-LN(2)/2)*EC185+(1-EXP(-LN(2)/2))/(LN(2)/2)*DW186*DZ186*VLOOKUP('Données projet'!$B$14,Paramètres!$A$1:$I$89,3,0)*0.475*44/12</f>
        <v>1.381553338973778E-17</v>
      </c>
      <c r="ED186" s="22">
        <f t="shared" si="178"/>
        <v>11.036217161219358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-5.1159076974727213E-13</v>
      </c>
      <c r="O187" s="13">
        <f>N187*VLOOKUP('Données projet'!$B$9,Paramètres!$A$1:$I$89,3,0)*VLOOKUP('Données projet'!$B$9,Paramètres!$A$1:$I$89,5,0)</f>
        <v>-4.6288732846733184E-13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373.59295497283125</v>
      </c>
      <c r="T187" s="59">
        <f t="shared" si="142"/>
        <v>231.36959598460686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35.019960318152954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35.019960318152954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-5.1159076974727213E-13</v>
      </c>
      <c r="AJ187" s="13">
        <f>AI187*VLOOKUP('Données projet'!$B$10,Paramètres!$A$1:$I$89,3,0)*VLOOKUP('Données projet'!$B$10,Paramètres!$A$1:$I$89,5,0)</f>
        <v>-5.1875304052373401E-13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413.81510455446738</v>
      </c>
      <c r="AO187" s="59">
        <f t="shared" si="144"/>
        <v>254.25036207346602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39.246507253102429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39.246507253102429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-1.1368683772161603E-13</v>
      </c>
      <c r="BE187" s="13">
        <f>BD187*VLOOKUP('Données projet'!$B$11,Paramètres!$A$1:$I$89,3,0)*VLOOKUP('Données projet'!$B$11,Paramètres!$A$1:$I$89,5,0)</f>
        <v>-1.0995790944434703E-13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295.35565287134125</v>
      </c>
      <c r="BJ187" s="59">
        <f t="shared" si="146"/>
        <v>244.451492444461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11.603006138037816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11.603006138037816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-1.1368683772161603E-13</v>
      </c>
      <c r="BZ187" s="13">
        <f>BY187*VLOOKUP('Données projet'!$B$12,Paramètres!$A$1:$I$89,3,0)*VLOOKUP('Données projet'!$B$12,Paramètres!$A$1:$I$89,5,0)</f>
        <v>-1.223725121235475E-13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324.61094137855798</v>
      </c>
      <c r="CE187" s="59">
        <f t="shared" si="148"/>
        <v>267.2998309535638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12.913022960074342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12.913022960074342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2.8421709430404007E-13</v>
      </c>
      <c r="CU187" s="17">
        <f>CT187*VLOOKUP('Données projet'!$B$13,Paramètres!$A$1:$I$89,3,0)*VLOOKUP('Données projet'!$B$13,Paramètres!$A$1:$I$89,5,0)</f>
        <v>1.69961822393816E-13</v>
      </c>
      <c r="CV187" s="13">
        <f t="shared" si="173"/>
        <v>2.4004382776176369E-12</v>
      </c>
      <c r="CW187" s="20">
        <f t="shared" si="174"/>
        <v>4.4767801741866136E-12</v>
      </c>
      <c r="CX187" s="59">
        <f t="shared" si="122"/>
        <v>293.33333333333781</v>
      </c>
      <c r="CY187" s="59">
        <f ca="1">AVERAGE(OFFSET($CX$3,0,0,'Données projet'!$E$13+1,1))-AVERAGE(OFFSET($H$3,0,0,'Données projet'!$E$13+1,1))</f>
        <v>319.9010109022521</v>
      </c>
      <c r="CZ187" s="59">
        <f t="shared" si="150"/>
        <v>441.82647565372287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10.401492250250344</v>
      </c>
      <c r="DG187" s="21">
        <f>EXP(-LN(2)/25)*DG186+(1-EXP(-LN(2)/25))/(LN(2)/25)*Calculateur!DB187*Calculateur!DD187*VLOOKUP('Données projet'!$B$13,Paramètres!$A$1:$I$89,3,0)*0.475*44/12</f>
        <v>1.6745988738019599</v>
      </c>
      <c r="DH187" s="21">
        <f>EXP(-LN(2)/2)*DH186+(1-EXP(-LN(2)/2))/(LN(2)/2)*DB187*DE187*VLOOKUP('Données projet'!$B$13,Paramètres!$A$1:$I$89,3,0)*0.475*44/12</f>
        <v>4.3355643959466325E-19</v>
      </c>
      <c r="DI187" s="22">
        <f t="shared" si="175"/>
        <v>12.076091124052304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>
        <f>DO187*VLOOKUP('Données projet'!$B$14,Paramètres!$A$1:$I$89,3,0)*VLOOKUP('Données projet'!$B$14,Paramètres!$A$1:$I$89,5,0)</f>
        <v>0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229.61973863654862</v>
      </c>
      <c r="DU187" s="59">
        <f t="shared" si="152"/>
        <v>254.08208375594052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9.2000435384777575</v>
      </c>
      <c r="EB187" s="21">
        <f>EXP(-LN(2)/25)*EB186+(1-EXP(-LN(2)/25))/(LN(2)/25)*Calculateur!DW187*Calculateur!DY187*VLOOKUP('Données projet'!$B$14,Paramètres!$A$1:$I$89,3,0)*0.475*44/12</f>
        <v>1.6069795993315017</v>
      </c>
      <c r="EC187" s="21">
        <f>EXP(-LN(2)/2)*EC186+(1-EXP(-LN(2)/2))/(LN(2)/2)*DW187*DZ187*VLOOKUP('Données projet'!$B$14,Paramètres!$A$1:$I$89,3,0)*0.475*44/12</f>
        <v>9.7690573455927543E-18</v>
      </c>
      <c r="ED187" s="22">
        <f t="shared" si="178"/>
        <v>10.80702313780926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-5.1159076974727213E-13</v>
      </c>
      <c r="O188" s="13">
        <f>N188*VLOOKUP('Données projet'!$B$9,Paramètres!$A$1:$I$89,3,0)*VLOOKUP('Données projet'!$B$9,Paramètres!$A$1:$I$89,5,0)</f>
        <v>-4.6288732846733184E-13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373.59295497283125</v>
      </c>
      <c r="T188" s="59">
        <f t="shared" si="142"/>
        <v>231.36959598460686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34.333240256380634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34.333240256380634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-5.1159076974727213E-13</v>
      </c>
      <c r="AJ188" s="13">
        <f>AI188*VLOOKUP('Données projet'!$B$10,Paramètres!$A$1:$I$89,3,0)*VLOOKUP('Données projet'!$B$10,Paramètres!$A$1:$I$89,5,0)</f>
        <v>-5.1875304052373401E-13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413.81510455446738</v>
      </c>
      <c r="AO188" s="59">
        <f t="shared" si="144"/>
        <v>254.25036207346602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38.476907183874836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38.476907183874836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-1.1368683772161603E-13</v>
      </c>
      <c r="BE188" s="13">
        <f>BD188*VLOOKUP('Données projet'!$B$11,Paramètres!$A$1:$I$89,3,0)*VLOOKUP('Données projet'!$B$11,Paramètres!$A$1:$I$89,5,0)</f>
        <v>-1.0995790944434703E-13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295.35565287134125</v>
      </c>
      <c r="BJ188" s="59">
        <f t="shared" si="146"/>
        <v>244.451492444461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11.37547826480583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11.37547826480583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-1.1368683772161603E-13</v>
      </c>
      <c r="BZ188" s="13">
        <f>BY188*VLOOKUP('Données projet'!$B$12,Paramètres!$A$1:$I$89,3,0)*VLOOKUP('Données projet'!$B$12,Paramètres!$A$1:$I$89,5,0)</f>
        <v>-1.223725121235475E-13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324.61094137855798</v>
      </c>
      <c r="CE188" s="59">
        <f t="shared" si="148"/>
        <v>267.2998309535638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12.659806455993582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12.659806455993582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2.8421709430404007E-13</v>
      </c>
      <c r="CU188" s="17">
        <f>CT188*VLOOKUP('Données projet'!$B$13,Paramètres!$A$1:$I$89,3,0)*VLOOKUP('Données projet'!$B$13,Paramètres!$A$1:$I$89,5,0)</f>
        <v>1.69961822393816E-13</v>
      </c>
      <c r="CV188" s="13">
        <f t="shared" si="173"/>
        <v>2.4004382776176369E-12</v>
      </c>
      <c r="CW188" s="20">
        <f t="shared" si="174"/>
        <v>4.4767801741866136E-12</v>
      </c>
      <c r="CX188" s="59">
        <f t="shared" si="122"/>
        <v>293.33333333333781</v>
      </c>
      <c r="CY188" s="59">
        <f ca="1">AVERAGE(OFFSET($CX$3,0,0,'Données projet'!$E$13+1,1))-AVERAGE(OFFSET($H$3,0,0,'Données projet'!$E$13+1,1))</f>
        <v>319.9010109022521</v>
      </c>
      <c r="CZ188" s="59">
        <f t="shared" si="150"/>
        <v>441.82647565372287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10.197525331506762</v>
      </c>
      <c r="DG188" s="21">
        <f>EXP(-LN(2)/25)*DG187+(1-EXP(-LN(2)/25))/(LN(2)/25)*Calculateur!DB188*Calculateur!DD188*VLOOKUP('Données projet'!$B$13,Paramètres!$A$1:$I$89,3,0)*0.475*44/12</f>
        <v>1.6288068795345179</v>
      </c>
      <c r="DH188" s="21">
        <f>EXP(-LN(2)/2)*DH187+(1-EXP(-LN(2)/2))/(LN(2)/2)*DB188*DE188*VLOOKUP('Données projet'!$B$13,Paramètres!$A$1:$I$89,3,0)*0.475*44/12</f>
        <v>3.0657069846448218E-19</v>
      </c>
      <c r="DI188" s="22">
        <f t="shared" si="175"/>
        <v>11.826332211041279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>
        <f>DO188*VLOOKUP('Données projet'!$B$14,Paramètres!$A$1:$I$89,3,0)*VLOOKUP('Données projet'!$B$14,Paramètres!$A$1:$I$89,5,0)</f>
        <v>0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229.61973863654862</v>
      </c>
      <c r="DU188" s="59">
        <f t="shared" si="152"/>
        <v>254.08208375594052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9.0196362961606802</v>
      </c>
      <c r="EB188" s="21">
        <f>EXP(-LN(2)/25)*EB187+(1-EXP(-LN(2)/25))/(LN(2)/25)*Calculateur!DW188*Calculateur!DY188*VLOOKUP('Données projet'!$B$14,Paramètres!$A$1:$I$89,3,0)*0.475*44/12</f>
        <v>1.5630366576803973</v>
      </c>
      <c r="EC188" s="21">
        <f>EXP(-LN(2)/2)*EC187+(1-EXP(-LN(2)/2))/(LN(2)/2)*DW188*DZ188*VLOOKUP('Données projet'!$B$14,Paramètres!$A$1:$I$89,3,0)*0.475*44/12</f>
        <v>6.907766694868891E-18</v>
      </c>
      <c r="ED188" s="22">
        <f t="shared" si="178"/>
        <v>10.582672953841078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-5.1159076974727213E-13</v>
      </c>
      <c r="O189" s="13">
        <f>N189*VLOOKUP('Données projet'!$B$9,Paramètres!$A$1:$I$89,3,0)*VLOOKUP('Données projet'!$B$9,Paramètres!$A$1:$I$89,5,0)</f>
        <v>-4.6288732846733184E-13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373.59295497283125</v>
      </c>
      <c r="T189" s="59">
        <f t="shared" si="142"/>
        <v>231.36959598460686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33.659986356161795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33.659986356161795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-5.1159076974727213E-13</v>
      </c>
      <c r="AJ189" s="13">
        <f>AI189*VLOOKUP('Données projet'!$B$10,Paramètres!$A$1:$I$89,3,0)*VLOOKUP('Données projet'!$B$10,Paramètres!$A$1:$I$89,5,0)</f>
        <v>-5.1875304052373401E-13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413.81510455446738</v>
      </c>
      <c r="AO189" s="59">
        <f t="shared" si="144"/>
        <v>254.25036207346602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37.722398502595098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37.722398502595098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-1.1368683772161603E-13</v>
      </c>
      <c r="BE189" s="13">
        <f>BD189*VLOOKUP('Données projet'!$B$11,Paramètres!$A$1:$I$89,3,0)*VLOOKUP('Données projet'!$B$11,Paramètres!$A$1:$I$89,5,0)</f>
        <v>-1.0995790944434703E-13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295.35565287134125</v>
      </c>
      <c r="BJ189" s="59">
        <f t="shared" si="146"/>
        <v>244.451492444461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11.152412074389623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11.152412074389623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-1.1368683772161603E-13</v>
      </c>
      <c r="BZ189" s="13">
        <f>BY189*VLOOKUP('Données projet'!$B$12,Paramètres!$A$1:$I$89,3,0)*VLOOKUP('Données projet'!$B$12,Paramètres!$A$1:$I$89,5,0)</f>
        <v>-1.223725121235475E-13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324.61094137855798</v>
      </c>
      <c r="CE189" s="59">
        <f t="shared" si="148"/>
        <v>267.2998309535638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12.41155537311103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12.41155537311103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2.8421709430404007E-13</v>
      </c>
      <c r="CU189" s="17">
        <f>CT189*VLOOKUP('Données projet'!$B$13,Paramètres!$A$1:$I$89,3,0)*VLOOKUP('Données projet'!$B$13,Paramètres!$A$1:$I$89,5,0)</f>
        <v>1.69961822393816E-13</v>
      </c>
      <c r="CV189" s="13">
        <f t="shared" si="173"/>
        <v>2.4004382776176369E-12</v>
      </c>
      <c r="CW189" s="20">
        <f t="shared" si="174"/>
        <v>4.4767801741866136E-12</v>
      </c>
      <c r="CX189" s="59">
        <f t="shared" si="122"/>
        <v>293.33333333333781</v>
      </c>
      <c r="CY189" s="59">
        <f ca="1">AVERAGE(OFFSET($CX$3,0,0,'Données projet'!$E$13+1,1))-AVERAGE(OFFSET($H$3,0,0,'Données projet'!$E$13+1,1))</f>
        <v>319.9010109022521</v>
      </c>
      <c r="CZ189" s="59">
        <f t="shared" si="150"/>
        <v>441.82647565372287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9.9975580796322046</v>
      </c>
      <c r="DG189" s="21">
        <f>EXP(-LN(2)/25)*DG188+(1-EXP(-LN(2)/25))/(LN(2)/25)*Calculateur!DB189*Calculateur!DD189*VLOOKUP('Données projet'!$B$13,Paramètres!$A$1:$I$89,3,0)*0.475*44/12</f>
        <v>1.5842670697584154</v>
      </c>
      <c r="DH189" s="21">
        <f>EXP(-LN(2)/2)*DH188+(1-EXP(-LN(2)/2))/(LN(2)/2)*DB189*DE189*VLOOKUP('Données projet'!$B$13,Paramètres!$A$1:$I$89,3,0)*0.475*44/12</f>
        <v>2.1677821979733165E-19</v>
      </c>
      <c r="DI189" s="22">
        <f t="shared" si="175"/>
        <v>11.581825149390619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>
        <f>DO189*VLOOKUP('Données projet'!$B$14,Paramètres!$A$1:$I$89,3,0)*VLOOKUP('Données projet'!$B$14,Paramètres!$A$1:$I$89,5,0)</f>
        <v>0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229.61973863654862</v>
      </c>
      <c r="DU189" s="59">
        <f t="shared" si="152"/>
        <v>254.08208375594052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8.842766729827888</v>
      </c>
      <c r="EB189" s="21">
        <f>EXP(-LN(2)/25)*EB188+(1-EXP(-LN(2)/25))/(LN(2)/25)*Calculateur!DW189*Calculateur!DY189*VLOOKUP('Données projet'!$B$14,Paramètres!$A$1:$I$89,3,0)*0.475*44/12</f>
        <v>1.5202953380796014</v>
      </c>
      <c r="EC189" s="21">
        <f>EXP(-LN(2)/2)*EC188+(1-EXP(-LN(2)/2))/(LN(2)/2)*DW189*DZ189*VLOOKUP('Données projet'!$B$14,Paramètres!$A$1:$I$89,3,0)*0.475*44/12</f>
        <v>4.8845286727963779E-18</v>
      </c>
      <c r="ED189" s="22">
        <f t="shared" si="178"/>
        <v>10.363062067907489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-5.1159076974727213E-13</v>
      </c>
      <c r="O190" s="13">
        <f>N190*VLOOKUP('Données projet'!$B$9,Paramètres!$A$1:$I$89,3,0)*VLOOKUP('Données projet'!$B$9,Paramètres!$A$1:$I$89,5,0)</f>
        <v>-4.6288732846733184E-13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373.59295497283125</v>
      </c>
      <c r="T190" s="59">
        <f t="shared" si="142"/>
        <v>231.36959598460686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32.999934554281914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32.999934554281914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-5.1159076974727213E-13</v>
      </c>
      <c r="AJ190" s="13">
        <f>AI190*VLOOKUP('Données projet'!$B$10,Paramètres!$A$1:$I$89,3,0)*VLOOKUP('Données projet'!$B$10,Paramètres!$A$1:$I$89,5,0)</f>
        <v>-5.1875304052373401E-13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413.81510455446738</v>
      </c>
      <c r="AO190" s="59">
        <f t="shared" si="144"/>
        <v>254.25036207346602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36.982685276350402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36.982685276350402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-1.1368683772161603E-13</v>
      </c>
      <c r="BE190" s="13">
        <f>BD190*VLOOKUP('Données projet'!$B$11,Paramètres!$A$1:$I$89,3,0)*VLOOKUP('Données projet'!$B$11,Paramètres!$A$1:$I$89,5,0)</f>
        <v>-1.0995790944434703E-13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295.35565287134125</v>
      </c>
      <c r="BJ190" s="59">
        <f t="shared" si="146"/>
        <v>244.451492444461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10.933720075910538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10.933720075910538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-1.1368683772161603E-13</v>
      </c>
      <c r="BZ190" s="13">
        <f>BY190*VLOOKUP('Données projet'!$B$12,Paramètres!$A$1:$I$89,3,0)*VLOOKUP('Données projet'!$B$12,Paramètres!$A$1:$I$89,5,0)</f>
        <v>-1.223725121235475E-13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324.61094137855798</v>
      </c>
      <c r="CE190" s="59">
        <f t="shared" si="148"/>
        <v>267.2998309535638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12.168172342545596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12.168172342545596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2.8421709430404007E-13</v>
      </c>
      <c r="CU190" s="17">
        <f>CT190*VLOOKUP('Données projet'!$B$13,Paramètres!$A$1:$I$89,3,0)*VLOOKUP('Données projet'!$B$13,Paramètres!$A$1:$I$89,5,0)</f>
        <v>1.69961822393816E-13</v>
      </c>
      <c r="CV190" s="13">
        <f t="shared" si="173"/>
        <v>2.4004382776176369E-12</v>
      </c>
      <c r="CW190" s="20">
        <f t="shared" si="174"/>
        <v>4.4767801741866136E-12</v>
      </c>
      <c r="CX190" s="59">
        <f t="shared" si="122"/>
        <v>293.33333333333781</v>
      </c>
      <c r="CY190" s="59">
        <f ca="1">AVERAGE(OFFSET($CX$3,0,0,'Données projet'!$E$13+1,1))-AVERAGE(OFFSET($H$3,0,0,'Données projet'!$E$13+1,1))</f>
        <v>319.9010109022521</v>
      </c>
      <c r="CZ190" s="59">
        <f t="shared" si="150"/>
        <v>441.82647565372287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9.8015120635989277</v>
      </c>
      <c r="DG190" s="21">
        <f>EXP(-LN(2)/25)*DG189+(1-EXP(-LN(2)/25))/(LN(2)/25)*Calculateur!DB190*Calculateur!DD190*VLOOKUP('Données projet'!$B$13,Paramètres!$A$1:$I$89,3,0)*0.475*44/12</f>
        <v>1.5409452034228872</v>
      </c>
      <c r="DH190" s="21">
        <f>EXP(-LN(2)/2)*DH189+(1-EXP(-LN(2)/2))/(LN(2)/2)*DB190*DE190*VLOOKUP('Données projet'!$B$13,Paramètres!$A$1:$I$89,3,0)*0.475*44/12</f>
        <v>1.5328534923224112E-19</v>
      </c>
      <c r="DI190" s="22">
        <f t="shared" si="175"/>
        <v>11.342457267021814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>
        <f>DO190*VLOOKUP('Données projet'!$B$14,Paramètres!$A$1:$I$89,3,0)*VLOOKUP('Données projet'!$B$14,Paramètres!$A$1:$I$89,5,0)</f>
        <v>0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229.61973863654862</v>
      </c>
      <c r="DU190" s="59">
        <f t="shared" si="152"/>
        <v>254.08208375594052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8.6693654678110992</v>
      </c>
      <c r="EB190" s="21">
        <f>EXP(-LN(2)/25)*EB189+(1-EXP(-LN(2)/25))/(LN(2)/25)*Calculateur!DW190*Calculateur!DY190*VLOOKUP('Données projet'!$B$14,Paramètres!$A$1:$I$89,3,0)*0.475*44/12</f>
        <v>1.4787227821109574</v>
      </c>
      <c r="EC190" s="21">
        <f>EXP(-LN(2)/2)*EC189+(1-EXP(-LN(2)/2))/(LN(2)/2)*DW190*DZ190*VLOOKUP('Données projet'!$B$14,Paramètres!$A$1:$I$89,3,0)*0.475*44/12</f>
        <v>3.4538833474344459E-18</v>
      </c>
      <c r="ED190" s="22">
        <f t="shared" si="178"/>
        <v>10.148088249922056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-5.1159076974727213E-13</v>
      </c>
      <c r="O191" s="13">
        <f>N191*VLOOKUP('Données projet'!$B$9,Paramètres!$A$1:$I$89,3,0)*VLOOKUP('Données projet'!$B$9,Paramètres!$A$1:$I$89,5,0)</f>
        <v>-4.6288732846733184E-13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373.59295497283125</v>
      </c>
      <c r="T191" s="59">
        <f t="shared" si="142"/>
        <v>231.36959598460686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32.352825965645053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32.352825965645053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-5.1159076974727213E-13</v>
      </c>
      <c r="AJ191" s="13">
        <f>AI191*VLOOKUP('Données projet'!$B$10,Paramètres!$A$1:$I$89,3,0)*VLOOKUP('Données projet'!$B$10,Paramètres!$A$1:$I$89,5,0)</f>
        <v>-5.1875304052373401E-13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413.81510455446738</v>
      </c>
      <c r="AO191" s="59">
        <f t="shared" si="144"/>
        <v>254.25036207346602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36.257477375291849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36.257477375291849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-1.1368683772161603E-13</v>
      </c>
      <c r="BE191" s="13">
        <f>BD191*VLOOKUP('Données projet'!$B$11,Paramètres!$A$1:$I$89,3,0)*VLOOKUP('Données projet'!$B$11,Paramètres!$A$1:$I$89,5,0)</f>
        <v>-1.0995790944434703E-13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295.35565287134125</v>
      </c>
      <c r="BJ191" s="59">
        <f t="shared" si="146"/>
        <v>244.451492444461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10.719316494132677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10.719316494132677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-1.1368683772161603E-13</v>
      </c>
      <c r="BZ191" s="13">
        <f>BY191*VLOOKUP('Données projet'!$B$12,Paramètres!$A$1:$I$89,3,0)*VLOOKUP('Données projet'!$B$12,Paramètres!$A$1:$I$89,5,0)</f>
        <v>-1.223725121235475E-13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324.61094137855798</v>
      </c>
      <c r="CE191" s="59">
        <f t="shared" si="148"/>
        <v>267.2998309535638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11.929561904760558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11.929561904760558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2.8421709430404007E-13</v>
      </c>
      <c r="CU191" s="17">
        <f>CT191*VLOOKUP('Données projet'!$B$13,Paramètres!$A$1:$I$89,3,0)*VLOOKUP('Données projet'!$B$13,Paramètres!$A$1:$I$89,5,0)</f>
        <v>1.69961822393816E-13</v>
      </c>
      <c r="CV191" s="13">
        <f t="shared" si="173"/>
        <v>2.4004382776176369E-12</v>
      </c>
      <c r="CW191" s="20">
        <f t="shared" si="174"/>
        <v>4.4767801741866136E-12</v>
      </c>
      <c r="CX191" s="59">
        <f t="shared" si="122"/>
        <v>293.33333333333781</v>
      </c>
      <c r="CY191" s="59">
        <f ca="1">AVERAGE(OFFSET($CX$3,0,0,'Données projet'!$E$13+1,1))-AVERAGE(OFFSET($H$3,0,0,'Données projet'!$E$13+1,1))</f>
        <v>319.9010109022521</v>
      </c>
      <c r="CZ191" s="59">
        <f t="shared" si="150"/>
        <v>441.82647565372287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9.6093103903638006</v>
      </c>
      <c r="DG191" s="21">
        <f>EXP(-LN(2)/25)*DG190+(1-EXP(-LN(2)/25))/(LN(2)/25)*Calculateur!DB191*Calculateur!DD191*VLOOKUP('Données projet'!$B$13,Paramètres!$A$1:$I$89,3,0)*0.475*44/12</f>
        <v>1.498807975800502</v>
      </c>
      <c r="DH191" s="21">
        <f>EXP(-LN(2)/2)*DH190+(1-EXP(-LN(2)/2))/(LN(2)/2)*DB191*DE191*VLOOKUP('Données projet'!$B$13,Paramètres!$A$1:$I$89,3,0)*0.475*44/12</f>
        <v>1.0838910989866585E-19</v>
      </c>
      <c r="DI191" s="22">
        <f t="shared" si="175"/>
        <v>11.108118366164302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>
        <f>DO191*VLOOKUP('Données projet'!$B$14,Paramètres!$A$1:$I$89,3,0)*VLOOKUP('Données projet'!$B$14,Paramètres!$A$1:$I$89,5,0)</f>
        <v>0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229.61973863654862</v>
      </c>
      <c r="DU191" s="59">
        <f t="shared" si="152"/>
        <v>254.08208375594052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8.4993644987781334</v>
      </c>
      <c r="EB191" s="21">
        <f>EXP(-LN(2)/25)*EB190+(1-EXP(-LN(2)/25))/(LN(2)/25)*Calculateur!DW191*Calculateur!DY191*VLOOKUP('Données projet'!$B$14,Paramètres!$A$1:$I$89,3,0)*0.475*44/12</f>
        <v>1.4382870298714818</v>
      </c>
      <c r="EC191" s="21">
        <f>EXP(-LN(2)/2)*EC190+(1-EXP(-LN(2)/2))/(LN(2)/2)*DW191*DZ191*VLOOKUP('Données projet'!$B$14,Paramètres!$A$1:$I$89,3,0)*0.475*44/12</f>
        <v>2.4422643363981893E-18</v>
      </c>
      <c r="ED191" s="22">
        <f t="shared" si="178"/>
        <v>9.9376515286496154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-5.1159076974727213E-13</v>
      </c>
      <c r="O192" s="13">
        <f>N192*VLOOKUP('Données projet'!$B$9,Paramètres!$A$1:$I$89,3,0)*VLOOKUP('Données projet'!$B$9,Paramètres!$A$1:$I$89,5,0)</f>
        <v>-4.6288732846733184E-13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373.59295497283125</v>
      </c>
      <c r="T192" s="59">
        <f t="shared" si="142"/>
        <v>231.36959598460686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31.718406781734092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31.718406781734092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-5.1159076974727213E-13</v>
      </c>
      <c r="AJ192" s="13">
        <f>AI192*VLOOKUP('Données projet'!$B$10,Paramètres!$A$1:$I$89,3,0)*VLOOKUP('Données projet'!$B$10,Paramètres!$A$1:$I$89,5,0)</f>
        <v>-5.1875304052373401E-13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413.81510455446738</v>
      </c>
      <c r="AO192" s="59">
        <f t="shared" si="144"/>
        <v>254.25036207346602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35.546490358839911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35.546490358839911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-1.1368683772161603E-13</v>
      </c>
      <c r="BE192" s="13">
        <f>BD192*VLOOKUP('Données projet'!$B$11,Paramètres!$A$1:$I$89,3,0)*VLOOKUP('Données projet'!$B$11,Paramètres!$A$1:$I$89,5,0)</f>
        <v>-1.0995790944434703E-13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295.35565287134125</v>
      </c>
      <c r="BJ192" s="59">
        <f t="shared" si="146"/>
        <v>244.451492444461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10.509117235820209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10.509117235820209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-1.1368683772161603E-13</v>
      </c>
      <c r="BZ192" s="13">
        <f>BY192*VLOOKUP('Données projet'!$B$12,Paramètres!$A$1:$I$89,3,0)*VLOOKUP('Données projet'!$B$12,Paramètres!$A$1:$I$89,5,0)</f>
        <v>-1.223725121235475E-13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324.61094137855798</v>
      </c>
      <c r="CE192" s="59">
        <f t="shared" si="148"/>
        <v>267.2998309535638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11.695630472122488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11.695630472122488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2.8421709430404007E-13</v>
      </c>
      <c r="CU192" s="17">
        <f>CT192*VLOOKUP('Données projet'!$B$13,Paramètres!$A$1:$I$89,3,0)*VLOOKUP('Données projet'!$B$13,Paramètres!$A$1:$I$89,5,0)</f>
        <v>1.69961822393816E-13</v>
      </c>
      <c r="CV192" s="13">
        <f t="shared" si="173"/>
        <v>2.4004382776176369E-12</v>
      </c>
      <c r="CW192" s="20">
        <f t="shared" si="174"/>
        <v>4.4767801741866136E-12</v>
      </c>
      <c r="CX192" s="59">
        <f t="shared" si="122"/>
        <v>293.33333333333781</v>
      </c>
      <c r="CY192" s="59">
        <f ca="1">AVERAGE(OFFSET($CX$3,0,0,'Données projet'!$E$13+1,1))-AVERAGE(OFFSET($H$3,0,0,'Données projet'!$E$13+1,1))</f>
        <v>319.9010109022521</v>
      </c>
      <c r="CZ192" s="59">
        <f t="shared" si="150"/>
        <v>441.82647565372287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9.4208776747093683</v>
      </c>
      <c r="DG192" s="21">
        <f>EXP(-LN(2)/25)*DG191+(1-EXP(-LN(2)/25))/(LN(2)/25)*Calculateur!DB192*Calculateur!DD192*VLOOKUP('Données projet'!$B$13,Paramètres!$A$1:$I$89,3,0)*0.475*44/12</f>
        <v>1.4578229928833513</v>
      </c>
      <c r="DH192" s="21">
        <f>EXP(-LN(2)/2)*DH191+(1-EXP(-LN(2)/2))/(LN(2)/2)*DB192*DE192*VLOOKUP('Données projet'!$B$13,Paramètres!$A$1:$I$89,3,0)*0.475*44/12</f>
        <v>7.664267461612057E-20</v>
      </c>
      <c r="DI192" s="22">
        <f t="shared" si="175"/>
        <v>10.878700667592719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>
        <f>DO192*VLOOKUP('Données projet'!$B$14,Paramètres!$A$1:$I$89,3,0)*VLOOKUP('Données projet'!$B$14,Paramètres!$A$1:$I$89,5,0)</f>
        <v>0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229.61973863654862</v>
      </c>
      <c r="DU192" s="59">
        <f t="shared" si="152"/>
        <v>254.08208375594052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8.3326971450575513</v>
      </c>
      <c r="EB192" s="21">
        <f>EXP(-LN(2)/25)*EB191+(1-EXP(-LN(2)/25))/(LN(2)/25)*Calculateur!DW192*Calculateur!DY192*VLOOKUP('Données projet'!$B$14,Paramètres!$A$1:$I$89,3,0)*0.475*44/12</f>
        <v>1.3989569954034184</v>
      </c>
      <c r="EC192" s="21">
        <f>EXP(-LN(2)/2)*EC191+(1-EXP(-LN(2)/2))/(LN(2)/2)*DW192*DZ192*VLOOKUP('Données projet'!$B$14,Paramètres!$A$1:$I$89,3,0)*0.475*44/12</f>
        <v>1.7269416737172233E-18</v>
      </c>
      <c r="ED192" s="22">
        <f t="shared" si="178"/>
        <v>9.7316541404609698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-5.1159076974727213E-13</v>
      </c>
      <c r="O193" s="13">
        <f>N193*VLOOKUP('Données projet'!$B$9,Paramètres!$A$1:$I$89,3,0)*VLOOKUP('Données projet'!$B$9,Paramètres!$A$1:$I$89,5,0)</f>
        <v>-4.6288732846733184E-13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373.59295497283125</v>
      </c>
      <c r="T193" s="59">
        <f t="shared" si="142"/>
        <v>231.36959598460686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31.096428171062133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31.096428171062133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-5.1159076974727213E-13</v>
      </c>
      <c r="AJ193" s="13">
        <f>AI193*VLOOKUP('Données projet'!$B$10,Paramètres!$A$1:$I$89,3,0)*VLOOKUP('Données projet'!$B$10,Paramètres!$A$1:$I$89,5,0)</f>
        <v>-5.1875304052373401E-13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413.81510455446738</v>
      </c>
      <c r="AO193" s="59">
        <f t="shared" si="144"/>
        <v>254.25036207346602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34.849445364121337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34.849445364121337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-1.1368683772161603E-13</v>
      </c>
      <c r="BE193" s="13">
        <f>BD193*VLOOKUP('Données projet'!$B$11,Paramètres!$A$1:$I$89,3,0)*VLOOKUP('Données projet'!$B$11,Paramètres!$A$1:$I$89,5,0)</f>
        <v>-1.0995790944434703E-13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295.35565287134125</v>
      </c>
      <c r="BJ193" s="59">
        <f t="shared" si="146"/>
        <v>244.451492444461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10.303039856754362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10.303039856754362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-1.1368683772161603E-13</v>
      </c>
      <c r="BZ193" s="13">
        <f>BY193*VLOOKUP('Données projet'!$B$12,Paramètres!$A$1:$I$89,3,0)*VLOOKUP('Données projet'!$B$12,Paramètres!$A$1:$I$89,5,0)</f>
        <v>-1.223725121235475E-13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324.61094137855798</v>
      </c>
      <c r="CE193" s="59">
        <f t="shared" si="148"/>
        <v>267.2998309535638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11.466286292194367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11.466286292194367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2.8421709430404007E-13</v>
      </c>
      <c r="CU193" s="17">
        <f>CT193*VLOOKUP('Données projet'!$B$13,Paramètres!$A$1:$I$89,3,0)*VLOOKUP('Données projet'!$B$13,Paramètres!$A$1:$I$89,5,0)</f>
        <v>1.69961822393816E-13</v>
      </c>
      <c r="CV193" s="13">
        <f t="shared" si="173"/>
        <v>2.4004382776176369E-12</v>
      </c>
      <c r="CW193" s="20">
        <f t="shared" si="174"/>
        <v>4.4767801741866136E-12</v>
      </c>
      <c r="CX193" s="59">
        <f t="shared" si="122"/>
        <v>293.33333333333781</v>
      </c>
      <c r="CY193" s="59">
        <f ca="1">AVERAGE(OFFSET($CX$3,0,0,'Données projet'!$E$13+1,1))-AVERAGE(OFFSET($H$3,0,0,'Données projet'!$E$13+1,1))</f>
        <v>319.9010109022521</v>
      </c>
      <c r="CZ193" s="59">
        <f t="shared" si="150"/>
        <v>441.82647565372287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9.236140009676312</v>
      </c>
      <c r="DG193" s="21">
        <f>EXP(-LN(2)/25)*DG192+(1-EXP(-LN(2)/25))/(LN(2)/25)*Calculateur!DB193*Calculateur!DD193*VLOOKUP('Données projet'!$B$13,Paramètres!$A$1:$I$89,3,0)*0.475*44/12</f>
        <v>1.4179587464793768</v>
      </c>
      <c r="DH193" s="21">
        <f>EXP(-LN(2)/2)*DH192+(1-EXP(-LN(2)/2))/(LN(2)/2)*DB193*DE193*VLOOKUP('Données projet'!$B$13,Paramètres!$A$1:$I$89,3,0)*0.475*44/12</f>
        <v>5.419455494933293E-20</v>
      </c>
      <c r="DI193" s="22">
        <f t="shared" si="175"/>
        <v>10.654098756155689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>
        <f>DO193*VLOOKUP('Données projet'!$B$14,Paramètres!$A$1:$I$89,3,0)*VLOOKUP('Données projet'!$B$14,Paramètres!$A$1:$I$89,5,0)</f>
        <v>0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229.61973863654862</v>
      </c>
      <c r="DU193" s="59">
        <f t="shared" si="152"/>
        <v>254.08208375594052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8.1692980364863814</v>
      </c>
      <c r="EB193" s="21">
        <f>EXP(-LN(2)/25)*EB192+(1-EXP(-LN(2)/25))/(LN(2)/25)*Calculateur!DW193*Calculateur!DY193*VLOOKUP('Données projet'!$B$14,Paramètres!$A$1:$I$89,3,0)*0.475*44/12</f>
        <v>1.3607024427961609</v>
      </c>
      <c r="EC193" s="21">
        <f>EXP(-LN(2)/2)*EC192+(1-EXP(-LN(2)/2))/(LN(2)/2)*DW193*DZ193*VLOOKUP('Données projet'!$B$14,Paramètres!$A$1:$I$89,3,0)*0.475*44/12</f>
        <v>1.2211321681990949E-18</v>
      </c>
      <c r="ED193" s="22">
        <f t="shared" si="178"/>
        <v>9.5300004792825419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-5.1159076974727213E-13</v>
      </c>
      <c r="O194" s="13">
        <f>N194*VLOOKUP('Données projet'!$B$9,Paramètres!$A$1:$I$89,3,0)*VLOOKUP('Données projet'!$B$9,Paramètres!$A$1:$I$89,5,0)</f>
        <v>-4.6288732846733184E-13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373.59295497283125</v>
      </c>
      <c r="T194" s="59">
        <f t="shared" si="142"/>
        <v>231.36959598460686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30.48664618157596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30.48664618157596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-5.1159076974727213E-13</v>
      </c>
      <c r="AJ194" s="13">
        <f>AI194*VLOOKUP('Données projet'!$B$10,Paramètres!$A$1:$I$89,3,0)*VLOOKUP('Données projet'!$B$10,Paramètres!$A$1:$I$89,5,0)</f>
        <v>-5.1875304052373401E-13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413.81510455446738</v>
      </c>
      <c r="AO194" s="59">
        <f t="shared" si="144"/>
        <v>254.25036207346602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34.166068996593729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34.166068996593729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-1.1368683772161603E-13</v>
      </c>
      <c r="BE194" s="13">
        <f>BD194*VLOOKUP('Données projet'!$B$11,Paramètres!$A$1:$I$89,3,0)*VLOOKUP('Données projet'!$B$11,Paramètres!$A$1:$I$89,5,0)</f>
        <v>-1.0995790944434703E-13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295.35565287134125</v>
      </c>
      <c r="BJ194" s="59">
        <f t="shared" si="146"/>
        <v>244.451492444461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10.101003529397206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10.101003529397206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-1.1368683772161603E-13</v>
      </c>
      <c r="BZ194" s="13">
        <f>BY194*VLOOKUP('Données projet'!$B$12,Paramètres!$A$1:$I$89,3,0)*VLOOKUP('Données projet'!$B$12,Paramètres!$A$1:$I$89,5,0)</f>
        <v>-1.223725121235475E-13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324.61094137855798</v>
      </c>
      <c r="CE194" s="59">
        <f t="shared" si="148"/>
        <v>267.2998309535638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11.241439411748498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11.241439411748498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2.8421709430404007E-13</v>
      </c>
      <c r="CU194" s="17">
        <f>CT194*VLOOKUP('Données projet'!$B$13,Paramètres!$A$1:$I$89,3,0)*VLOOKUP('Données projet'!$B$13,Paramètres!$A$1:$I$89,5,0)</f>
        <v>1.69961822393816E-13</v>
      </c>
      <c r="CV194" s="13">
        <f t="shared" si="173"/>
        <v>2.4004382776176369E-12</v>
      </c>
      <c r="CW194" s="20">
        <f t="shared" si="174"/>
        <v>4.4767801741866136E-12</v>
      </c>
      <c r="CX194" s="59">
        <f t="shared" si="122"/>
        <v>293.33333333333781</v>
      </c>
      <c r="CY194" s="59">
        <f ca="1">AVERAGE(OFFSET($CX$3,0,0,'Données projet'!$E$13+1,1))-AVERAGE(OFFSET($H$3,0,0,'Données projet'!$E$13+1,1))</f>
        <v>319.9010109022521</v>
      </c>
      <c r="CZ194" s="59">
        <f t="shared" si="150"/>
        <v>441.82647565372287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9.0550249375757037</v>
      </c>
      <c r="DG194" s="21">
        <f>EXP(-LN(2)/25)*DG193+(1-EXP(-LN(2)/25))/(LN(2)/25)*Calculateur!DB194*Calculateur!DD194*VLOOKUP('Données projet'!$B$13,Paramètres!$A$1:$I$89,3,0)*0.475*44/12</f>
        <v>1.3791845899896886</v>
      </c>
      <c r="DH194" s="21">
        <f>EXP(-LN(2)/2)*DH193+(1-EXP(-LN(2)/2))/(LN(2)/2)*DB194*DE194*VLOOKUP('Données projet'!$B$13,Paramètres!$A$1:$I$89,3,0)*0.475*44/12</f>
        <v>3.8321337308060291E-20</v>
      </c>
      <c r="DI194" s="22">
        <f t="shared" si="175"/>
        <v>10.434209527565393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>
        <f>DO194*VLOOKUP('Données projet'!$B$14,Paramètres!$A$1:$I$89,3,0)*VLOOKUP('Données projet'!$B$14,Paramètres!$A$1:$I$89,5,0)</f>
        <v>0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229.61973863654862</v>
      </c>
      <c r="DU194" s="59">
        <f t="shared" si="152"/>
        <v>254.08208375594052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8.0091030847706772</v>
      </c>
      <c r="EB194" s="21">
        <f>EXP(-LN(2)/25)*EB193+(1-EXP(-LN(2)/25))/(LN(2)/25)*Calculateur!DW194*Calculateur!DY194*VLOOKUP('Données projet'!$B$14,Paramètres!$A$1:$I$89,3,0)*0.475*44/12</f>
        <v>1.3234939629416684</v>
      </c>
      <c r="EC194" s="21">
        <f>EXP(-LN(2)/2)*EC193+(1-EXP(-LN(2)/2))/(LN(2)/2)*DW194*DZ194*VLOOKUP('Données projet'!$B$14,Paramètres!$A$1:$I$89,3,0)*0.475*44/12</f>
        <v>8.6347083685861176E-19</v>
      </c>
      <c r="ED194" s="22">
        <f t="shared" si="178"/>
        <v>9.3325970477123459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-5.1159076974727213E-13</v>
      </c>
      <c r="O195" s="13">
        <f>N195*VLOOKUP('Données projet'!$B$9,Paramètres!$A$1:$I$89,3,0)*VLOOKUP('Données projet'!$B$9,Paramètres!$A$1:$I$89,5,0)</f>
        <v>-4.6288732846733184E-13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373.59295497283125</v>
      </c>
      <c r="T195" s="59">
        <f t="shared" si="142"/>
        <v>231.36959598460686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29.888821644973319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29.888821644973319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-5.1159076974727213E-13</v>
      </c>
      <c r="AJ195" s="13">
        <f>AI195*VLOOKUP('Données projet'!$B$10,Paramètres!$A$1:$I$89,3,0)*VLOOKUP('Données projet'!$B$10,Paramètres!$A$1:$I$89,5,0)</f>
        <v>-5.1875304052373401E-13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413.81510455446738</v>
      </c>
      <c r="AO195" s="59">
        <f t="shared" si="144"/>
        <v>254.25036207346602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33.496093222814913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33.496093222814913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-1.1368683772161603E-13</v>
      </c>
      <c r="BE195" s="13">
        <f>BD195*VLOOKUP('Données projet'!$B$11,Paramètres!$A$1:$I$89,3,0)*VLOOKUP('Données projet'!$B$11,Paramètres!$A$1:$I$89,5,0)</f>
        <v>-1.0995790944434703E-13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295.35565287134125</v>
      </c>
      <c r="BJ195" s="59">
        <f t="shared" si="146"/>
        <v>244.451492444461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9.9029290111895314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9.9029290111895314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-1.1368683772161603E-13</v>
      </c>
      <c r="BZ195" s="13">
        <f>BY195*VLOOKUP('Données projet'!$B$12,Paramètres!$A$1:$I$89,3,0)*VLOOKUP('Données projet'!$B$12,Paramètres!$A$1:$I$89,5,0)</f>
        <v>-1.223725121235475E-13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324.61094137855798</v>
      </c>
      <c r="CE195" s="59">
        <f t="shared" si="148"/>
        <v>267.2998309535638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11.021001641485118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11.021001641485118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2.8421709430404007E-13</v>
      </c>
      <c r="CU195" s="17">
        <f>CT195*VLOOKUP('Données projet'!$B$13,Paramètres!$A$1:$I$89,3,0)*VLOOKUP('Données projet'!$B$13,Paramètres!$A$1:$I$89,5,0)</f>
        <v>1.69961822393816E-13</v>
      </c>
      <c r="CV195" s="13">
        <f t="shared" si="173"/>
        <v>2.4004382776176369E-12</v>
      </c>
      <c r="CW195" s="20">
        <f t="shared" si="174"/>
        <v>4.4767801741866136E-12</v>
      </c>
      <c r="CX195" s="59">
        <f t="shared" si="122"/>
        <v>293.33333333333781</v>
      </c>
      <c r="CY195" s="59">
        <f ca="1">AVERAGE(OFFSET($CX$3,0,0,'Données projet'!$E$13+1,1))-AVERAGE(OFFSET($H$3,0,0,'Données projet'!$E$13+1,1))</f>
        <v>319.9010109022521</v>
      </c>
      <c r="CZ195" s="59">
        <f t="shared" si="150"/>
        <v>441.82647565372287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8.8774614215697039</v>
      </c>
      <c r="DG195" s="21">
        <f>EXP(-LN(2)/25)*DG194+(1-EXP(-LN(2)/25))/(LN(2)/25)*Calculateur!DB195*Calculateur!DD195*VLOOKUP('Données projet'!$B$13,Paramètres!$A$1:$I$89,3,0)*0.475*44/12</f>
        <v>1.3414707148482552</v>
      </c>
      <c r="DH195" s="21">
        <f>EXP(-LN(2)/2)*DH194+(1-EXP(-LN(2)/2))/(LN(2)/2)*DB195*DE195*VLOOKUP('Données projet'!$B$13,Paramètres!$A$1:$I$89,3,0)*0.475*44/12</f>
        <v>2.7097277474666471E-20</v>
      </c>
      <c r="DI195" s="22">
        <f t="shared" si="175"/>
        <v>10.218932136417958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>
        <f>DO195*VLOOKUP('Données projet'!$B$14,Paramètres!$A$1:$I$89,3,0)*VLOOKUP('Données projet'!$B$14,Paramètres!$A$1:$I$89,5,0)</f>
        <v>0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229.61973863654862</v>
      </c>
      <c r="DU195" s="59">
        <f t="shared" si="152"/>
        <v>254.08208375594052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7.8520494583488452</v>
      </c>
      <c r="EB195" s="21">
        <f>EXP(-LN(2)/25)*EB194+(1-EXP(-LN(2)/25))/(LN(2)/25)*Calculateur!DW195*Calculateur!DY195*VLOOKUP('Données projet'!$B$14,Paramètres!$A$1:$I$89,3,0)*0.475*44/12</f>
        <v>1.2873029509255058</v>
      </c>
      <c r="EC195" s="21">
        <f>EXP(-LN(2)/2)*EC194+(1-EXP(-LN(2)/2))/(LN(2)/2)*DW195*DZ195*VLOOKUP('Données projet'!$B$14,Paramètres!$A$1:$I$89,3,0)*0.475*44/12</f>
        <v>6.1056608409954753E-19</v>
      </c>
      <c r="ED195" s="22">
        <f t="shared" si="178"/>
        <v>9.1393524092743519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-5.1159076974727213E-13</v>
      </c>
      <c r="O196" s="13">
        <f>N196*VLOOKUP('Données projet'!$B$9,Paramètres!$A$1:$I$89,3,0)*VLOOKUP('Données projet'!$B$9,Paramètres!$A$1:$I$89,5,0)</f>
        <v>-4.6288732846733184E-13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373.59295497283125</v>
      </c>
      <c r="T196" s="59">
        <f t="shared" si="142"/>
        <v>231.36959598460686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29.302720082896496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29.302720082896496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-5.1159076974727213E-13</v>
      </c>
      <c r="AJ196" s="13">
        <f>AI196*VLOOKUP('Données projet'!$B$10,Paramètres!$A$1:$I$89,3,0)*VLOOKUP('Données projet'!$B$10,Paramètres!$A$1:$I$89,5,0)</f>
        <v>-5.1875304052373401E-13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413.81510455446738</v>
      </c>
      <c r="AO196" s="59">
        <f t="shared" si="144"/>
        <v>254.25036207346602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32.839255265315025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32.839255265315025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-1.1368683772161603E-13</v>
      </c>
      <c r="BE196" s="13">
        <f>BD196*VLOOKUP('Données projet'!$B$11,Paramètres!$A$1:$I$89,3,0)*VLOOKUP('Données projet'!$B$11,Paramètres!$A$1:$I$89,5,0)</f>
        <v>-1.0995790944434703E-13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295.35565287134125</v>
      </c>
      <c r="BJ196" s="59">
        <f t="shared" si="146"/>
        <v>244.451492444461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9.7087386134703824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9.7087386134703824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-1.1368683772161603E-13</v>
      </c>
      <c r="BZ196" s="13">
        <f>BY196*VLOOKUP('Données projet'!$B$12,Paramètres!$A$1:$I$89,3,0)*VLOOKUP('Données projet'!$B$12,Paramètres!$A$1:$I$89,5,0)</f>
        <v>-1.223725121235475E-13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324.61094137855798</v>
      </c>
      <c r="CE196" s="59">
        <f t="shared" si="148"/>
        <v>267.2998309535638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10.804886521442839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10.804886521442839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2.8421709430404007E-13</v>
      </c>
      <c r="CU196" s="17">
        <f>CT196*VLOOKUP('Données projet'!$B$13,Paramètres!$A$1:$I$89,3,0)*VLOOKUP('Données projet'!$B$13,Paramètres!$A$1:$I$89,5,0)</f>
        <v>1.69961822393816E-13</v>
      </c>
      <c r="CV196" s="13">
        <f t="shared" si="173"/>
        <v>2.4004382776176369E-12</v>
      </c>
      <c r="CW196" s="20">
        <f t="shared" si="174"/>
        <v>4.4767801741866136E-12</v>
      </c>
      <c r="CX196" s="59">
        <f t="shared" ref="CX196:CX203" si="196">CW196+(CO196+CP196)*44/12</f>
        <v>293.33333333333781</v>
      </c>
      <c r="CY196" s="59">
        <f ca="1">AVERAGE(OFFSET($CX$3,0,0,'Données projet'!$E$13+1,1))-AVERAGE(OFFSET($H$3,0,0,'Données projet'!$E$13+1,1))</f>
        <v>319.9010109022521</v>
      </c>
      <c r="CZ196" s="59">
        <f t="shared" si="150"/>
        <v>441.82647565372287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8.7033798178095303</v>
      </c>
      <c r="DG196" s="21">
        <f>EXP(-LN(2)/25)*DG195+(1-EXP(-LN(2)/25))/(LN(2)/25)*Calculateur!DB196*Calculateur!DD196*VLOOKUP('Données projet'!$B$13,Paramètres!$A$1:$I$89,3,0)*0.475*44/12</f>
        <v>1.3047881276058508</v>
      </c>
      <c r="DH196" s="21">
        <f>EXP(-LN(2)/2)*DH195+(1-EXP(-LN(2)/2))/(LN(2)/2)*DB196*DE196*VLOOKUP('Données projet'!$B$13,Paramètres!$A$1:$I$89,3,0)*0.475*44/12</f>
        <v>1.9160668654030149E-20</v>
      </c>
      <c r="DI196" s="22">
        <f t="shared" si="175"/>
        <v>10.008167945415382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>
        <f>DO196*VLOOKUP('Données projet'!$B$14,Paramètres!$A$1:$I$89,3,0)*VLOOKUP('Données projet'!$B$14,Paramètres!$A$1:$I$89,5,0)</f>
        <v>0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229.61973863654862</v>
      </c>
      <c r="DU196" s="59">
        <f t="shared" si="152"/>
        <v>254.08208375594052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7.6980755577478917</v>
      </c>
      <c r="EB196" s="21">
        <f>EXP(-LN(2)/25)*EB195+(1-EXP(-LN(2)/25))/(LN(2)/25)*Calculateur!DW196*Calculateur!DY196*VLOOKUP('Données projet'!$B$14,Paramètres!$A$1:$I$89,3,0)*0.475*44/12</f>
        <v>1.2521015840361278</v>
      </c>
      <c r="EC196" s="21">
        <f>EXP(-LN(2)/2)*EC195+(1-EXP(-LN(2)/2))/(LN(2)/2)*DW196*DZ196*VLOOKUP('Données projet'!$B$14,Paramètres!$A$1:$I$89,3,0)*0.475*44/12</f>
        <v>4.3173541842930598E-19</v>
      </c>
      <c r="ED196" s="22">
        <f t="shared" si="178"/>
        <v>8.9501771417840192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-5.1159076974727213E-13</v>
      </c>
      <c r="O197" s="13">
        <f>N197*VLOOKUP('Données projet'!$B$9,Paramètres!$A$1:$I$89,3,0)*VLOOKUP('Données projet'!$B$9,Paramètres!$A$1:$I$89,5,0)</f>
        <v>-4.6288732846733184E-13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373.59295497283125</v>
      </c>
      <c r="T197" s="59">
        <f t="shared" ref="T197:T203" si="204">$T$3</f>
        <v>231.36959598460686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28.728111614965343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28.728111614965343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-5.1159076974727213E-13</v>
      </c>
      <c r="AJ197" s="13">
        <f>AI197*VLOOKUP('Données projet'!$B$10,Paramètres!$A$1:$I$89,3,0)*VLOOKUP('Données projet'!$B$10,Paramètres!$A$1:$I$89,5,0)</f>
        <v>-5.1875304052373401E-13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413.81510455446738</v>
      </c>
      <c r="AO197" s="59">
        <f t="shared" ref="AO197:AO203" si="205">$AO$3</f>
        <v>254.25036207346602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32.195297499530113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32.195297499530113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-1.1368683772161603E-13</v>
      </c>
      <c r="BE197" s="13">
        <f>BD197*VLOOKUP('Données projet'!$B$11,Paramètres!$A$1:$I$89,3,0)*VLOOKUP('Données projet'!$B$11,Paramètres!$A$1:$I$89,5,0)</f>
        <v>-1.0995790944434703E-13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295.35565287134125</v>
      </c>
      <c r="BJ197" s="59">
        <f t="shared" ref="BJ197:BJ203" si="206">$BJ$3</f>
        <v>244.451492444461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9.518356171006058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9.518356171006058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-1.1368683772161603E-13</v>
      </c>
      <c r="BZ197" s="13">
        <f>BY197*VLOOKUP('Données projet'!$B$12,Paramètres!$A$1:$I$89,3,0)*VLOOKUP('Données projet'!$B$12,Paramètres!$A$1:$I$89,5,0)</f>
        <v>-1.223725121235475E-13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324.61094137855798</v>
      </c>
      <c r="CE197" s="59">
        <f t="shared" ref="CE197:CE203" si="207">$CE$3</f>
        <v>267.2998309535638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10.593009287087382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10.593009287087382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2.8421709430404007E-13</v>
      </c>
      <c r="CU197" s="17">
        <f>CT197*VLOOKUP('Données projet'!$B$13,Paramètres!$A$1:$I$89,3,0)*VLOOKUP('Données projet'!$B$13,Paramètres!$A$1:$I$89,5,0)</f>
        <v>1.69961822393816E-13</v>
      </c>
      <c r="CV197" s="13">
        <f t="shared" si="173"/>
        <v>2.4004382776176369E-12</v>
      </c>
      <c r="CW197" s="20">
        <f t="shared" si="174"/>
        <v>4.4767801741866136E-12</v>
      </c>
      <c r="CX197" s="59">
        <f t="shared" si="196"/>
        <v>293.33333333333781</v>
      </c>
      <c r="CY197" s="59">
        <f ca="1">AVERAGE(OFFSET($CX$3,0,0,'Données projet'!$E$13+1,1))-AVERAGE(OFFSET($H$3,0,0,'Données projet'!$E$13+1,1))</f>
        <v>319.9010109022521</v>
      </c>
      <c r="CZ197" s="59">
        <f t="shared" ref="CZ197:CZ203" si="208">$CZ$3</f>
        <v>441.82647565372287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8.5327118481197992</v>
      </c>
      <c r="DG197" s="21">
        <f>EXP(-LN(2)/25)*DG196+(1-EXP(-LN(2)/25))/(LN(2)/25)*Calculateur!DB197*Calculateur!DD197*VLOOKUP('Données projet'!$B$13,Paramètres!$A$1:$I$89,3,0)*0.475*44/12</f>
        <v>1.2691086276406434</v>
      </c>
      <c r="DH197" s="21">
        <f>EXP(-LN(2)/2)*DH196+(1-EXP(-LN(2)/2))/(LN(2)/2)*DB197*DE197*VLOOKUP('Données projet'!$B$13,Paramètres!$A$1:$I$89,3,0)*0.475*44/12</f>
        <v>1.3548638737333237E-20</v>
      </c>
      <c r="DI197" s="22">
        <f t="shared" si="175"/>
        <v>9.8018204757604419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>
        <f>DO197*VLOOKUP('Données projet'!$B$14,Paramètres!$A$1:$I$89,3,0)*VLOOKUP('Données projet'!$B$14,Paramètres!$A$1:$I$89,5,0)</f>
        <v>0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229.61973863654862</v>
      </c>
      <c r="DU197" s="59">
        <f t="shared" ref="DU197:DU203" si="209">$DU$3</f>
        <v>254.08208375594052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7.5471209914229176</v>
      </c>
      <c r="EB197" s="21">
        <f>EXP(-LN(2)/25)*EB196+(1-EXP(-LN(2)/25))/(LN(2)/25)*Calculateur!DW197*Calculateur!DY197*VLOOKUP('Données projet'!$B$14,Paramètres!$A$1:$I$89,3,0)*0.475*44/12</f>
        <v>1.2178628003754992</v>
      </c>
      <c r="EC197" s="21">
        <f>EXP(-LN(2)/2)*EC196+(1-EXP(-LN(2)/2))/(LN(2)/2)*DW197*DZ197*VLOOKUP('Données projet'!$B$14,Paramètres!$A$1:$I$89,3,0)*0.475*44/12</f>
        <v>3.0528304204977381E-19</v>
      </c>
      <c r="ED197" s="22">
        <f t="shared" si="178"/>
        <v>8.7649837917984161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-5.1159076974727213E-13</v>
      </c>
      <c r="O198" s="13">
        <f>N198*VLOOKUP('Données projet'!$B$9,Paramètres!$A$1:$I$89,3,0)*VLOOKUP('Données projet'!$B$9,Paramètres!$A$1:$I$89,5,0)</f>
        <v>-4.6288732846733184E-13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373.59295497283125</v>
      </c>
      <c r="T198" s="59">
        <f t="shared" si="204"/>
        <v>231.36959598460686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28.164770868613761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28.164770868613761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-5.1159076974727213E-13</v>
      </c>
      <c r="AJ198" s="13">
        <f>AI198*VLOOKUP('Données projet'!$B$10,Paramètres!$A$1:$I$89,3,0)*VLOOKUP('Données projet'!$B$10,Paramètres!$A$1:$I$89,5,0)</f>
        <v>-5.1875304052373401E-13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413.81510455446738</v>
      </c>
      <c r="AO198" s="59">
        <f t="shared" si="205"/>
        <v>254.25036207346602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31.563967352756791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31.563967352756791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-1.1368683772161603E-13</v>
      </c>
      <c r="BE198" s="13">
        <f>BD198*VLOOKUP('Données projet'!$B$11,Paramètres!$A$1:$I$89,3,0)*VLOOKUP('Données projet'!$B$11,Paramètres!$A$1:$I$89,5,0)</f>
        <v>-1.0995790944434703E-13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295.35565287134125</v>
      </c>
      <c r="BJ198" s="59">
        <f t="shared" si="206"/>
        <v>244.451492444461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9.3317070121166363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9.3317070121166363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-1.1368683772161603E-13</v>
      </c>
      <c r="BZ198" s="13">
        <f>BY198*VLOOKUP('Données projet'!$B$12,Paramètres!$A$1:$I$89,3,0)*VLOOKUP('Données projet'!$B$12,Paramètres!$A$1:$I$89,5,0)</f>
        <v>-1.223725121235475E-13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324.61094137855798</v>
      </c>
      <c r="CE198" s="59">
        <f t="shared" si="207"/>
        <v>267.2998309535638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10.385286836065283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10.385286836065283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2.8421709430404007E-13</v>
      </c>
      <c r="CU198" s="17">
        <f>CT198*VLOOKUP('Données projet'!$B$13,Paramètres!$A$1:$I$89,3,0)*VLOOKUP('Données projet'!$B$13,Paramètres!$A$1:$I$89,5,0)</f>
        <v>1.69961822393816E-13</v>
      </c>
      <c r="CV198" s="13">
        <f t="shared" si="173"/>
        <v>2.4004382776176369E-12</v>
      </c>
      <c r="CW198" s="20">
        <f t="shared" si="174"/>
        <v>4.4767801741866136E-12</v>
      </c>
      <c r="CX198" s="59">
        <f t="shared" si="196"/>
        <v>293.33333333333781</v>
      </c>
      <c r="CY198" s="59">
        <f ca="1">AVERAGE(OFFSET($CX$3,0,0,'Données projet'!$E$13+1,1))-AVERAGE(OFFSET($H$3,0,0,'Données projet'!$E$13+1,1))</f>
        <v>319.9010109022521</v>
      </c>
      <c r="CZ198" s="59">
        <f t="shared" si="208"/>
        <v>441.82647565372287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8.3653905732185017</v>
      </c>
      <c r="DG198" s="21">
        <f>EXP(-LN(2)/25)*DG197+(1-EXP(-LN(2)/25))/(LN(2)/25)*Calculateur!DB198*Calculateur!DD198*VLOOKUP('Données projet'!$B$13,Paramètres!$A$1:$I$89,3,0)*0.475*44/12</f>
        <v>1.2344047854782878</v>
      </c>
      <c r="DH198" s="21">
        <f>EXP(-LN(2)/2)*DH197+(1-EXP(-LN(2)/2))/(LN(2)/2)*DB198*DE198*VLOOKUP('Données projet'!$B$13,Paramètres!$A$1:$I$89,3,0)*0.475*44/12</f>
        <v>9.5803343270150758E-21</v>
      </c>
      <c r="DI198" s="22">
        <f t="shared" si="175"/>
        <v>9.5997953586967899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>
        <f>DO198*VLOOKUP('Données projet'!$B$14,Paramètres!$A$1:$I$89,3,0)*VLOOKUP('Données projet'!$B$14,Paramètres!$A$1:$I$89,5,0)</f>
        <v>0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229.61973863654862</v>
      </c>
      <c r="DU198" s="59">
        <f t="shared" si="209"/>
        <v>254.08208375594052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7.3991265520703822</v>
      </c>
      <c r="EB198" s="21">
        <f>EXP(-LN(2)/25)*EB197+(1-EXP(-LN(2)/25))/(LN(2)/25)*Calculateur!DW198*Calculateur!DY198*VLOOKUP('Données projet'!$B$14,Paramètres!$A$1:$I$89,3,0)*0.475*44/12</f>
        <v>1.1845602780546101</v>
      </c>
      <c r="EC198" s="21">
        <f>EXP(-LN(2)/2)*EC197+(1-EXP(-LN(2)/2))/(LN(2)/2)*DW198*DZ198*VLOOKUP('Données projet'!$B$14,Paramètres!$A$1:$I$89,3,0)*0.475*44/12</f>
        <v>2.1586770921465301E-19</v>
      </c>
      <c r="ED198" s="22">
        <f t="shared" si="178"/>
        <v>8.5836868301249929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-5.1159076974727213E-13</v>
      </c>
      <c r="O199" s="13">
        <f>N199*VLOOKUP('Données projet'!$B$9,Paramètres!$A$1:$I$89,3,0)*VLOOKUP('Données projet'!$B$9,Paramètres!$A$1:$I$89,5,0)</f>
        <v>-4.6288732846733184E-13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373.59295497283125</v>
      </c>
      <c r="T199" s="59">
        <f t="shared" si="204"/>
        <v>231.36959598460686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27.612476890694207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27.612476890694207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-5.1159076974727213E-13</v>
      </c>
      <c r="AJ199" s="13">
        <f>AI199*VLOOKUP('Données projet'!$B$10,Paramètres!$A$1:$I$89,3,0)*VLOOKUP('Données projet'!$B$10,Paramètres!$A$1:$I$89,5,0)</f>
        <v>-5.1875304052373401E-13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413.81510455446738</v>
      </c>
      <c r="AO199" s="59">
        <f t="shared" si="205"/>
        <v>254.25036207346602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30.945017205088327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30.945017205088327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-1.1368683772161603E-13</v>
      </c>
      <c r="BE199" s="13">
        <f>BD199*VLOOKUP('Données projet'!$B$11,Paramètres!$A$1:$I$89,3,0)*VLOOKUP('Données projet'!$B$11,Paramètres!$A$1:$I$89,5,0)</f>
        <v>-1.0995790944434703E-13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295.35565287134125</v>
      </c>
      <c r="BJ199" s="59">
        <f t="shared" si="206"/>
        <v>244.451492444461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9.1487179293882903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9.1487179293882903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-1.1368683772161603E-13</v>
      </c>
      <c r="BZ199" s="13">
        <f>BY199*VLOOKUP('Données projet'!$B$12,Paramètres!$A$1:$I$89,3,0)*VLOOKUP('Données projet'!$B$12,Paramètres!$A$1:$I$89,5,0)</f>
        <v>-1.223725121235475E-13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324.61094137855798</v>
      </c>
      <c r="CE199" s="59">
        <f t="shared" si="207"/>
        <v>267.2998309535638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10.181637695609544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10.181637695609544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2.8421709430404007E-13</v>
      </c>
      <c r="CU199" s="17">
        <f>CT199*VLOOKUP('Données projet'!$B$13,Paramètres!$A$1:$I$89,3,0)*VLOOKUP('Données projet'!$B$13,Paramètres!$A$1:$I$89,5,0)</f>
        <v>1.69961822393816E-13</v>
      </c>
      <c r="CV199" s="13">
        <f t="shared" si="173"/>
        <v>2.4004382776176369E-12</v>
      </c>
      <c r="CW199" s="20">
        <f t="shared" si="174"/>
        <v>4.4767801741866136E-12</v>
      </c>
      <c r="CX199" s="59">
        <f t="shared" si="196"/>
        <v>293.33333333333781</v>
      </c>
      <c r="CY199" s="59">
        <f ca="1">AVERAGE(OFFSET($CX$3,0,0,'Données projet'!$E$13+1,1))-AVERAGE(OFFSET($H$3,0,0,'Données projet'!$E$13+1,1))</f>
        <v>319.9010109022521</v>
      </c>
      <c r="CZ199" s="59">
        <f t="shared" si="208"/>
        <v>441.82647565372287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8.2013503664621172</v>
      </c>
      <c r="DG199" s="21">
        <f>EXP(-LN(2)/25)*DG198+(1-EXP(-LN(2)/25))/(LN(2)/25)*Calculateur!DB199*Calculateur!DD199*VLOOKUP('Données projet'!$B$13,Paramètres!$A$1:$I$89,3,0)*0.475*44/12</f>
        <v>1.2006499217048576</v>
      </c>
      <c r="DH199" s="21">
        <f>EXP(-LN(2)/2)*DH198+(1-EXP(-LN(2)/2))/(LN(2)/2)*DB199*DE199*VLOOKUP('Données projet'!$B$13,Paramètres!$A$1:$I$89,3,0)*0.475*44/12</f>
        <v>6.7743193686666201E-21</v>
      </c>
      <c r="DI199" s="22">
        <f t="shared" si="175"/>
        <v>9.402000288166974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>
        <f>DO199*VLOOKUP('Données projet'!$B$14,Paramètres!$A$1:$I$89,3,0)*VLOOKUP('Données projet'!$B$14,Paramètres!$A$1:$I$89,5,0)</f>
        <v>0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229.61973863654862</v>
      </c>
      <c r="DU199" s="59">
        <f t="shared" si="209"/>
        <v>254.08208375594052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7.2540341934058548</v>
      </c>
      <c r="EB199" s="21">
        <f>EXP(-LN(2)/25)*EB198+(1-EXP(-LN(2)/25))/(LN(2)/25)*Calculateur!DW199*Calculateur!DY199*VLOOKUP('Données projet'!$B$14,Paramètres!$A$1:$I$89,3,0)*0.475*44/12</f>
        <v>1.152168414957889</v>
      </c>
      <c r="EC199" s="21">
        <f>EXP(-LN(2)/2)*EC198+(1-EXP(-LN(2)/2))/(LN(2)/2)*DW199*DZ199*VLOOKUP('Données projet'!$B$14,Paramètres!$A$1:$I$89,3,0)*0.475*44/12</f>
        <v>1.5264152102488693E-19</v>
      </c>
      <c r="ED199" s="22">
        <f t="shared" si="178"/>
        <v>8.4062026083637438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-5.1159076974727213E-13</v>
      </c>
      <c r="O200" s="13">
        <f>N200*VLOOKUP('Données projet'!$B$9,Paramètres!$A$1:$I$89,3,0)*VLOOKUP('Données projet'!$B$9,Paramètres!$A$1:$I$89,5,0)</f>
        <v>-4.6288732846733184E-13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373.59295497283125</v>
      </c>
      <c r="T200" s="59">
        <f t="shared" si="204"/>
        <v>231.36959598460686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27.071013060815591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27.071013060815591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-5.1159076974727213E-13</v>
      </c>
      <c r="AJ200" s="13">
        <f>AI200*VLOOKUP('Données projet'!$B$10,Paramètres!$A$1:$I$89,3,0)*VLOOKUP('Données projet'!$B$10,Paramètres!$A$1:$I$89,5,0)</f>
        <v>-5.1875304052373401E-13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413.81510455446738</v>
      </c>
      <c r="AO200" s="59">
        <f t="shared" si="205"/>
        <v>254.25036207346602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30.338204292293327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30.338204292293327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-1.1368683772161603E-13</v>
      </c>
      <c r="BE200" s="13">
        <f>BD200*VLOOKUP('Données projet'!$B$11,Paramètres!$A$1:$I$89,3,0)*VLOOKUP('Données projet'!$B$11,Paramètres!$A$1:$I$89,5,0)</f>
        <v>-1.0995790944434703E-13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295.35565287134125</v>
      </c>
      <c r="BJ200" s="59">
        <f t="shared" si="206"/>
        <v>244.451492444461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8.9693171509599274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8.9693171509599274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-1.1368683772161603E-13</v>
      </c>
      <c r="BZ200" s="13">
        <f>BY200*VLOOKUP('Données projet'!$B$12,Paramètres!$A$1:$I$89,3,0)*VLOOKUP('Données projet'!$B$12,Paramètres!$A$1:$I$89,5,0)</f>
        <v>-1.223725121235475E-13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324.61094137855798</v>
      </c>
      <c r="CE200" s="59">
        <f t="shared" si="207"/>
        <v>267.2998309535638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9.9819819905844298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9.9819819905844298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2.8421709430404007E-13</v>
      </c>
      <c r="CU200" s="17">
        <f>CT200*VLOOKUP('Données projet'!$B$13,Paramètres!$A$1:$I$89,3,0)*VLOOKUP('Données projet'!$B$13,Paramètres!$A$1:$I$89,5,0)</f>
        <v>1.69961822393816E-13</v>
      </c>
      <c r="CV200" s="13">
        <f t="shared" si="173"/>
        <v>2.4004382776176369E-12</v>
      </c>
      <c r="CW200" s="20">
        <f t="shared" si="174"/>
        <v>4.4767801741866136E-12</v>
      </c>
      <c r="CX200" s="59">
        <f t="shared" si="196"/>
        <v>293.33333333333781</v>
      </c>
      <c r="CY200" s="59">
        <f ca="1">AVERAGE(OFFSET($CX$3,0,0,'Données projet'!$E$13+1,1))-AVERAGE(OFFSET($H$3,0,0,'Données projet'!$E$13+1,1))</f>
        <v>319.9010109022521</v>
      </c>
      <c r="CZ200" s="59">
        <f t="shared" si="208"/>
        <v>441.82647565372287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8.04052688810558</v>
      </c>
      <c r="DG200" s="21">
        <f>EXP(-LN(2)/25)*DG199+(1-EXP(-LN(2)/25))/(LN(2)/25)*Calculateur!DB200*Calculateur!DD200*VLOOKUP('Données projet'!$B$13,Paramètres!$A$1:$I$89,3,0)*0.475*44/12</f>
        <v>1.1678180864564029</v>
      </c>
      <c r="DH200" s="21">
        <f>EXP(-LN(2)/2)*DH199+(1-EXP(-LN(2)/2))/(LN(2)/2)*DB200*DE200*VLOOKUP('Données projet'!$B$13,Paramètres!$A$1:$I$89,3,0)*0.475*44/12</f>
        <v>4.7901671635075386E-21</v>
      </c>
      <c r="DI200" s="22">
        <f t="shared" si="175"/>
        <v>9.2083449745619834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>
        <f>DO200*VLOOKUP('Données projet'!$B$14,Paramètres!$A$1:$I$89,3,0)*VLOOKUP('Données projet'!$B$14,Paramètres!$A$1:$I$89,5,0)</f>
        <v>0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229.61973863654862</v>
      </c>
      <c r="DU200" s="59">
        <f t="shared" si="209"/>
        <v>254.08208375594052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7.1117870073971385</v>
      </c>
      <c r="EB200" s="21">
        <f>EXP(-LN(2)/25)*EB199+(1-EXP(-LN(2)/25))/(LN(2)/25)*Calculateur!DW200*Calculateur!DY200*VLOOKUP('Données projet'!$B$14,Paramètres!$A$1:$I$89,3,0)*0.475*44/12</f>
        <v>1.120662309060962</v>
      </c>
      <c r="EC200" s="21">
        <f>EXP(-LN(2)/2)*EC199+(1-EXP(-LN(2)/2))/(LN(2)/2)*DW200*DZ200*VLOOKUP('Données projet'!$B$14,Paramètres!$A$1:$I$89,3,0)*0.475*44/12</f>
        <v>1.0793385460732652E-19</v>
      </c>
      <c r="ED200" s="22">
        <f t="shared" si="178"/>
        <v>8.2324493164581014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-5.1159076974727213E-13</v>
      </c>
      <c r="O201" s="13">
        <f>N201*VLOOKUP('Données projet'!$B$9,Paramètres!$A$1:$I$89,3,0)*VLOOKUP('Données projet'!$B$9,Paramètres!$A$1:$I$89,5,0)</f>
        <v>-4.6288732846733184E-13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373.59295497283125</v>
      </c>
      <c r="T201" s="59">
        <f t="shared" si="204"/>
        <v>231.36959598460686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26.540167006380571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26.540167006380571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-5.1159076974727213E-13</v>
      </c>
      <c r="AJ201" s="13">
        <f>AI201*VLOOKUP('Données projet'!$B$10,Paramètres!$A$1:$I$89,3,0)*VLOOKUP('Données projet'!$B$10,Paramètres!$A$1:$I$89,5,0)</f>
        <v>-5.1875304052373401E-13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413.81510455446738</v>
      </c>
      <c r="AO201" s="59">
        <f t="shared" si="205"/>
        <v>254.25036207346602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29.743290610598908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29.743290610598908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-1.1368683772161603E-13</v>
      </c>
      <c r="BE201" s="13">
        <f>BD201*VLOOKUP('Données projet'!$B$11,Paramètres!$A$1:$I$89,3,0)*VLOOKUP('Données projet'!$B$11,Paramètres!$A$1:$I$89,5,0)</f>
        <v>-1.0995790944434703E-13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295.35565287134125</v>
      </c>
      <c r="BJ201" s="59">
        <f t="shared" si="206"/>
        <v>244.451492444461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8.7934343123728738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8.7934343123728738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-1.1368683772161603E-13</v>
      </c>
      <c r="BZ201" s="13">
        <f>BY201*VLOOKUP('Données projet'!$B$12,Paramètres!$A$1:$I$89,3,0)*VLOOKUP('Données projet'!$B$12,Paramètres!$A$1:$I$89,5,0)</f>
        <v>-1.223725121235475E-13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324.61094137855798</v>
      </c>
      <c r="CE201" s="59">
        <f t="shared" si="207"/>
        <v>267.2998309535638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9.7862414121569028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9.7862414121569028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2.8421709430404007E-13</v>
      </c>
      <c r="CU201" s="17">
        <f>CT201*VLOOKUP('Données projet'!$B$13,Paramètres!$A$1:$I$89,3,0)*VLOOKUP('Données projet'!$B$13,Paramètres!$A$1:$I$89,5,0)</f>
        <v>1.69961822393816E-13</v>
      </c>
      <c r="CV201" s="13">
        <f t="shared" si="173"/>
        <v>2.4004382776176369E-12</v>
      </c>
      <c r="CW201" s="20">
        <f t="shared" si="174"/>
        <v>4.4767801741866136E-12</v>
      </c>
      <c r="CX201" s="59">
        <f t="shared" si="196"/>
        <v>293.33333333333781</v>
      </c>
      <c r="CY201" s="59">
        <f ca="1">AVERAGE(OFFSET($CX$3,0,0,'Données projet'!$E$13+1,1))-AVERAGE(OFFSET($H$3,0,0,'Données projet'!$E$13+1,1))</f>
        <v>319.9010109022521</v>
      </c>
      <c r="CZ201" s="59">
        <f t="shared" si="208"/>
        <v>441.82647565372287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7.8828570600669785</v>
      </c>
      <c r="DG201" s="21">
        <f>EXP(-LN(2)/25)*DG200+(1-EXP(-LN(2)/25))/(LN(2)/25)*Calculateur!DB201*Calculateur!DD201*VLOOKUP('Données projet'!$B$13,Paramètres!$A$1:$I$89,3,0)*0.475*44/12</f>
        <v>1.1358840394693686</v>
      </c>
      <c r="DH201" s="21">
        <f>EXP(-LN(2)/2)*DH200+(1-EXP(-LN(2)/2))/(LN(2)/2)*DB201*DE201*VLOOKUP('Données projet'!$B$13,Paramètres!$A$1:$I$89,3,0)*0.475*44/12</f>
        <v>3.3871596843333104E-21</v>
      </c>
      <c r="DI201" s="22">
        <f t="shared" si="175"/>
        <v>9.0187410995363475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>
        <f>DO201*VLOOKUP('Données projet'!$B$14,Paramètres!$A$1:$I$89,3,0)*VLOOKUP('Données projet'!$B$14,Paramètres!$A$1:$I$89,5,0)</f>
        <v>0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229.61973863654862</v>
      </c>
      <c r="DU201" s="59">
        <f t="shared" si="209"/>
        <v>254.08208375594052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6.972329201943837</v>
      </c>
      <c r="EB201" s="21">
        <f>EXP(-LN(2)/25)*EB200+(1-EXP(-LN(2)/25))/(LN(2)/25)*Calculateur!DW201*Calculateur!DY201*VLOOKUP('Données projet'!$B$14,Paramètres!$A$1:$I$89,3,0)*0.475*44/12</f>
        <v>1.0900177392866204</v>
      </c>
      <c r="EC201" s="21">
        <f>EXP(-LN(2)/2)*EC200+(1-EXP(-LN(2)/2))/(LN(2)/2)*DW201*DZ201*VLOOKUP('Données projet'!$B$14,Paramètres!$A$1:$I$89,3,0)*0.475*44/12</f>
        <v>7.6320760512443477E-20</v>
      </c>
      <c r="ED201" s="22">
        <f t="shared" si="178"/>
        <v>8.0623469412304569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-5.1159076974727213E-13</v>
      </c>
      <c r="O202" s="13">
        <f>N202*VLOOKUP('Données projet'!$B$9,Paramètres!$A$1:$I$89,3,0)*VLOOKUP('Données projet'!$B$9,Paramètres!$A$1:$I$89,5,0)</f>
        <v>-4.6288732846733184E-13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373.59295497283125</v>
      </c>
      <c r="T202" s="59">
        <f t="shared" si="204"/>
        <v>231.36959598460686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26.019730519288899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26.019730519288899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-5.1159076974727213E-13</v>
      </c>
      <c r="AJ202" s="13">
        <f>AI202*VLOOKUP('Données projet'!$B$10,Paramètres!$A$1:$I$89,3,0)*VLOOKUP('Données projet'!$B$10,Paramètres!$A$1:$I$89,5,0)</f>
        <v>-5.1875304052373401E-13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413.81510455446738</v>
      </c>
      <c r="AO202" s="59">
        <f t="shared" si="205"/>
        <v>254.25036207346602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29.160042823341001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29.160042823341001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-1.1368683772161603E-13</v>
      </c>
      <c r="BE202" s="13">
        <f>BD202*VLOOKUP('Données projet'!$B$11,Paramètres!$A$1:$I$89,3,0)*VLOOKUP('Données projet'!$B$11,Paramètres!$A$1:$I$89,5,0)</f>
        <v>-1.0995790944434703E-13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295.35565287134125</v>
      </c>
      <c r="BJ202" s="59">
        <f t="shared" si="206"/>
        <v>244.451492444461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8.6210004289725735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8.6210004289725735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-1.1368683772161603E-13</v>
      </c>
      <c r="BZ202" s="13">
        <f>BY202*VLOOKUP('Données projet'!$B$12,Paramètres!$A$1:$I$89,3,0)*VLOOKUP('Données projet'!$B$12,Paramètres!$A$1:$I$89,5,0)</f>
        <v>-1.223725121235475E-13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324.61094137855798</v>
      </c>
      <c r="CE202" s="59">
        <f t="shared" si="207"/>
        <v>267.2998309535638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9.594339187082376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9.594339187082376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2.8421709430404007E-13</v>
      </c>
      <c r="CU202" s="17">
        <f>CT202*VLOOKUP('Données projet'!$B$13,Paramètres!$A$1:$I$89,3,0)*VLOOKUP('Données projet'!$B$13,Paramètres!$A$1:$I$89,5,0)</f>
        <v>1.69961822393816E-13</v>
      </c>
      <c r="CV202" s="13">
        <f t="shared" si="173"/>
        <v>2.4004382776176369E-12</v>
      </c>
      <c r="CW202" s="20">
        <f t="shared" si="174"/>
        <v>4.4767801741866136E-12</v>
      </c>
      <c r="CX202" s="59">
        <f t="shared" si="196"/>
        <v>293.33333333333781</v>
      </c>
      <c r="CY202" s="59">
        <f ca="1">AVERAGE(OFFSET($CX$3,0,0,'Données projet'!$E$13+1,1))-AVERAGE(OFFSET($H$3,0,0,'Données projet'!$E$13+1,1))</f>
        <v>319.9010109022521</v>
      </c>
      <c r="CZ202" s="59">
        <f t="shared" si="208"/>
        <v>441.82647565372287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7.7282790411871147</v>
      </c>
      <c r="DG202" s="21">
        <f>EXP(-LN(2)/25)*DG201+(1-EXP(-LN(2)/25))/(LN(2)/25)*Calculateur!DB202*Calculateur!DD202*VLOOKUP('Données projet'!$B$13,Paramètres!$A$1:$I$89,3,0)*0.475*44/12</f>
        <v>1.1048232306765331</v>
      </c>
      <c r="DH202" s="21">
        <f>EXP(-LN(2)/2)*DH201+(1-EXP(-LN(2)/2))/(LN(2)/2)*DB202*DE202*VLOOKUP('Données projet'!$B$13,Paramètres!$A$1:$I$89,3,0)*0.475*44/12</f>
        <v>2.3950835817537697E-21</v>
      </c>
      <c r="DI202" s="22">
        <f t="shared" si="175"/>
        <v>8.8331022718636483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>
        <f>DO202*VLOOKUP('Données projet'!$B$14,Paramètres!$A$1:$I$89,3,0)*VLOOKUP('Données projet'!$B$14,Paramètres!$A$1:$I$89,5,0)</f>
        <v>0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229.61973863654862</v>
      </c>
      <c r="DU202" s="59">
        <f t="shared" si="209"/>
        <v>254.08208375594052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6.835606078994612</v>
      </c>
      <c r="EB202" s="21">
        <f>EXP(-LN(2)/25)*EB201+(1-EXP(-LN(2)/25))/(LN(2)/25)*Calculateur!DW202*Calculateur!DY202*VLOOKUP('Données projet'!$B$14,Paramètres!$A$1:$I$89,3,0)*0.475*44/12</f>
        <v>1.0602111468842861</v>
      </c>
      <c r="EC202" s="21">
        <f>EXP(-LN(2)/2)*EC201+(1-EXP(-LN(2)/2))/(LN(2)/2)*DW202*DZ202*VLOOKUP('Données projet'!$B$14,Paramètres!$A$1:$I$89,3,0)*0.475*44/12</f>
        <v>5.3966927303663271E-20</v>
      </c>
      <c r="ED202" s="22">
        <f t="shared" si="178"/>
        <v>7.8958172258788979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-5.1159076974727213E-13</v>
      </c>
      <c r="O203" s="13">
        <f>N203*VLOOKUP('Données projet'!$B$9,Paramètres!$A$1:$I$89,3,0)*VLOOKUP('Données projet'!$B$9,Paramètres!$A$1:$I$89,5,0)</f>
        <v>-4.6288732846733184E-13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373.59295497283125</v>
      </c>
      <c r="T203" s="59">
        <f t="shared" si="204"/>
        <v>231.36959598460686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25.509499474274183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25.509499474274183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-5.1159076974727213E-13</v>
      </c>
      <c r="AJ203" s="13">
        <f>AI203*VLOOKUP('Données projet'!$B$10,Paramètres!$A$1:$I$89,3,0)*VLOOKUP('Données projet'!$B$10,Paramètres!$A$1:$I$89,5,0)</f>
        <v>-5.1875304052373401E-13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413.81510455446738</v>
      </c>
      <c r="AO203" s="59">
        <f t="shared" si="205"/>
        <v>254.25036207346602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28.588232169445199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28.588232169445199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-1.1368683772161603E-13</v>
      </c>
      <c r="BE203" s="13">
        <f>BD203*VLOOKUP('Données projet'!$B$11,Paramètres!$A$1:$I$89,3,0)*VLOOKUP('Données projet'!$B$11,Paramètres!$A$1:$I$89,5,0)</f>
        <v>-1.0995790944434703E-13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295.35565287134125</v>
      </c>
      <c r="BJ203" s="59">
        <f t="shared" si="206"/>
        <v>244.451492444461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8.4519478688514695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8.4519478688514695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-1.1368683772161603E-13</v>
      </c>
      <c r="BZ203" s="13">
        <f>BY203*VLOOKUP('Données projet'!$B$12,Paramètres!$A$1:$I$89,3,0)*VLOOKUP('Données projet'!$B$12,Paramètres!$A$1:$I$89,5,0)</f>
        <v>-1.223725121235475E-13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324.61094137855798</v>
      </c>
      <c r="CE203" s="59">
        <f t="shared" si="207"/>
        <v>267.2998309535638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9.4062000475927601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9.4062000475927601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2.8421709430404007E-13</v>
      </c>
      <c r="CU203" s="17">
        <f>CT203*VLOOKUP('Données projet'!$B$13,Paramètres!$A$1:$I$89,3,0)*VLOOKUP('Données projet'!$B$13,Paramètres!$A$1:$I$89,5,0)</f>
        <v>1.69961822393816E-13</v>
      </c>
      <c r="CV203" s="13">
        <f t="shared" si="173"/>
        <v>2.4004382776176369E-12</v>
      </c>
      <c r="CW203" s="20">
        <f t="shared" si="174"/>
        <v>4.4767801741866136E-12</v>
      </c>
      <c r="CX203" s="59">
        <f t="shared" si="196"/>
        <v>293.33333333333781</v>
      </c>
      <c r="CY203" s="59">
        <f ca="1">AVERAGE(OFFSET($CX$3,0,0,'Données projet'!$E$13+1,1))-AVERAGE(OFFSET($H$3,0,0,'Données projet'!$E$13+1,1))</f>
        <v>319.9010109022521</v>
      </c>
      <c r="CZ203" s="59">
        <f t="shared" si="208"/>
        <v>441.82647565372287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7.5767322029742026</v>
      </c>
      <c r="DG203" s="21">
        <f>EXP(-LN(2)/25)*DG202+(1-EXP(-LN(2)/25))/(LN(2)/25)*Calculateur!DB203*Calculateur!DD203*VLOOKUP('Données projet'!$B$13,Paramètres!$A$1:$I$89,3,0)*0.475*44/12</f>
        <v>1.0746117813335547</v>
      </c>
      <c r="DH203" s="21">
        <f>EXP(-LN(2)/2)*DH202+(1-EXP(-LN(2)/2))/(LN(2)/2)*DB203*DE203*VLOOKUP('Données projet'!$B$13,Paramètres!$A$1:$I$89,3,0)*0.475*44/12</f>
        <v>1.6935798421666554E-21</v>
      </c>
      <c r="DI203" s="22">
        <f t="shared" si="175"/>
        <v>8.6513439843077578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>
        <f>DO203*VLOOKUP('Données projet'!$B$14,Paramètres!$A$1:$I$89,3,0)*VLOOKUP('Données projet'!$B$14,Paramètres!$A$1:$I$89,5,0)</f>
        <v>0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229.61973863654862</v>
      </c>
      <c r="DU203" s="59">
        <f t="shared" si="209"/>
        <v>254.08208375594052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6.7015640130935505</v>
      </c>
      <c r="EB203" s="21">
        <f>EXP(-LN(2)/25)*EB202+(1-EXP(-LN(2)/25))/(LN(2)/25)*Calculateur!DW203*Calculateur!DY203*VLOOKUP('Données projet'!$B$14,Paramètres!$A$1:$I$89,3,0)*0.475*44/12</f>
        <v>1.0312196173186543</v>
      </c>
      <c r="EC203" s="21">
        <f>EXP(-LN(2)/2)*EC202+(1-EXP(-LN(2)/2))/(LN(2)/2)*DW203*DZ203*VLOOKUP('Données projet'!$B$14,Paramètres!$A$1:$I$89,3,0)*0.475*44/12</f>
        <v>3.8160380256221745E-20</v>
      </c>
      <c r="ED203" s="22">
        <f t="shared" si="178"/>
        <v>7.7327836304122046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1.2054868146447177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1.2054868146447177</v>
      </c>
      <c r="BA205" s="82">
        <f>EXP(LN('Données projet'!B88)/'Données projet'!A88)</f>
        <v>1.2054868146447177</v>
      </c>
      <c r="BV205" s="82">
        <f>EXP(LN('Données projet'!B114)/'Données projet'!A114)</f>
        <v>1.2054868146447177</v>
      </c>
      <c r="CQ205" s="82">
        <f>EXP(LN('Données projet'!B140)/'Données projet'!A140)</f>
        <v>1.3680212568593273</v>
      </c>
      <c r="DL205" s="82">
        <f>EXP(LN('Données projet'!B166)/'Données projet'!A166)</f>
        <v>1.2802842468510145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14" zoomScale="90" zoomScaleNormal="90" workbookViewId="0">
      <selection activeCell="M1" sqref="M1"/>
    </sheetView>
  </sheetViews>
  <sheetFormatPr baseColWidth="10" defaultColWidth="11.42578125" defaultRowHeight="15" x14ac:dyDescent="0.25"/>
  <cols>
    <col min="1" max="1" width="22.85546875" style="1" bestFit="1" customWidth="1"/>
    <col min="2" max="2" width="10.42578125" style="1" bestFit="1" customWidth="1"/>
    <col min="3" max="3" width="15.42578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Chêne sessile</v>
      </c>
      <c r="B6" s="146">
        <f>'Données projet'!D9</f>
        <v>2.1334212644999999</v>
      </c>
      <c r="C6" s="147">
        <f ca="1">IF(OR('Données projet'!B9="",'Données projet'!C9="",'Données projet'!C9=0%),0,Calculateur!S3)</f>
        <v>373.59295497283125</v>
      </c>
      <c r="D6" s="147">
        <f>IF(OR('Données projet'!B9="",'Données projet'!C9="",'Données projet'!C9=0%),0,Calculateur!T3)</f>
        <v>231.36959598460686</v>
      </c>
      <c r="E6" s="147">
        <f ca="1">MIN(C6,D6)</f>
        <v>231.36959598460686</v>
      </c>
      <c r="F6" s="147">
        <f ca="1">E6*B6</f>
        <v>493.60881603233406</v>
      </c>
      <c r="G6" s="147">
        <f ca="1">F6*(100%-'Données projet'!$C$24)*(100%-'Données projet'!$C$25)*(100%-'Données projet'!$C$26)*(100%-'Données projet'!$C$27)</f>
        <v>444.24793442910067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444.24793442910067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 pubescent</v>
      </c>
      <c r="B7" s="154">
        <f>'Données projet'!D10</f>
        <v>2.8016208060000003</v>
      </c>
      <c r="C7" s="147">
        <f ca="1">IF(OR('Données projet'!B10="",'Données projet'!C10="",'Données projet'!C10=0%),0,Calculateur!AN3)</f>
        <v>413.81510455446738</v>
      </c>
      <c r="D7" s="147">
        <f>IF(OR('Données projet'!B10="",'Données projet'!C10="",'Données projet'!C10=0%),0,Calculateur!AO3)</f>
        <v>254.25036207346602</v>
      </c>
      <c r="E7" s="147">
        <f t="shared" ref="E7:E15" ca="1" si="0">MIN(C7,D7)</f>
        <v>254.25036207346602</v>
      </c>
      <c r="F7" s="147">
        <f t="shared" ref="F7:F15" ca="1" si="1">E7*B7</f>
        <v>712.31310431805582</v>
      </c>
      <c r="G7" s="147">
        <f ca="1">F7*(100%-'Données projet'!$C$24)*(100%-'Données projet'!$C$25)*(100%-'Données projet'!$C$26)*(100%-'Données projet'!$C$27)</f>
        <v>641.08179388625024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641.08179388625024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Alisier torminal</v>
      </c>
      <c r="B8" s="154">
        <f>'Données projet'!D11</f>
        <v>0.61158742350000006</v>
      </c>
      <c r="C8" s="147">
        <f ca="1">IF(OR('Données projet'!B11="",'Données projet'!C11="",'Données projet'!C11=0%),0,Calculateur!BI3)</f>
        <v>295.35565287134125</v>
      </c>
      <c r="D8" s="147">
        <f>IF(OR('Données projet'!B11="",'Données projet'!C11="",'Données projet'!C11=0%),0,Calculateur!BJ3)</f>
        <v>244.451492444461</v>
      </c>
      <c r="E8" s="147">
        <f t="shared" ca="1" si="0"/>
        <v>244.451492444461</v>
      </c>
      <c r="F8" s="147">
        <f t="shared" ca="1" si="1"/>
        <v>149.50345843483763</v>
      </c>
      <c r="G8" s="147">
        <f ca="1">F8*(100%-'Données projet'!$C$24)*(100%-'Données projet'!$C$25)*(100%-'Données projet'!$C$26)*(100%-'Données projet'!$C$27)</f>
        <v>134.55311259135388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134.55311259135388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Cormier</v>
      </c>
      <c r="B9" s="154">
        <f>'Données projet'!D12</f>
        <v>0.61158742350000006</v>
      </c>
      <c r="C9" s="147">
        <f ca="1">IF(OR('Données projet'!B12="",'Données projet'!C12="",'Données projet'!C12=0%),0,Calculateur!CD3)</f>
        <v>324.61094137855798</v>
      </c>
      <c r="D9" s="147">
        <f>IF(OR('Données projet'!B12="",'Données projet'!C12="",'Données projet'!C12=0%),0,Calculateur!CE3)</f>
        <v>267.2998309535638</v>
      </c>
      <c r="E9" s="147">
        <f t="shared" ca="1" si="0"/>
        <v>267.2998309535638</v>
      </c>
      <c r="F9" s="147">
        <f t="shared" ca="1" si="1"/>
        <v>163.47721491487565</v>
      </c>
      <c r="G9" s="147">
        <f ca="1">F9*(100%-'Données projet'!$C$24)*(100%-'Données projet'!$C$25)*(100%-'Données projet'!$C$26)*(100%-'Données projet'!$C$27)</f>
        <v>147.12949342338808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147.12949342338808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Pin laricio</v>
      </c>
      <c r="B10" s="154">
        <f>'Données projet'!D13</f>
        <v>0.72455944649999993</v>
      </c>
      <c r="C10" s="147">
        <f ca="1">IF(OR('Données projet'!B13="",'Données projet'!C13="",'Données projet'!C13=0%),0,Calculateur!CY3)</f>
        <v>319.9010109022521</v>
      </c>
      <c r="D10" s="147">
        <f>IF(OR('Données projet'!B13="",'Données projet'!C13="",'Données projet'!C13=0%),0,Calculateur!CZ3)</f>
        <v>441.82647565372287</v>
      </c>
      <c r="E10" s="147">
        <f t="shared" ca="1" si="0"/>
        <v>319.9010109022521</v>
      </c>
      <c r="F10" s="147">
        <f t="shared" ca="1" si="1"/>
        <v>231.78729939412622</v>
      </c>
      <c r="G10" s="147">
        <f ca="1">F10*(100%-'Données projet'!$C$24)*(100%-'Données projet'!$C$25)*(100%-'Données projet'!$C$26)*(100%-'Données projet'!$C$27)</f>
        <v>208.6085694547136</v>
      </c>
      <c r="H10" s="155">
        <f>IF(OR('Données projet'!B13="",'Données projet'!C13="",'Données projet'!C13=0%),0,AVERAGE(Calculateur!$DI$3:$DI$33)*B10)</f>
        <v>9.3688734868265353</v>
      </c>
      <c r="I10" s="149">
        <f>H10*(100%-'Données projet'!$C$24)*(100%-'Données projet'!$C$25)*(100%-'Données projet'!$C$26)*(100%-'Données projet'!$C$27)</f>
        <v>8.4319861381438823</v>
      </c>
      <c r="J10" s="150">
        <f>IF(OR('Données projet'!B13="",'Données projet'!C13="",'Données projet'!C13=0%),0,SUM(Calculateur!$DB$3:$DB$33)*VLOOKUP('Données projet'!$B$13,Paramètres!$A$1:$I$89,9,0)*B10)</f>
        <v>63.246794084984991</v>
      </c>
      <c r="K10" s="151">
        <f>J10*(100%-'Données projet'!$C$24)*(100%-'Données projet'!$C$25)*(100%-'Données projet'!$C$26)*(100%-'Données projet'!$C$27)</f>
        <v>56.922114676486494</v>
      </c>
      <c r="L10" s="152">
        <f t="shared" ca="1" si="2"/>
        <v>273.96267026934396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Cèdre de l'Atlas</v>
      </c>
      <c r="B11" s="154">
        <f>'Données projet'!D14</f>
        <v>2.8177236360000002</v>
      </c>
      <c r="C11" s="147">
        <f ca="1">IF(OR('Données projet'!B14="",'Données projet'!C14="",'Données projet'!C14=0%),0,Calculateur!DT3)</f>
        <v>229.61973863654862</v>
      </c>
      <c r="D11" s="147">
        <f>IF(OR('Données projet'!B14="",'Données projet'!C14="",'Données projet'!C14=0%),0,Calculateur!DU3)</f>
        <v>254.08208375594052</v>
      </c>
      <c r="E11" s="147">
        <f t="shared" ca="1" si="0"/>
        <v>229.61973863654862</v>
      </c>
      <c r="F11" s="147">
        <f t="shared" ca="1" si="1"/>
        <v>647.00496484834548</v>
      </c>
      <c r="G11" s="147">
        <f ca="1">F11*(100%-'Données projet'!$C$24)*(100%-'Données projet'!$C$25)*(100%-'Données projet'!$C$26)*(100%-'Données projet'!$C$27)</f>
        <v>582.30446836351098</v>
      </c>
      <c r="H11" s="155">
        <f>IF(OR('Données projet'!B14="",'Données projet'!C14="",'Données projet'!C14=0%),0,AVERAGE(Calculateur!$ED$3:$ED$33)*B11)</f>
        <v>11.505789529528887</v>
      </c>
      <c r="I11" s="149">
        <f>H11*(100%-'Données projet'!$C$24)*(100%-'Données projet'!$C$25)*(100%-'Données projet'!$C$26)*(100%-'Données projet'!$C$27)</f>
        <v>10.355210576575999</v>
      </c>
      <c r="J11" s="150">
        <f>IF(OR('Données projet'!B14="",'Données projet'!C14="",'Données projet'!C14=0%),0,SUM(Calculateur!$DW$3:$DW$33)*VLOOKUP('Données projet'!$B$14,Paramètres!$A$1:$I$89,9,0)*B11)</f>
        <v>109.04590471320002</v>
      </c>
      <c r="K11" s="151">
        <f>J11*(100%-'Données projet'!$C$24)*(100%-'Données projet'!$C$25)*(100%-'Données projet'!$C$26)*(100%-'Données projet'!$C$27)</f>
        <v>98.141314241880011</v>
      </c>
      <c r="L11" s="152">
        <f t="shared" ca="1" si="2"/>
        <v>690.80099318196699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8"/>
      <c r="B16" s="212"/>
      <c r="C16" s="213"/>
      <c r="D16" s="23"/>
      <c r="E16" s="23"/>
      <c r="F16" s="165">
        <f t="shared" ref="F16:L16" ca="1" si="3">SUM(F6:F15)</f>
        <v>2397.6948579425753</v>
      </c>
      <c r="G16" s="166">
        <f t="shared" ca="1" si="3"/>
        <v>2157.9253721483174</v>
      </c>
      <c r="H16" s="167">
        <f t="shared" si="3"/>
        <v>20.87466301635542</v>
      </c>
      <c r="I16" s="167">
        <f t="shared" si="3"/>
        <v>18.787196714719883</v>
      </c>
      <c r="J16" s="168">
        <f t="shared" si="3"/>
        <v>172.292698798185</v>
      </c>
      <c r="K16" s="168">
        <f t="shared" si="3"/>
        <v>155.0634289183665</v>
      </c>
      <c r="L16" s="169">
        <f t="shared" ca="1" si="3"/>
        <v>2331.7759977814039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Alisier torminal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Cormier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Pin laricio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Cèdre de l'Atlas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J10" zoomScaleNormal="80" workbookViewId="0">
      <selection activeCell="G162" sqref="G16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42578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7" t="s">
        <v>315</v>
      </c>
      <c r="I4" s="257"/>
      <c r="K4" s="299" t="s">
        <v>253</v>
      </c>
      <c r="L4" s="300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1" t="s">
        <v>310</v>
      </c>
      <c r="S7" s="292"/>
      <c r="T7" s="292"/>
      <c r="U7" s="292"/>
      <c r="V7" s="29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-1064.7520455147285</v>
      </c>
      <c r="U10" s="178">
        <f>'Données projet'!D9</f>
        <v>2.1334212644999999</v>
      </c>
      <c r="V10" s="177">
        <f>U10*T10</f>
        <v>-2271.5646553209936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>Chêne pubescent</v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-1422.6038309702192</v>
      </c>
      <c r="U11" s="178">
        <f>'Données projet'!D10</f>
        <v>2.8016208060000003</v>
      </c>
      <c r="V11" s="177">
        <f t="shared" ref="V11" si="0">U11*T11</f>
        <v>-3985.5964915414738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>Alisier torminal</v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-853.40306848224191</v>
      </c>
      <c r="U12" s="178">
        <f>'Données projet'!D11</f>
        <v>0.61158742350000006</v>
      </c>
      <c r="V12" s="177">
        <f t="shared" ref="V12:V19" si="1">U12*T12</f>
        <v>-521.93058386004839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>Cormier</v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-3320.0866091277012</v>
      </c>
      <c r="U13" s="178">
        <f>'Données projet'!D12</f>
        <v>0.61158742350000006</v>
      </c>
      <c r="V13" s="177">
        <f t="shared" si="1"/>
        <v>-2030.5232150732625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>Pin laricio</v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2574.2128198651399</v>
      </c>
      <c r="U14" s="178">
        <f>'Données projet'!D13</f>
        <v>0.72455944649999993</v>
      </c>
      <c r="V14" s="177">
        <f t="shared" si="1"/>
        <v>1865.1702159346898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29"/>
      <c r="G15" s="302" t="s">
        <v>318</v>
      </c>
      <c r="H15" s="190">
        <v>1</v>
      </c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>Cèdre de l'Atlas</v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-799.52374218282716</v>
      </c>
      <c r="U15" s="178">
        <f>'Données projet'!D14</f>
        <v>2.8177236360000002</v>
      </c>
      <c r="V15" s="177">
        <f t="shared" si="1"/>
        <v>-2252.8369458917223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302"/>
      <c r="H16" s="190"/>
      <c r="I16" s="191"/>
      <c r="J16" s="201"/>
      <c r="K16" s="207"/>
      <c r="L16" s="299" t="s">
        <v>254</v>
      </c>
      <c r="M16" s="300"/>
      <c r="N16" s="2">
        <v>30</v>
      </c>
      <c r="O16" s="23"/>
      <c r="P16" s="23"/>
      <c r="Q16" s="233"/>
      <c r="R16" s="23"/>
      <c r="S16" s="36" t="str">
        <f>B200</f>
        <v/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8" t="s">
        <v>132</v>
      </c>
      <c r="C17" s="197" t="s">
        <v>132</v>
      </c>
      <c r="D17" s="196" t="s">
        <v>132</v>
      </c>
      <c r="E17" s="193">
        <f>2621.04</f>
        <v>2621.04</v>
      </c>
      <c r="F17" s="229"/>
      <c r="G17" s="302"/>
      <c r="J17" s="201"/>
      <c r="K17" s="207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8" t="s">
        <v>132</v>
      </c>
      <c r="C18" s="197" t="s">
        <v>132</v>
      </c>
      <c r="D18" s="196" t="s">
        <v>132</v>
      </c>
      <c r="E18" s="193"/>
      <c r="F18" s="229"/>
      <c r="G18" s="302"/>
      <c r="J18" s="201"/>
      <c r="K18" s="207"/>
      <c r="L18" s="259" t="s">
        <v>255</v>
      </c>
      <c r="M18" s="261"/>
      <c r="N18" s="192">
        <v>10</v>
      </c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8" t="s">
        <v>132</v>
      </c>
      <c r="C19" s="197" t="s">
        <v>132</v>
      </c>
      <c r="D19" s="196" t="s">
        <v>132</v>
      </c>
      <c r="E19" s="193"/>
      <c r="F19" s="229"/>
      <c r="G19" s="302"/>
      <c r="H19" s="211" t="s">
        <v>178</v>
      </c>
      <c r="I19" s="211" t="s">
        <v>287</v>
      </c>
      <c r="J19" s="93"/>
      <c r="K19" s="173"/>
      <c r="L19" s="299" t="s">
        <v>288</v>
      </c>
      <c r="M19" s="300"/>
      <c r="N19" s="179">
        <f>N17*N18</f>
        <v>0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8" t="s">
        <v>132</v>
      </c>
      <c r="C20" s="197" t="s">
        <v>132</v>
      </c>
      <c r="D20" s="196" t="s">
        <v>132</v>
      </c>
      <c r="E20" s="193"/>
      <c r="F20" s="229"/>
      <c r="G20" s="302"/>
      <c r="H20" s="190">
        <v>0</v>
      </c>
      <c r="I20" s="191">
        <f>810+461.86</f>
        <v>1271.8600000000001</v>
      </c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8" t="s">
        <v>132</v>
      </c>
      <c r="C21" s="197" t="s">
        <v>132</v>
      </c>
      <c r="D21" s="196" t="s">
        <v>132</v>
      </c>
      <c r="E21" s="193"/>
      <c r="F21" s="229"/>
      <c r="H21" s="190">
        <v>1</v>
      </c>
      <c r="I21" s="191">
        <v>1199.23</v>
      </c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8" t="s">
        <v>132</v>
      </c>
      <c r="C22" s="197" t="s">
        <v>132</v>
      </c>
      <c r="D22" s="196" t="s">
        <v>132</v>
      </c>
      <c r="E22" s="193"/>
      <c r="F22" s="229"/>
      <c r="H22" s="190">
        <v>2</v>
      </c>
      <c r="I22" s="191">
        <v>530</v>
      </c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20</v>
      </c>
      <c r="B23" s="181">
        <f>'Données projet'!D36</f>
        <v>0</v>
      </c>
      <c r="C23" s="193">
        <f>225*'Données projet'!E36+13.8*('Données projet'!F36+'Données projet'!G36)+10*'Données projet'!G36</f>
        <v>0</v>
      </c>
      <c r="D23" s="182">
        <f>B23*C23</f>
        <v>0</v>
      </c>
      <c r="E23" s="193"/>
      <c r="F23" s="229"/>
      <c r="H23" s="190">
        <v>3</v>
      </c>
      <c r="I23" s="191">
        <v>335</v>
      </c>
      <c r="K23" s="207"/>
      <c r="L23" s="301" t="s">
        <v>260</v>
      </c>
      <c r="M23" s="301"/>
      <c r="N23" s="301"/>
      <c r="O23" s="23"/>
      <c r="P23" s="23"/>
      <c r="Q23" s="233"/>
      <c r="R23" s="23"/>
      <c r="S23" s="36" t="s">
        <v>264</v>
      </c>
      <c r="T23" s="29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-40222.824954757431</v>
      </c>
      <c r="U23" s="296"/>
      <c r="V23" s="29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25</v>
      </c>
      <c r="B24" s="181">
        <f>'Données projet'!D37</f>
        <v>0</v>
      </c>
      <c r="C24" s="193">
        <f>225*'Données projet'!E37+13.8*('Données projet'!F37+'Données projet'!G37)+10*'Données projet'!G37</f>
        <v>0</v>
      </c>
      <c r="D24" s="182">
        <f t="shared" ref="D24:D42" si="2">B24*C24</f>
        <v>0</v>
      </c>
      <c r="E24" s="193"/>
      <c r="F24" s="232"/>
      <c r="H24" s="190">
        <v>4</v>
      </c>
      <c r="I24" s="191"/>
      <c r="K24" s="207"/>
      <c r="O24" s="23"/>
      <c r="P24" s="23"/>
      <c r="Q24" s="233"/>
      <c r="R24" s="23"/>
      <c r="S24" s="36" t="s">
        <v>261</v>
      </c>
      <c r="T24" s="29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7"/>
      <c r="V24" s="29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30</v>
      </c>
      <c r="B25" s="181">
        <f>'Données projet'!D38</f>
        <v>0</v>
      </c>
      <c r="C25" s="193">
        <f>225*'Données projet'!E38+13.8*('Données projet'!F38+'Données projet'!G38)+10*'Données projet'!G38</f>
        <v>0</v>
      </c>
      <c r="D25" s="182">
        <f t="shared" si="2"/>
        <v>0</v>
      </c>
      <c r="E25" s="193"/>
      <c r="F25" s="232"/>
      <c r="H25" s="190">
        <v>5</v>
      </c>
      <c r="I25" s="191"/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298">
        <f ca="1">T23-T24</f>
        <v>-40222.824954757431</v>
      </c>
      <c r="U25" s="298"/>
      <c r="V25" s="29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35</v>
      </c>
      <c r="B26" s="181">
        <f>'Données projet'!D39</f>
        <v>21</v>
      </c>
      <c r="C26" s="193">
        <f>225*'Données projet'!E39+13.8*('Données projet'!F39+'Données projet'!G39)+10*'Données projet'!G39</f>
        <v>0</v>
      </c>
      <c r="D26" s="182">
        <f t="shared" si="2"/>
        <v>0</v>
      </c>
      <c r="E26" s="193"/>
      <c r="F26" s="232"/>
      <c r="G26" s="228"/>
      <c r="H26" s="190"/>
      <c r="I26" s="191"/>
      <c r="K26" s="207"/>
      <c r="L26" s="285" t="s">
        <v>258</v>
      </c>
      <c r="M26" s="286"/>
      <c r="N26" s="286"/>
      <c r="O26" s="286"/>
      <c r="P26" s="287"/>
      <c r="Q26" s="233"/>
      <c r="R26" s="23"/>
      <c r="S26" s="186" t="s">
        <v>265</v>
      </c>
      <c r="T26" s="295" t="str">
        <f ca="1">IF(T25&lt;0,"Votre projet est additionnel","Votre projet n'est pas additionnel")</f>
        <v>Votre projet est additionnel</v>
      </c>
      <c r="U26" s="295"/>
      <c r="V26" s="29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40</v>
      </c>
      <c r="B27" s="181">
        <f>'Données projet'!D40</f>
        <v>21</v>
      </c>
      <c r="C27" s="193">
        <f>225*'Données projet'!E40+13.8*('Données projet'!F40+'Données projet'!G40)+10*'Données projet'!G40</f>
        <v>45</v>
      </c>
      <c r="D27" s="182">
        <f t="shared" si="2"/>
        <v>945</v>
      </c>
      <c r="E27" s="193"/>
      <c r="F27" s="232"/>
      <c r="G27" s="228"/>
      <c r="H27" s="190"/>
      <c r="I27" s="191"/>
      <c r="K27" s="207"/>
      <c r="L27" s="288"/>
      <c r="M27" s="289"/>
      <c r="N27" s="289"/>
      <c r="O27" s="289"/>
      <c r="P27" s="290"/>
      <c r="Q27" s="233"/>
      <c r="R27" s="23"/>
      <c r="S27" s="294" t="s">
        <v>267</v>
      </c>
      <c r="T27" s="294"/>
      <c r="U27" s="294"/>
      <c r="V27" s="29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45</v>
      </c>
      <c r="B28" s="181">
        <f>'Données projet'!D41</f>
        <v>21</v>
      </c>
      <c r="C28" s="193">
        <f>225*'Données projet'!E41+13.8*('Données projet'!F41+'Données projet'!G41)+10*'Données projet'!G41</f>
        <v>45</v>
      </c>
      <c r="D28" s="182">
        <f t="shared" si="2"/>
        <v>945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50</v>
      </c>
      <c r="B29" s="181">
        <f>'Données projet'!D42</f>
        <v>21</v>
      </c>
      <c r="C29" s="193">
        <f>225*'Données projet'!E42+13.8*('Données projet'!F42+'Données projet'!G42)+10*'Données projet'!G42</f>
        <v>67.5</v>
      </c>
      <c r="D29" s="182">
        <f t="shared" si="2"/>
        <v>1417.5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55</v>
      </c>
      <c r="B30" s="181">
        <f>'Données projet'!D43</f>
        <v>21</v>
      </c>
      <c r="C30" s="193">
        <f>225*'Données projet'!E43+13.8*('Données projet'!F43+'Données projet'!G43)+10*'Données projet'!G43</f>
        <v>67.5</v>
      </c>
      <c r="D30" s="182">
        <f t="shared" si="2"/>
        <v>1417.5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60</v>
      </c>
      <c r="B31" s="181">
        <f>'Données projet'!D44</f>
        <v>21</v>
      </c>
      <c r="C31" s="193">
        <f>225*'Données projet'!E44+13.8*('Données projet'!F44+'Données projet'!G44)+10*'Données projet'!G44</f>
        <v>90</v>
      </c>
      <c r="D31" s="182">
        <f t="shared" si="2"/>
        <v>1890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65</v>
      </c>
      <c r="B32" s="181">
        <f>'Données projet'!D45</f>
        <v>21</v>
      </c>
      <c r="C32" s="193">
        <f>225*'Données projet'!E45+13.8*('Données projet'!F45+'Données projet'!G45)+10*'Données projet'!G45</f>
        <v>90</v>
      </c>
      <c r="D32" s="182">
        <f t="shared" si="2"/>
        <v>1890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70</v>
      </c>
      <c r="B33" s="181">
        <f>'Données projet'!D46</f>
        <v>21</v>
      </c>
      <c r="C33" s="193">
        <f>225*'Données projet'!E46+13.8*('Données projet'!F46+'Données projet'!G46)+10*'Données projet'!G46</f>
        <v>112.5</v>
      </c>
      <c r="D33" s="182">
        <f t="shared" si="2"/>
        <v>2362.5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75</v>
      </c>
      <c r="B34" s="181">
        <f>'Données projet'!D47</f>
        <v>21</v>
      </c>
      <c r="C34" s="193">
        <f>225*'Données projet'!E47+13.8*('Données projet'!F47+'Données projet'!G47)+10*'Données projet'!G47</f>
        <v>112.5</v>
      </c>
      <c r="D34" s="182">
        <f t="shared" si="2"/>
        <v>2362.5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80</v>
      </c>
      <c r="B35" s="181">
        <f>'Données projet'!D48</f>
        <v>21</v>
      </c>
      <c r="C35" s="193">
        <f>225*'Données projet'!E48+13.8*('Données projet'!F48+'Données projet'!G48)+10*'Données projet'!G48</f>
        <v>135</v>
      </c>
      <c r="D35" s="182">
        <f t="shared" si="2"/>
        <v>2835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85</v>
      </c>
      <c r="B36" s="181">
        <f>'Données projet'!D49</f>
        <v>21</v>
      </c>
      <c r="C36" s="193">
        <f>225*'Données projet'!E49+13.8*('Données projet'!F49+'Données projet'!G49)+10*'Données projet'!G49</f>
        <v>135</v>
      </c>
      <c r="D36" s="182">
        <f t="shared" si="2"/>
        <v>2835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90</v>
      </c>
      <c r="B37" s="181">
        <f>'Données projet'!D50</f>
        <v>21</v>
      </c>
      <c r="C37" s="193">
        <f>225*'Données projet'!E50+13.8*('Données projet'!F50+'Données projet'!G50)+10*'Données projet'!G50</f>
        <v>157.5</v>
      </c>
      <c r="D37" s="182">
        <f t="shared" si="2"/>
        <v>3307.5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100</v>
      </c>
      <c r="B38" s="181">
        <f>'Données projet'!D51</f>
        <v>21</v>
      </c>
      <c r="C38" s="193">
        <f>225*'Données projet'!E51+13.8*('Données projet'!F51+'Données projet'!G51)+10*'Données projet'!G51</f>
        <v>157.5</v>
      </c>
      <c r="D38" s="182">
        <f t="shared" si="2"/>
        <v>3307.5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110</v>
      </c>
      <c r="B39" s="181">
        <f>'Données projet'!D52</f>
        <v>19</v>
      </c>
      <c r="C39" s="193">
        <f>225*'Données projet'!E52+13.8*('Données projet'!F52+'Données projet'!G52)+10*'Données projet'!G52</f>
        <v>180</v>
      </c>
      <c r="D39" s="182">
        <f t="shared" si="2"/>
        <v>3420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120</v>
      </c>
      <c r="B40" s="181">
        <f>'Données projet'!D53</f>
        <v>285</v>
      </c>
      <c r="C40" s="193">
        <f>225*'Données projet'!E53+13.8*('Données projet'!F53+'Données projet'!G53)+10*'Données projet'!G53</f>
        <v>180</v>
      </c>
      <c r="D40" s="182">
        <f t="shared" si="2"/>
        <v>51300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>
        <f>30*'Données projet'!E54+19.4*('Données projet'!F54+'Données projet'!G54)+10*'Données projet'!G54</f>
        <v>0</v>
      </c>
      <c r="D41" s="182">
        <f t="shared" si="2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>
        <f>30*'Données projet'!E55+19.4*('Données projet'!F55+'Données projet'!G55)+10*'Données projet'!G55</f>
        <v>0</v>
      </c>
      <c r="D42" s="182">
        <f t="shared" si="2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Chêne pubescent</v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8" t="s">
        <v>132</v>
      </c>
      <c r="C48" s="197" t="s">
        <v>132</v>
      </c>
      <c r="D48" s="196" t="s">
        <v>132</v>
      </c>
      <c r="E48" s="193">
        <v>2621.04</v>
      </c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8" t="s">
        <v>132</v>
      </c>
      <c r="C51" s="197" t="s">
        <v>132</v>
      </c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8" t="s">
        <v>132</v>
      </c>
      <c r="C52" s="197" t="s">
        <v>132</v>
      </c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8" t="s">
        <v>132</v>
      </c>
      <c r="C53" s="197" t="s">
        <v>132</v>
      </c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0</v>
      </c>
      <c r="C54" s="191">
        <f>150*'Données projet'!E62+13.8*('Données projet'!F62+'Données projet'!G62)+10*'Données projet'!H62</f>
        <v>10</v>
      </c>
      <c r="D54" s="179">
        <f>B54*C54</f>
        <v>0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25</v>
      </c>
      <c r="B55" s="181">
        <f>'Données projet'!D63</f>
        <v>0</v>
      </c>
      <c r="C55" s="191">
        <f>150*'Données projet'!E63+13.8*('Données projet'!F63+'Données projet'!G63)+10*'Données projet'!H63</f>
        <v>10</v>
      </c>
      <c r="D55" s="179">
        <f t="shared" ref="D55:D73" si="4">B55*C55</f>
        <v>0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30</v>
      </c>
      <c r="B56" s="181">
        <f>'Données projet'!D64</f>
        <v>0</v>
      </c>
      <c r="C56" s="191">
        <f>150*'Données projet'!E64+13.8*('Données projet'!F64+'Données projet'!G64)+10*'Données projet'!H64</f>
        <v>10</v>
      </c>
      <c r="D56" s="179">
        <f t="shared" si="4"/>
        <v>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35</v>
      </c>
      <c r="B57" s="181">
        <f>'Données projet'!D65</f>
        <v>21</v>
      </c>
      <c r="C57" s="191">
        <f>150*'Données projet'!E65+13.8*('Données projet'!F65+'Données projet'!G65)+10*'Données projet'!H65</f>
        <v>10</v>
      </c>
      <c r="D57" s="179">
        <f t="shared" si="4"/>
        <v>210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40</v>
      </c>
      <c r="B58" s="181">
        <f>'Données projet'!D66</f>
        <v>21</v>
      </c>
      <c r="C58" s="191">
        <f>150*'Données projet'!E66+13.8*('Données projet'!F66+'Données projet'!G66)+10*'Données projet'!H66</f>
        <v>38</v>
      </c>
      <c r="D58" s="179">
        <f t="shared" si="4"/>
        <v>798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45</v>
      </c>
      <c r="B59" s="181">
        <f>'Données projet'!D67</f>
        <v>21</v>
      </c>
      <c r="C59" s="191">
        <f>150*'Données projet'!E67+13.8*('Données projet'!F67+'Données projet'!G67)+10*'Données projet'!H67</f>
        <v>38</v>
      </c>
      <c r="D59" s="179">
        <f t="shared" si="4"/>
        <v>798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50</v>
      </c>
      <c r="B60" s="181">
        <f>'Données projet'!D68</f>
        <v>21</v>
      </c>
      <c r="C60" s="191">
        <f>150*'Données projet'!E68+13.8*('Données projet'!F68+'Données projet'!G68)+10*'Données projet'!H68</f>
        <v>52</v>
      </c>
      <c r="D60" s="179">
        <f t="shared" si="4"/>
        <v>1092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55</v>
      </c>
      <c r="B61" s="181">
        <f>'Données projet'!D69</f>
        <v>21</v>
      </c>
      <c r="C61" s="191">
        <f>150*'Données projet'!E69+13.8*('Données projet'!F69+'Données projet'!G69)+10*'Données projet'!H69</f>
        <v>52</v>
      </c>
      <c r="D61" s="179">
        <f t="shared" si="4"/>
        <v>1092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60</v>
      </c>
      <c r="B62" s="181">
        <f>'Données projet'!D70</f>
        <v>21</v>
      </c>
      <c r="C62" s="191">
        <f>150*'Données projet'!E70+13.8*('Données projet'!F70+'Données projet'!G70)+10*'Données projet'!H70</f>
        <v>66</v>
      </c>
      <c r="D62" s="179">
        <f t="shared" si="4"/>
        <v>1386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65</v>
      </c>
      <c r="B63" s="181">
        <f>'Données projet'!D71</f>
        <v>21</v>
      </c>
      <c r="C63" s="191">
        <f>150*'Données projet'!E71+13.8*('Données projet'!F71+'Données projet'!G71)+10*'Données projet'!H71</f>
        <v>66</v>
      </c>
      <c r="D63" s="179">
        <f t="shared" si="4"/>
        <v>1386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70</v>
      </c>
      <c r="B64" s="181">
        <f>'Données projet'!D72</f>
        <v>21</v>
      </c>
      <c r="C64" s="191">
        <f>150*'Données projet'!E72+13.8*('Données projet'!F72+'Données projet'!G72)+10*'Données projet'!H72</f>
        <v>80</v>
      </c>
      <c r="D64" s="179">
        <f t="shared" si="4"/>
        <v>1680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75</v>
      </c>
      <c r="B65" s="181">
        <f>'Données projet'!D73</f>
        <v>21</v>
      </c>
      <c r="C65" s="191">
        <f>150*'Données projet'!E73+13.8*('Données projet'!F73+'Données projet'!G73)+10*'Données projet'!H73</f>
        <v>80</v>
      </c>
      <c r="D65" s="179">
        <f t="shared" si="4"/>
        <v>1680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80</v>
      </c>
      <c r="B66" s="181">
        <f>'Données projet'!D74</f>
        <v>21</v>
      </c>
      <c r="C66" s="191">
        <f>150*'Données projet'!E74+13.8*('Données projet'!F74+'Données projet'!G74)+10*'Données projet'!H74</f>
        <v>94</v>
      </c>
      <c r="D66" s="179">
        <f t="shared" si="4"/>
        <v>1974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85</v>
      </c>
      <c r="B67" s="181">
        <f>'Données projet'!D75</f>
        <v>21</v>
      </c>
      <c r="C67" s="191">
        <f>150*'Données projet'!E75+13.8*('Données projet'!F75+'Données projet'!G75)+10*'Données projet'!H75</f>
        <v>94</v>
      </c>
      <c r="D67" s="179">
        <f t="shared" si="4"/>
        <v>1974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90</v>
      </c>
      <c r="B68" s="181">
        <f>'Données projet'!D76</f>
        <v>21</v>
      </c>
      <c r="C68" s="191">
        <f>150*'Données projet'!E76+13.8*('Données projet'!F76+'Données projet'!G76)+10*'Données projet'!H76</f>
        <v>108</v>
      </c>
      <c r="D68" s="179">
        <f t="shared" si="4"/>
        <v>2268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100</v>
      </c>
      <c r="B69" s="181">
        <f>'Données projet'!D77</f>
        <v>21</v>
      </c>
      <c r="C69" s="191">
        <f>150*'Données projet'!E77+13.8*('Données projet'!F77+'Données projet'!G77)+10*'Données projet'!H77</f>
        <v>108</v>
      </c>
      <c r="D69" s="179">
        <f t="shared" si="4"/>
        <v>2268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110</v>
      </c>
      <c r="B70" s="181">
        <f>'Données projet'!D78</f>
        <v>19</v>
      </c>
      <c r="C70" s="191">
        <f>150*'Données projet'!E78+13.8*('Données projet'!F78+'Données projet'!G78)+10*'Données projet'!H78</f>
        <v>122</v>
      </c>
      <c r="D70" s="179">
        <f t="shared" si="4"/>
        <v>2318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120</v>
      </c>
      <c r="B71" s="181">
        <f>'Données projet'!D79</f>
        <v>285</v>
      </c>
      <c r="C71" s="191">
        <f>150*'Données projet'!E79+13.8*('Données projet'!F79+'Données projet'!G79)+10*'Données projet'!H79</f>
        <v>122</v>
      </c>
      <c r="D71" s="179">
        <f t="shared" si="4"/>
        <v>34770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>
        <f>17.5*'Données projet'!E80+13.8*('Données projet'!F80+'Données projet'!G80)+10*'Données projet'!H80</f>
        <v>0</v>
      </c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>
        <f>17.5*'Données projet'!E81+13.8*('Données projet'!F81+'Données projet'!G81)+10*'Données projet'!H81</f>
        <v>0</v>
      </c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Alisier torminal</v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8" t="s">
        <v>132</v>
      </c>
      <c r="C79" s="197" t="s">
        <v>132</v>
      </c>
      <c r="D79" s="196" t="s">
        <v>132</v>
      </c>
      <c r="E79" s="193">
        <v>3776.29</v>
      </c>
      <c r="F79" s="230"/>
      <c r="G79" s="205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8" t="s">
        <v>132</v>
      </c>
      <c r="C83" s="197" t="s">
        <v>132</v>
      </c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8" t="s">
        <v>132</v>
      </c>
      <c r="C84" s="197" t="s">
        <v>132</v>
      </c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 t="str">
        <f>IF(O83+1&lt;=MIN('Données projet'!$E$9:$E$18),O83+1,"STOP")</f>
        <v>STOP</v>
      </c>
      <c r="P84" s="185" t="e">
        <f t="shared" si="5"/>
        <v>#VALUE!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20</v>
      </c>
      <c r="B85" s="181">
        <f>'Données projet'!D88</f>
        <v>0</v>
      </c>
      <c r="C85" s="191">
        <f>300*'Données projet'!E88+13.8*('Données projet'!F88+'Données projet'!G88)+10*'Données projet'!H88</f>
        <v>10</v>
      </c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25</v>
      </c>
      <c r="B86" s="181">
        <f>'Données projet'!D89</f>
        <v>0</v>
      </c>
      <c r="C86" s="191">
        <f>300*'Données projet'!E89+13.8*('Données projet'!F89+'Données projet'!G89)+10*'Données projet'!H89</f>
        <v>10</v>
      </c>
      <c r="D86" s="179">
        <f t="shared" ref="D86:D104" si="6">B86*C86</f>
        <v>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30</v>
      </c>
      <c r="B87" s="181">
        <f>'Données projet'!D90</f>
        <v>0</v>
      </c>
      <c r="C87" s="191">
        <f>300*'Données projet'!E90+13.8*('Données projet'!F90+'Données projet'!G90)+10*'Données projet'!H90</f>
        <v>10</v>
      </c>
      <c r="D87" s="179">
        <f t="shared" si="6"/>
        <v>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35</v>
      </c>
      <c r="B88" s="181">
        <f>'Données projet'!D91</f>
        <v>21</v>
      </c>
      <c r="C88" s="191">
        <f>300*'Données projet'!E91+13.8*('Données projet'!F91+'Données projet'!G91)+10*'Données projet'!H91</f>
        <v>10</v>
      </c>
      <c r="D88" s="179">
        <f t="shared" si="6"/>
        <v>210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40</v>
      </c>
      <c r="B89" s="181">
        <f>'Données projet'!D92</f>
        <v>21</v>
      </c>
      <c r="C89" s="191">
        <f>300*'Données projet'!E92+13.8*('Données projet'!F92+'Données projet'!G92)+10*'Données projet'!H92</f>
        <v>68</v>
      </c>
      <c r="D89" s="179">
        <f t="shared" si="6"/>
        <v>1428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45</v>
      </c>
      <c r="B90" s="181">
        <f>'Données projet'!D93</f>
        <v>21</v>
      </c>
      <c r="C90" s="191">
        <f>300*'Données projet'!E93+13.8*('Données projet'!F93+'Données projet'!G93)+10*'Données projet'!H93</f>
        <v>68</v>
      </c>
      <c r="D90" s="179">
        <f t="shared" si="6"/>
        <v>1428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50</v>
      </c>
      <c r="B91" s="181">
        <f>'Données projet'!D94</f>
        <v>21</v>
      </c>
      <c r="C91" s="191">
        <f>300*'Données projet'!E94+13.8*('Données projet'!F94+'Données projet'!G94)+10*'Données projet'!H94</f>
        <v>97</v>
      </c>
      <c r="D91" s="179">
        <f t="shared" si="6"/>
        <v>2037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55</v>
      </c>
      <c r="B92" s="181">
        <f>'Données projet'!D95</f>
        <v>21</v>
      </c>
      <c r="C92" s="191">
        <f>300*'Données projet'!E95+13.8*('Données projet'!F95+'Données projet'!G95)+10*'Données projet'!H95</f>
        <v>97</v>
      </c>
      <c r="D92" s="179">
        <f t="shared" si="6"/>
        <v>2037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60</v>
      </c>
      <c r="B93" s="181">
        <f>'Données projet'!D96</f>
        <v>21</v>
      </c>
      <c r="C93" s="191">
        <f>300*'Données projet'!E96+13.8*('Données projet'!F96+'Données projet'!G96)+10*'Données projet'!H96</f>
        <v>126</v>
      </c>
      <c r="D93" s="179">
        <f t="shared" si="6"/>
        <v>2646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65</v>
      </c>
      <c r="B94" s="181">
        <f>'Données projet'!D97</f>
        <v>21</v>
      </c>
      <c r="C94" s="191">
        <f>300*'Données projet'!E97+13.8*('Données projet'!F97+'Données projet'!G97)+10*'Données projet'!H97</f>
        <v>126</v>
      </c>
      <c r="D94" s="179">
        <f t="shared" si="6"/>
        <v>2646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70</v>
      </c>
      <c r="B95" s="181">
        <f>'Données projet'!D98</f>
        <v>21</v>
      </c>
      <c r="C95" s="191">
        <f>300*'Données projet'!E98+13.8*('Données projet'!F98+'Données projet'!G98)+10*'Données projet'!H98</f>
        <v>155</v>
      </c>
      <c r="D95" s="179">
        <f t="shared" si="6"/>
        <v>3255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75</v>
      </c>
      <c r="B96" s="181">
        <f>'Données projet'!D99</f>
        <v>21</v>
      </c>
      <c r="C96" s="191">
        <f>300*'Données projet'!E99+13.8*('Données projet'!F99+'Données projet'!G99)+10*'Données projet'!H99</f>
        <v>155</v>
      </c>
      <c r="D96" s="179">
        <f t="shared" si="6"/>
        <v>3255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80</v>
      </c>
      <c r="B97" s="181">
        <f>'Données projet'!D100</f>
        <v>261</v>
      </c>
      <c r="C97" s="191">
        <f>300*'Données projet'!E100+13.8*('Données projet'!F100+'Données projet'!G100)+10*'Données projet'!H100</f>
        <v>184</v>
      </c>
      <c r="D97" s="179">
        <f t="shared" si="6"/>
        <v>48024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>
        <f>42*'Données projet'!E101+19.4*('Données projet'!F101+'Données projet'!G101)+10*'Données projet'!H101</f>
        <v>0</v>
      </c>
      <c r="D98" s="179">
        <f t="shared" si="6"/>
        <v>0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>
        <f>42*'Données projet'!E102+19.4*('Données projet'!F102+'Données projet'!G102)+10*'Données projet'!H102</f>
        <v>0</v>
      </c>
      <c r="D99" s="179">
        <f t="shared" si="6"/>
        <v>0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>
        <f>42*'Données projet'!E103+19.4*('Données projet'!F103+'Données projet'!G103)+10*'Données projet'!H103</f>
        <v>0</v>
      </c>
      <c r="D100" s="179">
        <f t="shared" si="6"/>
        <v>0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>
        <f>42*'Données projet'!E104+19.4*('Données projet'!F104+'Données projet'!G104)+10*'Données projet'!H104</f>
        <v>0</v>
      </c>
      <c r="D101" s="179">
        <f t="shared" si="6"/>
        <v>0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>
        <f>42*'Données projet'!E105+19.4*('Données projet'!F105+'Données projet'!G105)+10*'Données projet'!H105</f>
        <v>0</v>
      </c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>
        <f>42*'Données projet'!E106+19.4*('Données projet'!F106+'Données projet'!G106)+10*'Données projet'!H106</f>
        <v>0</v>
      </c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>
        <f>42*'Données projet'!E107+19.4*('Données projet'!F107+'Données projet'!G107)+10*'Données projet'!H107</f>
        <v>0</v>
      </c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Cormier</v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8" t="s">
        <v>132</v>
      </c>
      <c r="C110" s="197" t="s">
        <v>132</v>
      </c>
      <c r="D110" s="196" t="s">
        <v>132</v>
      </c>
      <c r="E110" s="193">
        <v>3776.29</v>
      </c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20</v>
      </c>
      <c r="B116" s="181">
        <f>'Données projet'!D114</f>
        <v>0</v>
      </c>
      <c r="C116" s="191">
        <f>30*'Données projet'!E114+13.8*('Données projet'!F114+'Données projet'!G114)+10*'Données projet'!H114</f>
        <v>10</v>
      </c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25</v>
      </c>
      <c r="B117" s="181">
        <f>'Données projet'!D115</f>
        <v>0</v>
      </c>
      <c r="C117" s="191">
        <f>30*'Données projet'!E115+13.8*('Données projet'!F115+'Données projet'!G115)+10*'Données projet'!H115</f>
        <v>10</v>
      </c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30</v>
      </c>
      <c r="B118" s="181">
        <f>'Données projet'!D116</f>
        <v>0</v>
      </c>
      <c r="C118" s="191">
        <f>30*'Données projet'!E116+13.8*('Données projet'!F116+'Données projet'!G116)+10*'Données projet'!H116</f>
        <v>10</v>
      </c>
      <c r="D118" s="179">
        <f t="shared" si="8"/>
        <v>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35</v>
      </c>
      <c r="B119" s="181">
        <f>'Données projet'!D117</f>
        <v>21</v>
      </c>
      <c r="C119" s="191">
        <f>30*'Données projet'!E117+13.8*('Données projet'!F117+'Données projet'!G117)+10*'Données projet'!H117</f>
        <v>10</v>
      </c>
      <c r="D119" s="179">
        <f t="shared" si="8"/>
        <v>210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40</v>
      </c>
      <c r="B120" s="181">
        <f>'Données projet'!D118</f>
        <v>21</v>
      </c>
      <c r="C120" s="191">
        <f>30*'Données projet'!E118+13.8*('Données projet'!F118+'Données projet'!G118)+10*'Données projet'!H118</f>
        <v>14</v>
      </c>
      <c r="D120" s="179">
        <f t="shared" si="8"/>
        <v>294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45</v>
      </c>
      <c r="B121" s="181">
        <f>'Données projet'!D119</f>
        <v>21</v>
      </c>
      <c r="C121" s="191">
        <f>30*'Données projet'!E119+13.8*('Données projet'!F119+'Données projet'!G119)+10*'Données projet'!H119</f>
        <v>14</v>
      </c>
      <c r="D121" s="179">
        <f t="shared" si="8"/>
        <v>294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50</v>
      </c>
      <c r="B122" s="181">
        <f>'Données projet'!D120</f>
        <v>21</v>
      </c>
      <c r="C122" s="191">
        <f>30*'Données projet'!E120+13.8*('Données projet'!F120+'Données projet'!G120)+10*'Données projet'!H120</f>
        <v>16</v>
      </c>
      <c r="D122" s="179">
        <f t="shared" si="8"/>
        <v>336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55</v>
      </c>
      <c r="B123" s="181">
        <f>'Données projet'!D121</f>
        <v>21</v>
      </c>
      <c r="C123" s="191">
        <f>30*'Données projet'!E121+13.8*('Données projet'!F121+'Données projet'!G121)+10*'Données projet'!H121</f>
        <v>16</v>
      </c>
      <c r="D123" s="179">
        <f t="shared" si="8"/>
        <v>336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60</v>
      </c>
      <c r="B124" s="181">
        <f>'Données projet'!D122</f>
        <v>21</v>
      </c>
      <c r="C124" s="191">
        <f>30*'Données projet'!E122+13.8*('Données projet'!F122+'Données projet'!G122)+10*'Données projet'!H122</f>
        <v>18</v>
      </c>
      <c r="D124" s="179">
        <f t="shared" si="8"/>
        <v>378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65</v>
      </c>
      <c r="B125" s="181">
        <f>'Données projet'!D123</f>
        <v>21</v>
      </c>
      <c r="C125" s="191">
        <f>30*'Données projet'!E123+13.8*('Données projet'!F123+'Données projet'!G123)+10*'Données projet'!H123</f>
        <v>18</v>
      </c>
      <c r="D125" s="179">
        <f t="shared" si="8"/>
        <v>378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70</v>
      </c>
      <c r="B126" s="181">
        <f>'Données projet'!D124</f>
        <v>21</v>
      </c>
      <c r="C126" s="191">
        <f>30*'Données projet'!E124+13.8*('Données projet'!F124+'Données projet'!G124)+10*'Données projet'!H124</f>
        <v>20</v>
      </c>
      <c r="D126" s="179">
        <f t="shared" si="8"/>
        <v>420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75</v>
      </c>
      <c r="B127" s="181">
        <f>'Données projet'!D125</f>
        <v>21</v>
      </c>
      <c r="C127" s="191">
        <f>30*'Données projet'!E125+13.8*('Données projet'!F125+'Données projet'!G125)+10*'Données projet'!H125</f>
        <v>20</v>
      </c>
      <c r="D127" s="179">
        <f t="shared" si="8"/>
        <v>420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80</v>
      </c>
      <c r="B128" s="181">
        <f>'Données projet'!D126</f>
        <v>261</v>
      </c>
      <c r="C128" s="191">
        <f>30*'Données projet'!E126+13.8*('Données projet'!F126+'Données projet'!G126)+10*'Données projet'!H126</f>
        <v>22</v>
      </c>
      <c r="D128" s="179">
        <f t="shared" si="8"/>
        <v>5742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>
        <f>42*'Données projet'!E127+19.5*('Données projet'!F127+'Données projet'!G127)+10*'Données projet'!H127</f>
        <v>0</v>
      </c>
      <c r="D129" s="179">
        <f t="shared" si="8"/>
        <v>0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>
        <f>42*'Données projet'!E128+19.5*('Données projet'!F128+'Données projet'!G128)+10*'Données projet'!H128</f>
        <v>0</v>
      </c>
      <c r="D130" s="179">
        <f t="shared" si="8"/>
        <v>0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>
        <f>42*'Données projet'!E129+19.5*('Données projet'!F129+'Données projet'!G129)+10*'Données projet'!H129</f>
        <v>0</v>
      </c>
      <c r="D131" s="179">
        <f t="shared" si="8"/>
        <v>0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>
        <f>42*'Données projet'!E130+19.5*('Données projet'!F130+'Données projet'!G130)+10*'Données projet'!H130</f>
        <v>0</v>
      </c>
      <c r="D132" s="179">
        <f t="shared" si="8"/>
        <v>0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>
        <f>42*'Données projet'!E131+19.5*('Données projet'!F131+'Données projet'!G131)+10*'Données projet'!H131</f>
        <v>0</v>
      </c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>
        <f>42*'Données projet'!E132+19.5*('Données projet'!F132+'Données projet'!G132)+10*'Données projet'!H132</f>
        <v>0</v>
      </c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>
        <f>42*'Données projet'!E133+19.5*('Données projet'!F133+'Données projet'!G133)+10*'Données projet'!H133</f>
        <v>0</v>
      </c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Pin laricio</v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8" t="s">
        <v>132</v>
      </c>
      <c r="C141" s="197" t="s">
        <v>132</v>
      </c>
      <c r="D141" s="196" t="s">
        <v>132</v>
      </c>
      <c r="E141" s="193">
        <v>1428.61</v>
      </c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15</v>
      </c>
      <c r="B147" s="175">
        <f>'Données projet'!D140</f>
        <v>14</v>
      </c>
      <c r="C147" s="191">
        <f>40*'Données projet'!E140+13.8*('Données projet'!F140+'Données projet'!G140)+10*'Données projet'!H140</f>
        <v>19.04</v>
      </c>
      <c r="D147" s="182">
        <f>B147*C147</f>
        <v>266.56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20</v>
      </c>
      <c r="B148" s="175">
        <f>'Données projet'!D141</f>
        <v>63</v>
      </c>
      <c r="C148" s="191">
        <f>40*'Données projet'!E141+13.8*('Données projet'!F141+'Données projet'!G141)+10*'Données projet'!H141</f>
        <v>19.04</v>
      </c>
      <c r="D148" s="182">
        <f t="shared" ref="D148:D166" si="10">B148*C148</f>
        <v>1199.52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25</v>
      </c>
      <c r="B149" s="175">
        <f>'Données projet'!D142</f>
        <v>63</v>
      </c>
      <c r="C149" s="191">
        <f>40*'Données projet'!E142+13.8*('Données projet'!F142+'Données projet'!G142)+10*'Données projet'!H142</f>
        <v>21.66</v>
      </c>
      <c r="D149" s="182">
        <f t="shared" si="10"/>
        <v>1364.58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30</v>
      </c>
      <c r="B150" s="175">
        <f>'Données projet'!D143</f>
        <v>63</v>
      </c>
      <c r="C150" s="191">
        <f>40*'Données projet'!E143+13.8*('Données projet'!F143+'Données projet'!G143)+10*'Données projet'!H143</f>
        <v>24.28</v>
      </c>
      <c r="D150" s="182">
        <f t="shared" si="10"/>
        <v>1529.64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35</v>
      </c>
      <c r="B151" s="175">
        <f>'Données projet'!D144</f>
        <v>63</v>
      </c>
      <c r="C151" s="191">
        <f>40*'Données projet'!E144+13.8*('Données projet'!F144+'Données projet'!G144)+10*'Données projet'!H144</f>
        <v>24.28</v>
      </c>
      <c r="D151" s="182">
        <f t="shared" si="10"/>
        <v>1529.64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40</v>
      </c>
      <c r="B152" s="175">
        <f>'Données projet'!D145</f>
        <v>63</v>
      </c>
      <c r="C152" s="191">
        <f>40*'Données projet'!E145+13.8*('Données projet'!F145+'Données projet'!G145)+10*'Données projet'!H145</f>
        <v>26.9</v>
      </c>
      <c r="D152" s="182">
        <f t="shared" si="10"/>
        <v>1694.6999999999998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45</v>
      </c>
      <c r="B153" s="175">
        <f>'Données projet'!D146</f>
        <v>60</v>
      </c>
      <c r="C153" s="191">
        <f>40*'Données projet'!E146+13.8*('Données projet'!F146+'Données projet'!G146)+10*'Données projet'!H146</f>
        <v>26.9</v>
      </c>
      <c r="D153" s="182">
        <f t="shared" si="10"/>
        <v>1614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50</v>
      </c>
      <c r="B154" s="175">
        <f>'Données projet'!D147</f>
        <v>509</v>
      </c>
      <c r="C154" s="191">
        <f>40*'Données projet'!E147+13.8*('Données projet'!F147+'Données projet'!G147)+10*'Données projet'!H147</f>
        <v>29.52</v>
      </c>
      <c r="D154" s="182">
        <f t="shared" si="10"/>
        <v>15025.68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>
        <f>150*'Données projet'!E148+13.8*('Données projet'!F148+'Données projet'!G148)+10*'Données projet'!H148</f>
        <v>0</v>
      </c>
      <c r="D155" s="182">
        <f t="shared" si="10"/>
        <v>0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>
        <f>150*'Données projet'!E149+13.8*('Données projet'!F149+'Données projet'!G149)+10*'Données projet'!H149</f>
        <v>0</v>
      </c>
      <c r="D156" s="182">
        <f t="shared" si="10"/>
        <v>0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>
        <f>150*'Données projet'!E150+13.8*('Données projet'!F150+'Données projet'!G150)+10*'Données projet'!H150</f>
        <v>0</v>
      </c>
      <c r="D157" s="182">
        <f t="shared" si="10"/>
        <v>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>
        <f>150*'Données projet'!E151+13.8*('Données projet'!F151+'Données projet'!G151)+10*'Données projet'!H151</f>
        <v>0</v>
      </c>
      <c r="D158" s="182">
        <f t="shared" si="10"/>
        <v>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>
        <f>150*'Données projet'!E152+13.8*('Données projet'!F152+'Données projet'!G152)+10*'Données projet'!H152</f>
        <v>0</v>
      </c>
      <c r="D159" s="182">
        <f t="shared" si="10"/>
        <v>0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>
        <f>150*'Données projet'!E153+13.8*('Données projet'!F153+'Données projet'!G153)+10*'Données projet'!H153</f>
        <v>0</v>
      </c>
      <c r="D160" s="182">
        <f t="shared" si="10"/>
        <v>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>
        <f>150*'Données projet'!E154+13.8*('Données projet'!F154+'Données projet'!G154)+10*'Données projet'!H154</f>
        <v>0</v>
      </c>
      <c r="D161" s="182">
        <f t="shared" si="10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>
        <f>150*'Données projet'!E155+13.8*('Données projet'!F155+'Données projet'!G155)+10*'Données projet'!H155</f>
        <v>0</v>
      </c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>
        <f>150*'Données projet'!E156+13.8*('Données projet'!F156+'Données projet'!G156)+10*'Données projet'!H156</f>
        <v>0</v>
      </c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>
        <f>150*'Données projet'!E157+13.8*('Données projet'!F157+'Données projet'!G157)+10*'Données projet'!H157</f>
        <v>0</v>
      </c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>
        <f>150*'Données projet'!E158+13.8*('Données projet'!F158+'Données projet'!G158)+10*'Données projet'!H158</f>
        <v>0</v>
      </c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>
        <f>150*'Données projet'!E159+13.8*('Données projet'!F159+'Données projet'!G159)+10*'Données projet'!H159</f>
        <v>0</v>
      </c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Cèdre de l'Atlas</v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8" t="s">
        <v>132</v>
      </c>
      <c r="C172" s="197" t="s">
        <v>132</v>
      </c>
      <c r="D172" s="196" t="s">
        <v>132</v>
      </c>
      <c r="E172" s="193">
        <v>3192</v>
      </c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20</v>
      </c>
      <c r="B178" s="181">
        <f>'Données projet'!D166</f>
        <v>40</v>
      </c>
      <c r="C178" s="193">
        <f>67*'Données projet'!E166+13.8*('Données projet'!F166+'Données projet'!G168)+10*'Données projet'!H166</f>
        <v>12.006000000000002</v>
      </c>
      <c r="D178" s="179">
        <f>B178*C178</f>
        <v>480.24000000000007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30</v>
      </c>
      <c r="B179" s="181">
        <f>'Données projet'!D167</f>
        <v>50</v>
      </c>
      <c r="C179" s="193">
        <f>67*'Données projet'!E167+13.8*('Données projet'!F167+'Données projet'!G169)+10*'Données projet'!H167</f>
        <v>24.716000000000001</v>
      </c>
      <c r="D179" s="179">
        <f t="shared" ref="D179:D197" si="11">B179*C179</f>
        <v>1235.8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40</v>
      </c>
      <c r="B180" s="181">
        <f>'Données projet'!D168</f>
        <v>50</v>
      </c>
      <c r="C180" s="193">
        <f>67*'Données projet'!E168+13.8*('Données projet'!F168+'Données projet'!G170)+10*'Données projet'!H168</f>
        <v>27.966000000000001</v>
      </c>
      <c r="D180" s="179">
        <f t="shared" si="11"/>
        <v>1398.3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50</v>
      </c>
      <c r="B181" s="181">
        <f>'Données projet'!D169</f>
        <v>50</v>
      </c>
      <c r="C181" s="193">
        <f>67*'Données projet'!E169+13.8*('Données projet'!F169+'Données projet'!G171)+10*'Données projet'!H169</f>
        <v>31.492000000000001</v>
      </c>
      <c r="D181" s="179">
        <f t="shared" si="11"/>
        <v>1574.6000000000001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60</v>
      </c>
      <c r="B182" s="181">
        <f>'Données projet'!D170</f>
        <v>470</v>
      </c>
      <c r="C182" s="193">
        <f>67*'Données projet'!E170+13.8*('Données projet'!F170+'Données projet'!G172)+10*'Données projet'!H170</f>
        <v>43.235999999999997</v>
      </c>
      <c r="D182" s="179">
        <f t="shared" si="11"/>
        <v>20320.919999999998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>
        <f>300*'Données projet'!E171+13.8*('Données projet'!F171+'Données projet'!G173)+10*'Données projet'!H171</f>
        <v>0</v>
      </c>
      <c r="D183" s="179">
        <f t="shared" si="11"/>
        <v>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>
        <f>300*'Données projet'!E172+13.8*('Données projet'!F172+'Données projet'!G174)+10*'Données projet'!H172</f>
        <v>0</v>
      </c>
      <c r="D184" s="179">
        <f t="shared" si="11"/>
        <v>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>
        <f>300*'Données projet'!E173+13.8*('Données projet'!F173+'Données projet'!G175)+10*'Données projet'!H173</f>
        <v>0</v>
      </c>
      <c r="D185" s="179">
        <f t="shared" si="11"/>
        <v>0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>
        <f>300*'Données projet'!E174+13.8*('Données projet'!F174+'Données projet'!G176)+10*'Données projet'!H174</f>
        <v>0</v>
      </c>
      <c r="D186" s="179">
        <f t="shared" si="11"/>
        <v>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>
        <f>300*'Données projet'!E175+13.8*('Données projet'!F175+'Données projet'!G177)+10*'Données projet'!H175</f>
        <v>0</v>
      </c>
      <c r="D187" s="179">
        <f t="shared" si="11"/>
        <v>0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>
        <f>300*'Données projet'!E176+13.8*('Données projet'!F176+'Données projet'!G178)+10*'Données projet'!H176</f>
        <v>0</v>
      </c>
      <c r="D188" s="179">
        <f t="shared" si="11"/>
        <v>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>
        <f>300*'Données projet'!E177+13.8*('Données projet'!F177+'Données projet'!G179)+10*'Données projet'!H177</f>
        <v>0</v>
      </c>
      <c r="D189" s="179">
        <f t="shared" si="11"/>
        <v>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>
        <f>300*'Données projet'!E178+13.8*('Données projet'!F178+'Données projet'!G180)+10*'Données projet'!H178</f>
        <v>0</v>
      </c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>
        <f>300*'Données projet'!E179+13.8*('Données projet'!F179+'Données projet'!G181)+10*'Données projet'!H179</f>
        <v>0</v>
      </c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>
        <f>300*'Données projet'!E180+13.8*('Données projet'!F180+'Données projet'!G182)+10*'Données projet'!H180</f>
        <v>0</v>
      </c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>
        <f>300*'Données projet'!E181+13.8*('Données projet'!F181+'Données projet'!G183)+10*'Données projet'!H181</f>
        <v>0</v>
      </c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>
        <f>300*'Données projet'!E182+13.8*('Données projet'!F182+'Données projet'!G184)+10*'Données projet'!H182</f>
        <v>0</v>
      </c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>
        <f>300*'Données projet'!E183+13.8*('Données projet'!F183+'Données projet'!G185)+10*'Données projet'!H183</f>
        <v>0</v>
      </c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>
        <f>300*'Données projet'!E184+13.8*('Données projet'!F184+'Données projet'!G186)+10*'Données projet'!H184</f>
        <v>0</v>
      </c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>
        <f>300*'Données projet'!E185+13.8*('Données projet'!F185+'Données projet'!G187)+10*'Données projet'!H185</f>
        <v>0</v>
      </c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8" t="s">
        <v>132</v>
      </c>
      <c r="C203" s="197" t="s">
        <v>132</v>
      </c>
      <c r="D203" s="196" t="s">
        <v>132</v>
      </c>
      <c r="E203" s="193"/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>
        <f>150*'Données projet'!E192+13.8*('Données projet'!F192+'Données projet'!G192)+10*'Données projet'!H192</f>
        <v>0</v>
      </c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>
        <f>150*'Données projet'!E193+13.8*('Données projet'!F193+'Données projet'!G193)+10*'Données projet'!H193</f>
        <v>0</v>
      </c>
      <c r="D210" s="179">
        <f t="shared" ref="D210:D228" si="12">B210*C210</f>
        <v>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>
        <f>150*'Données projet'!E194+13.8*('Données projet'!F194+'Données projet'!G194)+10*'Données projet'!H194</f>
        <v>0</v>
      </c>
      <c r="D211" s="179">
        <f t="shared" si="12"/>
        <v>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>
        <f>150*'Données projet'!E195+13.8*('Données projet'!F195+'Données projet'!G195)+10*'Données projet'!H195</f>
        <v>0</v>
      </c>
      <c r="D212" s="179">
        <f t="shared" si="12"/>
        <v>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>
        <f>150*'Données projet'!E196+13.8*('Données projet'!F196+'Données projet'!G196)+10*'Données projet'!H196</f>
        <v>0</v>
      </c>
      <c r="D213" s="179">
        <f t="shared" si="12"/>
        <v>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>
        <f>150*'Données projet'!E197+13.8*('Données projet'!F197+'Données projet'!G197)+10*'Données projet'!H197</f>
        <v>0</v>
      </c>
      <c r="D214" s="179">
        <f t="shared" si="12"/>
        <v>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>
        <f>150*'Données projet'!E198+13.8*('Données projet'!F198+'Données projet'!G198)+10*'Données projet'!H198</f>
        <v>0</v>
      </c>
      <c r="D215" s="179">
        <f t="shared" si="12"/>
        <v>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>
        <f>150*'Données projet'!E199+13.8*('Données projet'!F199+'Données projet'!G199)+10*'Données projet'!H199</f>
        <v>0</v>
      </c>
      <c r="D216" s="179">
        <f t="shared" si="12"/>
        <v>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>
        <f>150*'Données projet'!E200+13.8*('Données projet'!F200+'Données projet'!G200)+10*'Données projet'!H200</f>
        <v>0</v>
      </c>
      <c r="D217" s="179">
        <f t="shared" si="12"/>
        <v>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>
        <f>150*'Données projet'!E201+13.8*('Données projet'!F201+'Données projet'!G201)+10*'Données projet'!H201</f>
        <v>0</v>
      </c>
      <c r="D218" s="179">
        <f t="shared" si="12"/>
        <v>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>
        <f>150*'Données projet'!E202+13.8*('Données projet'!F202+'Données projet'!G202)+10*'Données projet'!H202</f>
        <v>0</v>
      </c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>
        <f>150*'Données projet'!E203+13.8*('Données projet'!F203+'Données projet'!G203)+10*'Données projet'!H203</f>
        <v>0</v>
      </c>
      <c r="D220" s="179">
        <f t="shared" si="12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>
        <f>150*'Données projet'!E204+13.8*('Données projet'!F204+'Données projet'!G204)+10*'Données projet'!H204</f>
        <v>0</v>
      </c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>
        <f>150*'Données projet'!E205+13.8*('Données projet'!F205+'Données projet'!G205)+10*'Données projet'!H205</f>
        <v>0</v>
      </c>
      <c r="D222" s="179">
        <f t="shared" si="12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>
        <f>150*'Données projet'!E206+13.8*('Données projet'!F206+'Données projet'!G206)+10*'Données projet'!H206</f>
        <v>0</v>
      </c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>
        <f>150*'Données projet'!E207+13.8*('Données projet'!F207+'Données projet'!G207)+10*'Données projet'!H207</f>
        <v>0</v>
      </c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>
        <f>150*'Données projet'!E208+13.8*('Données projet'!F208+'Données projet'!G208)+10*'Données projet'!H208</f>
        <v>0</v>
      </c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>
        <f>150*'Données projet'!E209+13.8*('Données projet'!F209+'Données projet'!G209)+10*'Données projet'!H209</f>
        <v>0</v>
      </c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>
        <f>150*'Données projet'!E210+13.8*('Données projet'!F210+'Données projet'!G210)+10*'Données projet'!H210</f>
        <v>0</v>
      </c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>
        <f>150*'Données projet'!E211+13.8*('Données projet'!F211+'Données projet'!G211)+10*'Données projet'!H211</f>
        <v>0</v>
      </c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8" t="s">
        <v>132</v>
      </c>
      <c r="C234" s="197" t="s">
        <v>132</v>
      </c>
      <c r="D234" s="196" t="s">
        <v>132</v>
      </c>
      <c r="E234" s="193"/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>
        <f>60*'Données projet'!E218+13.8*('Données projet'!F218+'Données projet'!G218)+10*'Données projet'!H218</f>
        <v>0</v>
      </c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>
        <f>60*'Données projet'!E219+13.8*('Données projet'!F219+'Données projet'!G219)+10*'Données projet'!H219</f>
        <v>0</v>
      </c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>
        <f>60*'Données projet'!E220+13.8*('Données projet'!F220+'Données projet'!G220)+10*'Données projet'!H220</f>
        <v>0</v>
      </c>
      <c r="D242" s="179">
        <f t="shared" si="13"/>
        <v>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>
        <f>60*'Données projet'!E221+13.8*('Données projet'!F221+'Données projet'!G221)+10*'Données projet'!H221</f>
        <v>0</v>
      </c>
      <c r="D243" s="179">
        <f t="shared" si="13"/>
        <v>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>
        <f>60*'Données projet'!E222+13.8*('Données projet'!F222+'Données projet'!G222)+10*'Données projet'!H222</f>
        <v>0</v>
      </c>
      <c r="D244" s="179">
        <f t="shared" si="13"/>
        <v>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>
        <f>60*'Données projet'!E223+13.8*('Données projet'!F223+'Données projet'!G223)+10*'Données projet'!H223</f>
        <v>0</v>
      </c>
      <c r="D245" s="179">
        <f t="shared" si="13"/>
        <v>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>
        <f>60*'Données projet'!E224+13.8*('Données projet'!F224+'Données projet'!G224)+10*'Données projet'!H224</f>
        <v>0</v>
      </c>
      <c r="D246" s="179">
        <f t="shared" si="13"/>
        <v>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>
        <f>60*'Données projet'!E225+13.8*('Données projet'!F225+'Données projet'!G225)+10*'Données projet'!H225</f>
        <v>0</v>
      </c>
      <c r="D247" s="179">
        <f t="shared" si="13"/>
        <v>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>
        <f>60*'Données projet'!E226+13.8*('Données projet'!F226+'Données projet'!G226)+10*'Données projet'!H226</f>
        <v>0</v>
      </c>
      <c r="D248" s="179">
        <f t="shared" si="13"/>
        <v>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>
        <f>60*'Données projet'!E227+13.8*('Données projet'!F227+'Données projet'!G227)+10*'Données projet'!H227</f>
        <v>0</v>
      </c>
      <c r="D249" s="179">
        <f t="shared" si="13"/>
        <v>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>
        <f>60*'Données projet'!E228+13.8*('Données projet'!F228+'Données projet'!G228)+10*'Données projet'!H228</f>
        <v>0</v>
      </c>
      <c r="D250" s="179">
        <f t="shared" si="13"/>
        <v>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>
        <f>60*'Données projet'!E229+13.8*('Données projet'!F229+'Données projet'!G229)+10*'Données projet'!H229</f>
        <v>0</v>
      </c>
      <c r="D251" s="179">
        <f t="shared" si="13"/>
        <v>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>
        <f>60*'Données projet'!E230+13.8*('Données projet'!F230+'Données projet'!G230)+10*'Données projet'!H230</f>
        <v>0</v>
      </c>
      <c r="D252" s="179">
        <f t="shared" si="13"/>
        <v>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>
        <f>60*'Données projet'!E231+13.8*('Données projet'!F231+'Données projet'!G231)+10*'Données projet'!H231</f>
        <v>0</v>
      </c>
      <c r="D253" s="179">
        <f t="shared" si="13"/>
        <v>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>
        <f>60*'Données projet'!E232+13.8*('Données projet'!F232+'Données projet'!G232)+10*'Données projet'!H232</f>
        <v>0</v>
      </c>
      <c r="D254" s="179">
        <f t="shared" si="13"/>
        <v>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>
        <f>60*'Données projet'!E233+13.8*('Données projet'!F233+'Données projet'!G233)+10*'Données projet'!H233</f>
        <v>0</v>
      </c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>
        <f>60*'Données projet'!E234+13.8*('Données projet'!F234+'Données projet'!G234)+10*'Données projet'!H234</f>
        <v>0</v>
      </c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>
        <f>60*'Données projet'!E235+13.8*('Données projet'!F235+'Données projet'!G235)+10*'Données projet'!H235</f>
        <v>0</v>
      </c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>
        <f>60*'Données projet'!E236+13.8*('Données projet'!F236+'Données projet'!G236)+10*'Données projet'!H236</f>
        <v>0</v>
      </c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>
        <f>60*'Données projet'!E237+13.8*('Données projet'!F237+'Données projet'!G237)+10*'Données projet'!H237</f>
        <v>0</v>
      </c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8" t="s">
        <v>132</v>
      </c>
      <c r="C265" s="197" t="s">
        <v>132</v>
      </c>
      <c r="D265" s="196" t="s">
        <v>132</v>
      </c>
      <c r="E265" s="193"/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>
        <f>60*'Données projet'!E244+13.8*('Données projet'!F244+'Données projet'!G244)+10*'Données projet'!H244</f>
        <v>0</v>
      </c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>
        <f>60*'Données projet'!E245+13.8*('Données projet'!F245+'Données projet'!G245)+10*'Données projet'!H245</f>
        <v>0</v>
      </c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>
        <f>60*'Données projet'!E246+13.8*('Données projet'!F246+'Données projet'!G246)+10*'Données projet'!H246</f>
        <v>0</v>
      </c>
      <c r="D273" s="179">
        <f t="shared" si="14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>
        <f>60*'Données projet'!E247+13.8*('Données projet'!F247+'Données projet'!G247)+10*'Données projet'!H247</f>
        <v>0</v>
      </c>
      <c r="D274" s="179">
        <f t="shared" si="14"/>
        <v>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>
        <f>60*'Données projet'!E248+13.8*('Données projet'!F248+'Données projet'!G248)+10*'Données projet'!H248</f>
        <v>0</v>
      </c>
      <c r="D275" s="179">
        <f t="shared" si="14"/>
        <v>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>
        <f>60*'Données projet'!E249+13.8*('Données projet'!F249+'Données projet'!G249)+10*'Données projet'!H249</f>
        <v>0</v>
      </c>
      <c r="D276" s="179">
        <f t="shared" si="14"/>
        <v>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>
        <f>60*'Données projet'!E250+13.8*('Données projet'!F250+'Données projet'!G250)+10*'Données projet'!H250</f>
        <v>0</v>
      </c>
      <c r="D277" s="179">
        <f t="shared" si="14"/>
        <v>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>
        <f>60*'Données projet'!E251+13.8*('Données projet'!F251+'Données projet'!G251)+10*'Données projet'!H251</f>
        <v>0</v>
      </c>
      <c r="D278" s="179">
        <f t="shared" si="14"/>
        <v>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>
        <f>60*'Données projet'!E252+13.8*('Données projet'!F252+'Données projet'!G252)+10*'Données projet'!H252</f>
        <v>0</v>
      </c>
      <c r="D279" s="179">
        <f t="shared" si="14"/>
        <v>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>
        <f>60*'Données projet'!E253+13.8*('Données projet'!F253+'Données projet'!G253)+10*'Données projet'!H253</f>
        <v>0</v>
      </c>
      <c r="D280" s="179">
        <f t="shared" si="14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>
        <f>60*'Données projet'!E254+13.8*('Données projet'!F254+'Données projet'!G254)+10*'Données projet'!H254</f>
        <v>0</v>
      </c>
      <c r="D281" s="179">
        <f t="shared" si="14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>
        <f>60*'Données projet'!E255+13.8*('Données projet'!F255+'Données projet'!G255)+10*'Données projet'!H255</f>
        <v>0</v>
      </c>
      <c r="D282" s="179">
        <f t="shared" si="14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>
        <f>60*'Données projet'!E256+13.8*('Données projet'!F256+'Données projet'!G256)+10*'Données projet'!H256</f>
        <v>0</v>
      </c>
      <c r="D283" s="179">
        <f t="shared" si="14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>
        <f>60*'Données projet'!E257+13.8*('Données projet'!F257+'Données projet'!G257)+10*'Données projet'!H257</f>
        <v>0</v>
      </c>
      <c r="D284" s="179">
        <f t="shared" si="14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>
        <f>60*'Données projet'!E258+13.8*('Données projet'!F258+'Données projet'!G258)+10*'Données projet'!H258</f>
        <v>0</v>
      </c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>
        <f>60*'Données projet'!E259+13.8*('Données projet'!F259+'Données projet'!G259)+10*'Données projet'!H259</f>
        <v>0</v>
      </c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>
        <f>60*'Données projet'!E260+13.8*('Données projet'!F260+'Données projet'!G260)+10*'Données projet'!H260</f>
        <v>0</v>
      </c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>
        <f>60*'Données projet'!E261+13.8*('Données projet'!F261+'Données projet'!G261)+10*'Données projet'!H261</f>
        <v>0</v>
      </c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>
        <f>60*'Données projet'!E262+13.8*('Données projet'!F262+'Données projet'!G262)+10*'Données projet'!H262</f>
        <v>0</v>
      </c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>
        <f>60*'Données projet'!E263+13.8*('Données projet'!F263+'Données projet'!G263)+10*'Données projet'!H263</f>
        <v>0</v>
      </c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8" t="s">
        <v>132</v>
      </c>
      <c r="C296" s="197" t="s">
        <v>132</v>
      </c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>
        <f>80*'Données projet'!E270+13.8*('Données projet'!F270+'Données projet'!G270)+10*'Données projet'!H270</f>
        <v>0</v>
      </c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>
        <f>80*'Données projet'!E271+13.8*('Données projet'!F271+'Données projet'!G271)+10*'Données projet'!H271</f>
        <v>0</v>
      </c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>
        <f>80*'Données projet'!E272+13.8*('Données projet'!F272+'Données projet'!G272)+10*'Données projet'!H272</f>
        <v>0</v>
      </c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>
        <f>80*'Données projet'!E273+13.8*('Données projet'!F273+'Données projet'!G273)+10*'Données projet'!H273</f>
        <v>0</v>
      </c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>
        <f>80*'Données projet'!E274+13.8*('Données projet'!F274+'Données projet'!G274)+10*'Données projet'!H274</f>
        <v>0</v>
      </c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>
        <f>80*'Données projet'!E275+13.8*('Données projet'!F275+'Données projet'!G275)+10*'Données projet'!H275</f>
        <v>0</v>
      </c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>
        <f>80*'Données projet'!E276+13.8*('Données projet'!F276+'Données projet'!G276)+10*'Données projet'!H276</f>
        <v>0</v>
      </c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>
        <f>80*'Données projet'!E277+13.8*('Données projet'!F277+'Données projet'!G277)+10*'Données projet'!H277</f>
        <v>0</v>
      </c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>
        <f>80*'Données projet'!E278+13.8*('Données projet'!F278+'Données projet'!G278)+10*'Données projet'!H278</f>
        <v>0</v>
      </c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>
        <f>80*'Données projet'!E279+13.8*('Données projet'!F279+'Données projet'!G279)+10*'Données projet'!H279</f>
        <v>0</v>
      </c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>
        <f>80*'Données projet'!E280+13.8*('Données projet'!F280+'Données projet'!G280)+10*'Données projet'!H280</f>
        <v>0</v>
      </c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>
        <f>80*'Données projet'!E281+13.8*('Données projet'!F281+'Données projet'!G281)+10*'Données projet'!H281</f>
        <v>0</v>
      </c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>
        <f>80*'Données projet'!E282+13.8*('Données projet'!F282+'Données projet'!G282)+10*'Données projet'!H282</f>
        <v>0</v>
      </c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>
        <f>80*'Données projet'!E283+13.8*('Données projet'!F283+'Données projet'!G283)+10*'Données projet'!H283</f>
        <v>0</v>
      </c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>
        <f>80*'Données projet'!E284+13.8*('Données projet'!F284+'Données projet'!G284)+10*'Données projet'!H284</f>
        <v>0</v>
      </c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>
        <f>80*'Données projet'!E285+13.8*('Données projet'!F285+'Données projet'!G285)+10*'Données projet'!H285</f>
        <v>0</v>
      </c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>
        <f>80*'Données projet'!E286+13.8*('Données projet'!F286+'Données projet'!G286)+10*'Données projet'!H286</f>
        <v>0</v>
      </c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>
        <f>80*'Données projet'!E287+13.8*('Données projet'!F287+'Données projet'!G287)+10*'Données projet'!H287</f>
        <v>0</v>
      </c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>
        <f>80*'Données projet'!E288+13.8*('Données projet'!F288+'Données projet'!G288)+10*'Données projet'!H288</f>
        <v>0</v>
      </c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1">
        <f>80*'Données projet'!E289+13.8*('Données projet'!F289+'Données projet'!G289)+10*'Données projet'!H289</f>
        <v>0</v>
      </c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Lou StockCo2</cp:lastModifiedBy>
  <dcterms:created xsi:type="dcterms:W3CDTF">2021-02-01T08:22:39Z</dcterms:created>
  <dcterms:modified xsi:type="dcterms:W3CDTF">2023-08-01T09:02:59Z</dcterms:modified>
</cp:coreProperties>
</file>