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251-B-BUREAU-PDL(44)-BREUIL-Gibé-TransSurErdre/"/>
    </mc:Choice>
  </mc:AlternateContent>
  <xr:revisionPtr revIDLastSave="0" documentId="13_ncr:1_{86367CEC-6697-2842-ADC7-FCF6FA99DCA6}" xr6:coauthVersionLast="47" xr6:coauthVersionMax="47" xr10:uidLastSave="{00000000-0000-0000-0000-000000000000}"/>
  <bookViews>
    <workbookView xWindow="3120" yWindow="980" windowWidth="25620" windowHeight="149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41" i="2" a="1"/>
  <c r="DN41" i="2" s="1"/>
  <c r="DN29" i="2" a="1"/>
  <c r="DN29" i="2" s="1"/>
  <c r="DN115" i="2" a="1"/>
  <c r="DN115" i="2" s="1"/>
  <c r="DN177" i="2" a="1"/>
  <c r="DN177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66" i="2" l="1" a="1"/>
  <c r="AH166" i="2" s="1"/>
  <c r="AH151" i="2" a="1"/>
  <c r="AH151" i="2" s="1"/>
  <c r="AH163" i="2" a="1"/>
  <c r="AH163" i="2" s="1"/>
  <c r="AH62" i="2" a="1"/>
  <c r="AH62" i="2" s="1"/>
  <c r="BP203" i="2"/>
  <c r="BC126" i="2" a="1"/>
  <c r="BC126" i="2" s="1"/>
  <c r="BC84" i="2" a="1"/>
  <c r="BC84" i="2" s="1"/>
  <c r="BC58" i="2" a="1"/>
  <c r="BC58" i="2" s="1"/>
  <c r="BC18" i="2" a="1"/>
  <c r="BC18" i="2" s="1"/>
  <c r="BC55" i="2" a="1"/>
  <c r="BC55" i="2" s="1"/>
  <c r="BC7" i="2" a="1"/>
  <c r="BC7" i="2" s="1"/>
  <c r="BC117" i="2" a="1"/>
  <c r="BC117" i="2" s="1"/>
  <c r="BX107" i="2" a="1"/>
  <c r="BX107" i="2" s="1"/>
  <c r="CS129" i="2" a="1"/>
  <c r="CS129" i="2" s="1"/>
  <c r="CS185" i="2" a="1"/>
  <c r="CS185" i="2" s="1"/>
  <c r="CS38" i="2" a="1"/>
  <c r="CS38" i="2" s="1"/>
  <c r="CS137" i="2" a="1"/>
  <c r="CS137" i="2" s="1"/>
  <c r="CS52" i="2" a="1"/>
  <c r="CS52" i="2" s="1"/>
  <c r="CS134" i="2" a="1"/>
  <c r="CS134" i="2" s="1"/>
  <c r="CS114" i="2" a="1"/>
  <c r="CS114" i="2" s="1"/>
  <c r="CS120" i="2" a="1"/>
  <c r="CS120" i="2" s="1"/>
  <c r="CS105" i="2" a="1"/>
  <c r="CS105" i="2" s="1"/>
  <c r="CS66" i="2" a="1"/>
  <c r="CS66" i="2" s="1"/>
  <c r="CS24" i="2" a="1"/>
  <c r="CS24" i="2" s="1"/>
  <c r="CS56" i="2" a="1"/>
  <c r="CS56" i="2" s="1"/>
  <c r="CS161" i="2" a="1"/>
  <c r="CS161" i="2" s="1"/>
  <c r="CS77" i="2" a="1"/>
  <c r="CS77" i="2" s="1"/>
  <c r="CS116" i="2" a="1"/>
  <c r="CS116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38" i="2" a="1"/>
  <c r="BC38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185" i="2" a="1"/>
  <c r="BC185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<sst xmlns="http://schemas.openxmlformats.org/spreadsheetml/2006/main" count="1114" uniqueCount="324">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</sst>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159.39654402501074</c:v>
                </c:pt>
                <c:pt idx="22">
                  <c:v>171.18397278750874</c:v>
                </c:pt>
                <c:pt idx="23">
                  <c:v>182.95230030612535</c:v>
                </c:pt>
                <c:pt idx="24">
                  <c:v>194.7029293179402</c:v>
                </c:pt>
                <c:pt idx="25">
                  <c:v>206.43707921846078</c:v>
                </c:pt>
                <c:pt idx="26">
                  <c:v>213.47010944722004</c:v>
                </c:pt>
                <c:pt idx="27">
                  <c:v>220.49780325501729</c:v>
                </c:pt>
                <c:pt idx="28">
                  <c:v>227.5203549639734</c:v>
                </c:pt>
                <c:pt idx="29">
                  <c:v>234.5379459034672</c:v>
                </c:pt>
                <c:pt idx="30">
                  <c:v>241.55074565033257</c:v>
                </c:pt>
                <c:pt idx="31">
                  <c:v>251.67220666437959</c:v>
                </c:pt>
                <c:pt idx="32">
                  <c:v>261.78444483261882</c:v>
                </c:pt>
                <c:pt idx="33">
                  <c:v>271.88786690161186</c:v>
                </c:pt>
                <c:pt idx="34">
                  <c:v>281.98284689642549</c:v>
                </c:pt>
                <c:pt idx="35">
                  <c:v>292.06972985560304</c:v>
                </c:pt>
                <c:pt idx="36">
                  <c:v>259.45164815796966</c:v>
                </c:pt>
                <c:pt idx="37">
                  <c:v>281.20660167429179</c:v>
                </c:pt>
                <c:pt idx="38">
                  <c:v>302.92383728372141</c:v>
                </c:pt>
                <c:pt idx="39">
                  <c:v>324.60643807826477</c:v>
                </c:pt>
                <c:pt idx="40">
                  <c:v>346.25704166537008</c:v>
                </c:pt>
                <c:pt idx="41">
                  <c:v>314.15647495690439</c:v>
                </c:pt>
                <c:pt idx="42">
                  <c:v>336.20880231759588</c:v>
                </c:pt>
                <c:pt idx="43">
                  <c:v>358.22928558083066</c:v>
                </c:pt>
                <c:pt idx="44">
                  <c:v>380.22015624917941</c:v>
                </c:pt>
                <c:pt idx="45">
                  <c:v>402.18336673633195</c:v>
                </c:pt>
                <c:pt idx="46">
                  <c:v>369.42119511414541</c:v>
                </c:pt>
                <c:pt idx="47">
                  <c:v>390.62711987431982</c:v>
                </c:pt>
                <c:pt idx="48">
                  <c:v>411.80807637868742</c:v>
                </c:pt>
                <c:pt idx="49">
                  <c:v>432.96552861089202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439.50055712660441</c:v>
                </c:pt>
                <c:pt idx="53">
                  <c:v>459.09327985807039</c:v>
                </c:pt>
                <c:pt idx="54">
                  <c:v>478.66815678776106</c:v>
                </c:pt>
                <c:pt idx="55">
                  <c:v>498.22601991660605</c:v>
                </c:pt>
                <c:pt idx="56">
                  <c:v>462.5489419632766</c:v>
                </c:pt>
                <c:pt idx="57">
                  <c:v>480.58633375842015</c:v>
                </c:pt>
                <c:pt idx="58">
                  <c:v>498.60934258764979</c:v>
                </c:pt>
                <c:pt idx="59">
                  <c:v>516.61856122298423</c:v>
                </c:pt>
                <c:pt idx="60">
                  <c:v>534.61453776319513</c:v>
                </c:pt>
                <c:pt idx="61">
                  <c:v>497.84269099902514</c:v>
                </c:pt>
                <c:pt idx="62">
                  <c:v>514.70332559574479</c:v>
                </c:pt>
                <c:pt idx="63">
                  <c:v>531.5523056174153</c:v>
                </c:pt>
                <c:pt idx="64">
                  <c:v>548.39005229891836</c:v>
                </c:pt>
                <c:pt idx="65">
                  <c:v>565.21695891368051</c:v>
                </c:pt>
                <c:pt idx="66">
                  <c:v>527.34112969240994</c:v>
                </c:pt>
                <c:pt idx="67">
                  <c:v>543.03378149300636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590.05582848802032</c:v>
                </c:pt>
                <c:pt idx="71">
                  <c:v>551.06777546888077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594.63905531968828</c:v>
                </c:pt>
                <c:pt idx="75">
                  <c:v>609.14778887966042</c:v>
                </c:pt>
                <c:pt idx="76">
                  <c:v>569.42203544921142</c:v>
                </c:pt>
                <c:pt idx="77">
                  <c:v>583.17959594683191</c:v>
                </c:pt>
                <c:pt idx="78">
                  <c:v>596.93039273337774</c:v>
                </c:pt>
                <c:pt idx="79">
                  <c:v>610.67460350167141</c:v>
                </c:pt>
                <c:pt idx="80">
                  <c:v>624.41239729750203</c:v>
                </c:pt>
                <c:pt idx="81">
                  <c:v>583.56165301259614</c:v>
                </c:pt>
                <c:pt idx="82">
                  <c:v>596.16663396016554</c:v>
                </c:pt>
                <c:pt idx="83">
                  <c:v>608.76607282046439</c:v>
                </c:pt>
                <c:pt idx="84">
                  <c:v>621.36010041874761</c:v>
                </c:pt>
                <c:pt idx="85">
                  <c:v>633.94884184664022</c:v>
                </c:pt>
                <c:pt idx="86">
                  <c:v>646.53241682467012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696.81727657286899</c:v>
                </c:pt>
                <c:pt idx="91">
                  <c:v>601.51251958281739</c:v>
                </c:pt>
                <c:pt idx="92">
                  <c:v>612.96467697950209</c:v>
                </c:pt>
                <c:pt idx="93">
                  <c:v>624.41239729750248</c:v>
                </c:pt>
                <c:pt idx="94">
                  <c:v>635.85577332565356</c:v>
                </c:pt>
                <c:pt idx="95">
                  <c:v>647.29489424172505</c:v>
                </c:pt>
                <c:pt idx="96">
                  <c:v>658.72984581562685</c:v>
                </c:pt>
                <c:pt idx="97">
                  <c:v>670.1607105977813</c:v>
                </c:pt>
                <c:pt idx="98">
                  <c:v>681.58756809397642</c:v>
                </c:pt>
                <c:pt idx="99">
                  <c:v>693.01049492789423</c:v>
                </c:pt>
                <c:pt idx="100">
                  <c:v>704.42956499236777</c:v>
                </c:pt>
                <c:pt idx="101">
                  <c:v>607.6208948171419</c:v>
                </c:pt>
                <c:pt idx="102">
                  <c:v>617.54429227660455</c:v>
                </c:pt>
                <c:pt idx="103">
                  <c:v>627.46438526884424</c:v>
                </c:pt>
                <c:pt idx="104">
                  <c:v>637.38123339273864</c:v>
                </c:pt>
                <c:pt idx="105">
                  <c:v>647.29489424172493</c:v>
                </c:pt>
                <c:pt idx="106">
                  <c:v>657.20542350161395</c:v>
                </c:pt>
                <c:pt idx="107">
                  <c:v>667.11287504220093</c:v>
                </c:pt>
                <c:pt idx="108">
                  <c:v>677.01730100315035</c:v>
                </c:pt>
                <c:pt idx="109">
                  <c:v>686.91875187459891</c:v>
                </c:pt>
                <c:pt idx="110">
                  <c:v>696.81727657286876</c:v>
                </c:pt>
                <c:pt idx="111">
                  <c:v>608.19348941446776</c:v>
                </c:pt>
                <c:pt idx="112">
                  <c:v>616.78107210210919</c:v>
                </c:pt>
                <c:pt idx="113">
                  <c:v>625.36617664098867</c:v>
                </c:pt>
                <c:pt idx="114">
                  <c:v>633.94884184664022</c:v>
                </c:pt>
                <c:pt idx="115">
                  <c:v>642.52910539795482</c:v>
                </c:pt>
                <c:pt idx="116">
                  <c:v>651.10700388552527</c:v>
                </c:pt>
                <c:pt idx="117">
                  <c:v>659.68257285730954</c:v>
                </c:pt>
                <c:pt idx="118">
                  <c:v>668.25584686179991</c:v>
                </c:pt>
                <c:pt idx="119">
                  <c:v>676.82685948885785</c:v>
                </c:pt>
                <c:pt idx="120">
                  <c:v>685.39564340837842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2.9040762087142453</c:v>
                </c:pt>
                <c:pt idx="2">
                  <c:v>3.4773202748427425</c:v>
                </c:pt>
                <c:pt idx="3">
                  <c:v>4.1641381375843167</c:v>
                </c:pt>
                <c:pt idx="4">
                  <c:v>4.9871099734380619</c:v>
                </c:pt>
                <c:pt idx="5">
                  <c:v>5.9733198374868941</c:v>
                </c:pt>
                <c:pt idx="6">
                  <c:v>7.1552567237350262</c:v>
                </c:pt>
                <c:pt idx="7">
                  <c:v>8.5718963956172569</c:v>
                </c:pt>
                <c:pt idx="8">
                  <c:v>10.27000034510241</c:v>
                </c:pt>
                <c:pt idx="9">
                  <c:v>12.305675568602934</c:v>
                </c:pt>
                <c:pt idx="10">
                  <c:v>14.746247658482027</c:v>
                </c:pt>
                <c:pt idx="11">
                  <c:v>17.672510300043498</c:v>
                </c:pt>
                <c:pt idx="12">
                  <c:v>21.181426995993817</c:v>
                </c:pt>
                <c:pt idx="13">
                  <c:v>25.389376147088512</c:v>
                </c:pt>
                <c:pt idx="14">
                  <c:v>30.436049020586243</c:v>
                </c:pt>
                <c:pt idx="15">
                  <c:v>36.489132264635835</c:v>
                </c:pt>
                <c:pt idx="16">
                  <c:v>43.749933231556845</c:v>
                </c:pt>
                <c:pt idx="17">
                  <c:v>52.46013836410372</c:v>
                </c:pt>
                <c:pt idx="18">
                  <c:v>62.909933368561269</c:v>
                </c:pt>
                <c:pt idx="19">
                  <c:v>75.447760161097548</c:v>
                </c:pt>
                <c:pt idx="20">
                  <c:v>90.49204121037269</c:v>
                </c:pt>
                <c:pt idx="21">
                  <c:v>102.21534438484889</c:v>
                </c:pt>
                <c:pt idx="22">
                  <c:v>113.90535303981146</c:v>
                </c:pt>
                <c:pt idx="23">
                  <c:v>125.56597116596221</c:v>
                </c:pt>
                <c:pt idx="24">
                  <c:v>137.20031631600065</c:v>
                </c:pt>
                <c:pt idx="25">
                  <c:v>148.81093286135922</c:v>
                </c:pt>
                <c:pt idx="26">
                  <c:v>159.98639323229057</c:v>
                </c:pt>
                <c:pt idx="27">
                  <c:v>171.14336016681935</c:v>
                </c:pt>
                <c:pt idx="28">
                  <c:v>182.28321024127104</c:v>
                </c:pt>
                <c:pt idx="29">
                  <c:v>193.40713781232171</c:v>
                </c:pt>
                <c:pt idx="30">
                  <c:v>204.51618846220973</c:v>
                </c:pt>
                <c:pt idx="31">
                  <c:v>212.32525328046404</c:v>
                </c:pt>
                <c:pt idx="32">
                  <c:v>220.1277002997974</c:v>
                </c:pt>
                <c:pt idx="33">
                  <c:v>227.92379747513769</c:v>
                </c:pt>
                <c:pt idx="34">
                  <c:v>235.7137929096485</c:v>
                </c:pt>
                <c:pt idx="35">
                  <c:v>243.49791694752579</c:v>
                </c:pt>
                <c:pt idx="36">
                  <c:v>217.66446793584771</c:v>
                </c:pt>
                <c:pt idx="37">
                  <c:v>234.89407374203219</c:v>
                </c:pt>
                <c:pt idx="38">
                  <c:v>252.09484919970501</c:v>
                </c:pt>
                <c:pt idx="39">
                  <c:v>269.26903825113033</c:v>
                </c:pt>
                <c:pt idx="40">
                  <c:v>286.4185751166749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329.19511576502646</c:v>
                </c:pt>
                <c:pt idx="46">
                  <c:v>303.13762323931286</c:v>
                </c:pt>
                <c:pt idx="47">
                  <c:v>319.83616118961032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343.42580104652302</c:v>
                </c:pt>
                <c:pt idx="52">
                  <c:v>359.67361293503609</c:v>
                </c:pt>
                <c:pt idx="53">
                  <c:v>375.9053740333265</c:v>
                </c:pt>
                <c:pt idx="54">
                  <c:v>392.12187483767121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429.36572078685384</c:v>
                </c:pt>
                <c:pt idx="63">
                  <c:v>443.9201281174773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458.06044564731332</c:v>
                </c:pt>
                <c:pt idx="68">
                  <c:v>471.78782761031488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494.37922843874412</c:v>
                </c:pt>
                <c:pt idx="74">
                  <c:v>506.87570609003552</c:v>
                </c:pt>
                <c:pt idx="75">
                  <c:v>519.36567225225349</c:v>
                </c:pt>
                <c:pt idx="76">
                  <c:v>489.13678734186618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537.48504536607982</c:v>
                </c:pt>
                <c:pt idx="81">
                  <c:v>506.87570609003546</c:v>
                </c:pt>
                <c:pt idx="82">
                  <c:v>518.56006095402688</c:v>
                </c:pt>
                <c:pt idx="83">
                  <c:v>530.23886398734817</c:v>
                </c:pt>
                <c:pt idx="84">
                  <c:v>541.91225469196922</c:v>
                </c:pt>
                <c:pt idx="85">
                  <c:v>553.58036607052361</c:v>
                </c:pt>
                <c:pt idx="86">
                  <c:v>522.18510454563477</c:v>
                </c:pt>
                <c:pt idx="87">
                  <c:v>533.05706938142669</c:v>
                </c:pt>
                <c:pt idx="88">
                  <c:v>543.92437106523562</c:v>
                </c:pt>
                <c:pt idx="89">
                  <c:v>554.78711589011334</c:v>
                </c:pt>
                <c:pt idx="90">
                  <c:v>565.64540564760955</c:v>
                </c:pt>
                <c:pt idx="91">
                  <c:v>529.03096526266211</c:v>
                </c:pt>
                <c:pt idx="92">
                  <c:v>534.66733162768367</c:v>
                </c:pt>
                <c:pt idx="93">
                  <c:v>540.30244864194117</c:v>
                </c:pt>
                <c:pt idx="94">
                  <c:v>545.93633118003402</c:v>
                </c:pt>
                <c:pt idx="95">
                  <c:v>551.56899378437413</c:v>
                </c:pt>
                <c:pt idx="96">
                  <c:v>557.20045067599392</c:v>
                </c:pt>
                <c:pt idx="97">
                  <c:v>562.83071576489795</c:v>
                </c:pt>
                <c:pt idx="98">
                  <c:v>568.45980265997707</c:v>
                </c:pt>
                <c:pt idx="99">
                  <c:v>574.08772467850861</c:v>
                </c:pt>
                <c:pt idx="100">
                  <c:v>579.71449485526716</c:v>
                </c:pt>
                <c:pt idx="101">
                  <c:v>542.31469049904456</c:v>
                </c:pt>
                <c:pt idx="102">
                  <c:v>547.14343251865034</c:v>
                </c:pt>
                <c:pt idx="103">
                  <c:v>551.97128052407231</c:v>
                </c:pt>
                <c:pt idx="104">
                  <c:v>556.79824344224153</c:v>
                </c:pt>
                <c:pt idx="105">
                  <c:v>561.62433003260378</c:v>
                </c:pt>
                <c:pt idx="106">
                  <c:v>566.44954889170651</c:v>
                </c:pt>
                <c:pt idx="107">
                  <c:v>571.27390845762045</c:v>
                </c:pt>
                <c:pt idx="108">
                  <c:v>576.09741701420489</c:v>
                </c:pt>
                <c:pt idx="109">
                  <c:v>580.92008269522091</c:v>
                </c:pt>
                <c:pt idx="110">
                  <c:v>585.74191348830391</c:v>
                </c:pt>
                <c:pt idx="111">
                  <c:v>551.36784810804613</c:v>
                </c:pt>
                <c:pt idx="112">
                  <c:v>555.18935360177773</c:v>
                </c:pt>
                <c:pt idx="113">
                  <c:v>559.01030805396238</c:v>
                </c:pt>
                <c:pt idx="114">
                  <c:v>562.83071576489749</c:v>
                </c:pt>
                <c:pt idx="115">
                  <c:v>566.65058097170186</c:v>
                </c:pt>
                <c:pt idx="116">
                  <c:v>570.46990784967363</c:v>
                </c:pt>
                <c:pt idx="117">
                  <c:v>574.28870051360889</c:v>
                </c:pt>
                <c:pt idx="118">
                  <c:v>578.10696301908376</c:v>
                </c:pt>
                <c:pt idx="119">
                  <c:v>581.92469936370128</c:v>
                </c:pt>
                <c:pt idx="120">
                  <c:v>585.74191348830357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2.0730494889998439</c:v>
                </c:pt>
                <c:pt idx="2">
                  <c:v>2.7713902099624388</c:v>
                </c:pt>
                <c:pt idx="3">
                  <c:v>3.7059598746197273</c:v>
                </c:pt>
                <c:pt idx="4">
                  <c:v>4.9569808986894621</c:v>
                </c:pt>
                <c:pt idx="5">
                  <c:v>6.6320182179794296</c:v>
                </c:pt>
                <c:pt idx="6">
                  <c:v>8.8753299463916484</c:v>
                </c:pt>
                <c:pt idx="7">
                  <c:v>11.880425685941423</c:v>
                </c:pt>
                <c:pt idx="8">
                  <c:v>15.906935948657278</c:v>
                </c:pt>
                <c:pt idx="9">
                  <c:v>21.303276722194457</c:v>
                </c:pt>
                <c:pt idx="10">
                  <c:v>28.537105341810928</c:v>
                </c:pt>
                <c:pt idx="11">
                  <c:v>38.236253093719412</c:v>
                </c:pt>
                <c:pt idx="12">
                  <c:v>51.243747757418383</c:v>
                </c:pt>
                <c:pt idx="13">
                  <c:v>68.691788300102857</c:v>
                </c:pt>
                <c:pt idx="14">
                  <c:v>92.101215593440472</c:v>
                </c:pt>
                <c:pt idx="15">
                  <c:v>123.51528748012358</c:v>
                </c:pt>
                <c:pt idx="16">
                  <c:v>142.310508240378</c:v>
                </c:pt>
                <c:pt idx="17">
                  <c:v>166.24108621267092</c:v>
                </c:pt>
                <c:pt idx="18">
                  <c:v>190.09024760279837</c:v>
                </c:pt>
                <c:pt idx="19">
                  <c:v>213.86965334974414</c:v>
                </c:pt>
                <c:pt idx="20">
                  <c:v>237.58815254200752</c:v>
                </c:pt>
                <c:pt idx="21">
                  <c:v>191.38430889136703</c:v>
                </c:pt>
                <c:pt idx="22">
                  <c:v>217.48272877564315</c:v>
                </c:pt>
                <c:pt idx="23">
                  <c:v>243.50910656067663</c:v>
                </c:pt>
                <c:pt idx="24">
                  <c:v>269.47222443165776</c:v>
                </c:pt>
                <c:pt idx="25">
                  <c:v>295.37903204669743</c:v>
                </c:pt>
                <c:pt idx="26">
                  <c:v>251.22718469835789</c:v>
                </c:pt>
                <c:pt idx="27">
                  <c:v>278.96905083089666</c:v>
                </c:pt>
                <c:pt idx="28">
                  <c:v>306.64902461461685</c:v>
                </c:pt>
                <c:pt idx="29">
                  <c:v>334.27347444605743</c:v>
                </c:pt>
                <c:pt idx="30">
                  <c:v>361.84763005162063</c:v>
                </c:pt>
                <c:pt idx="31">
                  <c:v>318.1656372745901</c:v>
                </c:pt>
                <c:pt idx="32">
                  <c:v>346.02389994775172</c:v>
                </c:pt>
                <c:pt idx="33">
                  <c:v>373.83292076812228</c:v>
                </c:pt>
                <c:pt idx="34">
                  <c:v>401.59687406880653</c:v>
                </c:pt>
                <c:pt idx="35">
                  <c:v>429.3193102010203</c:v>
                </c:pt>
                <c:pt idx="36">
                  <c:v>384.79084614161474</c:v>
                </c:pt>
                <c:pt idx="37">
                  <c:v>411.52051238897451</c:v>
                </c:pt>
                <c:pt idx="38">
                  <c:v>438.21271714302679</c:v>
                </c:pt>
                <c:pt idx="39">
                  <c:v>464.87006056330733</c:v>
                </c:pt>
                <c:pt idx="40">
                  <c:v>491.49482053067408</c:v>
                </c:pt>
                <c:pt idx="41">
                  <c:v>445.32465141602398</c:v>
                </c:pt>
                <c:pt idx="42">
                  <c:v>470.19755134133334</c:v>
                </c:pt>
                <c:pt idx="43">
                  <c:v>495.04243748759899</c:v>
                </c:pt>
                <c:pt idx="44">
                  <c:v>519.86091201489683</c:v>
                </c:pt>
                <c:pt idx="45">
                  <c:v>544.65441177955734</c:v>
                </c:pt>
                <c:pt idx="46">
                  <c:v>499.34953422631764</c:v>
                </c:pt>
                <c:pt idx="47">
                  <c:v>522.39198231059845</c:v>
                </c:pt>
                <c:pt idx="48">
                  <c:v>545.41301666320339</c:v>
                </c:pt>
                <c:pt idx="49">
                  <c:v>568.41366735640975</c:v>
                </c:pt>
                <c:pt idx="50">
                  <c:v>591.39487438498247</c:v>
                </c:pt>
                <c:pt idx="51">
                  <c:v>550.46981830733137</c:v>
                </c:pt>
                <c:pt idx="52">
                  <c:v>571.44524979248831</c:v>
                </c:pt>
                <c:pt idx="53">
                  <c:v>592.40460494682077</c:v>
                </c:pt>
                <c:pt idx="54">
                  <c:v>613.3485320613687</c:v>
                </c:pt>
                <c:pt idx="55">
                  <c:v>634.2776315858373</c:v>
                </c:pt>
                <c:pt idx="56">
                  <c:v>600.98587535009858</c:v>
                </c:pt>
                <c:pt idx="57">
                  <c:v>620.66276493365513</c:v>
                </c:pt>
                <c:pt idx="58">
                  <c:v>640.32673608720359</c:v>
                </c:pt>
                <c:pt idx="59">
                  <c:v>659.97824100389573</c:v>
                </c:pt>
                <c:pt idx="60">
                  <c:v>679.61770277833352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1.4327124782445348</c:v>
                </c:pt>
                <c:pt idx="2">
                  <c:v>1.7698724553896097</c:v>
                </c:pt>
                <c:pt idx="3">
                  <c:v>2.1866899936978048</c:v>
                </c:pt>
                <c:pt idx="4">
                  <c:v>2.7020552256417374</c:v>
                </c:pt>
                <c:pt idx="5">
                  <c:v>3.3393535681931135</c:v>
                </c:pt>
                <c:pt idx="6">
                  <c:v>4.1275389394884598</c:v>
                </c:pt>
                <c:pt idx="7">
                  <c:v>5.1024639668549554</c:v>
                </c:pt>
                <c:pt idx="8">
                  <c:v>6.3085288946047653</c:v>
                </c:pt>
                <c:pt idx="9">
                  <c:v>7.8007257546190312</c:v>
                </c:pt>
                <c:pt idx="10">
                  <c:v>9.6471728013714682</c:v>
                </c:pt>
                <c:pt idx="11">
                  <c:v>11.932257102199992</c:v>
                </c:pt>
                <c:pt idx="12">
                  <c:v>14.760531589725984</c:v>
                </c:pt>
                <c:pt idx="13">
                  <c:v>18.261548163560466</c:v>
                </c:pt>
                <c:pt idx="14">
                  <c:v>22.59585223415348</c:v>
                </c:pt>
                <c:pt idx="15">
                  <c:v>27.962418496961387</c:v>
                </c:pt>
                <c:pt idx="16">
                  <c:v>46.706218532614059</c:v>
                </c:pt>
                <c:pt idx="17">
                  <c:v>65.244509890059064</c:v>
                </c:pt>
                <c:pt idx="18">
                  <c:v>83.645319093061914</c:v>
                </c:pt>
                <c:pt idx="19">
                  <c:v>101.94347649028698</c:v>
                </c:pt>
                <c:pt idx="20">
                  <c:v>120.16010490933138</c:v>
                </c:pt>
                <c:pt idx="21">
                  <c:v>115.32232892790154</c:v>
                </c:pt>
                <c:pt idx="22">
                  <c:v>139.46576938145776</c:v>
                </c:pt>
                <c:pt idx="23">
                  <c:v>163.50860260621906</c:v>
                </c:pt>
                <c:pt idx="24">
                  <c:v>187.46773565266008</c:v>
                </c:pt>
                <c:pt idx="25">
                  <c:v>211.35538144796101</c:v>
                </c:pt>
                <c:pt idx="26">
                  <c:v>177.89326404928815</c:v>
                </c:pt>
                <c:pt idx="27">
                  <c:v>204.67347000617065</c:v>
                </c:pt>
                <c:pt idx="28">
                  <c:v>231.37256686301484</c:v>
                </c:pt>
                <c:pt idx="29">
                  <c:v>258.00123221136005</c:v>
                </c:pt>
                <c:pt idx="30">
                  <c:v>284.56775581267976</c:v>
                </c:pt>
                <c:pt idx="31">
                  <c:v>251.73034891940537</c:v>
                </c:pt>
                <c:pt idx="32">
                  <c:v>278.69016539368897</c:v>
                </c:pt>
                <c:pt idx="33">
                  <c:v>305.59146818394112</c:v>
                </c:pt>
                <c:pt idx="34">
                  <c:v>332.44012901920763</c:v>
                </c:pt>
                <c:pt idx="35">
                  <c:v>359.24099365648937</c:v>
                </c:pt>
                <c:pt idx="36">
                  <c:v>325.26014493454312</c:v>
                </c:pt>
                <c:pt idx="37">
                  <c:v>350.7526749211475</c:v>
                </c:pt>
                <c:pt idx="38">
                  <c:v>376.20458465456113</c:v>
                </c:pt>
                <c:pt idx="39">
                  <c:v>401.61900620394539</c:v>
                </c:pt>
                <c:pt idx="40">
                  <c:v>426.9986431118794</c:v>
                </c:pt>
                <c:pt idx="41">
                  <c:v>390.51639235278805</c:v>
                </c:pt>
                <c:pt idx="42">
                  <c:v>413.27900905936309</c:v>
                </c:pt>
                <c:pt idx="43">
                  <c:v>436.01458640999016</c:v>
                </c:pt>
                <c:pt idx="44">
                  <c:v>458.72473147027421</c:v>
                </c:pt>
                <c:pt idx="45">
                  <c:v>481.41087931839644</c:v>
                </c:pt>
                <c:pt idx="46">
                  <c:v>449.53102985794357</c:v>
                </c:pt>
                <c:pt idx="47">
                  <c:v>470.16446532159807</c:v>
                </c:pt>
                <c:pt idx="48">
                  <c:v>490.77862092610059</c:v>
                </c:pt>
                <c:pt idx="49">
                  <c:v>511.37441980303851</c:v>
                </c:pt>
                <c:pt idx="50">
                  <c:v>531.95270471681499</c:v>
                </c:pt>
                <c:pt idx="51">
                  <c:v>505.01035348700947</c:v>
                </c:pt>
                <c:pt idx="52">
                  <c:v>522.9751922470067</c:v>
                </c:pt>
                <c:pt idx="53">
                  <c:v>540.92703014765675</c:v>
                </c:pt>
                <c:pt idx="54">
                  <c:v>558.86635911008875</c:v>
                </c:pt>
                <c:pt idx="55">
                  <c:v>576.79363692084132</c:v>
                </c:pt>
                <c:pt idx="56">
                  <c:v>554.19583733967795</c:v>
                </c:pt>
                <c:pt idx="57">
                  <c:v>569.88556468417198</c:v>
                </c:pt>
                <c:pt idx="58">
                  <c:v>585.56626937020098</c:v>
                </c:pt>
                <c:pt idx="59">
                  <c:v>601.2382269080116</c:v>
                </c:pt>
                <c:pt idx="60">
                  <c:v>616.90169728225885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2.0730494889998439</c:v>
                </c:pt>
                <c:pt idx="2">
                  <c:v>2.7713902099624388</c:v>
                </c:pt>
                <c:pt idx="3">
                  <c:v>3.7059598746197273</c:v>
                </c:pt>
                <c:pt idx="4">
                  <c:v>4.9569808986894621</c:v>
                </c:pt>
                <c:pt idx="5">
                  <c:v>6.6320182179794296</c:v>
                </c:pt>
                <c:pt idx="6">
                  <c:v>8.8753299463916484</c:v>
                </c:pt>
                <c:pt idx="7">
                  <c:v>11.880425685941423</c:v>
                </c:pt>
                <c:pt idx="8">
                  <c:v>15.906935948657278</c:v>
                </c:pt>
                <c:pt idx="9">
                  <c:v>21.303276722194457</c:v>
                </c:pt>
                <c:pt idx="10">
                  <c:v>28.537105341810928</c:v>
                </c:pt>
                <c:pt idx="11">
                  <c:v>38.236253093719412</c:v>
                </c:pt>
                <c:pt idx="12">
                  <c:v>51.243747757418383</c:v>
                </c:pt>
                <c:pt idx="13">
                  <c:v>68.691788300102857</c:v>
                </c:pt>
                <c:pt idx="14">
                  <c:v>92.101215593440472</c:v>
                </c:pt>
                <c:pt idx="15">
                  <c:v>123.51528748012358</c:v>
                </c:pt>
                <c:pt idx="16">
                  <c:v>142.310508240378</c:v>
                </c:pt>
                <c:pt idx="17">
                  <c:v>166.24108621267092</c:v>
                </c:pt>
                <c:pt idx="18">
                  <c:v>190.09024760279837</c:v>
                </c:pt>
                <c:pt idx="19">
                  <c:v>213.86965334974414</c:v>
                </c:pt>
                <c:pt idx="20">
                  <c:v>237.58815254200752</c:v>
                </c:pt>
                <c:pt idx="21">
                  <c:v>191.38430889136703</c:v>
                </c:pt>
                <c:pt idx="22">
                  <c:v>217.48272877564315</c:v>
                </c:pt>
                <c:pt idx="23">
                  <c:v>243.50910656067663</c:v>
                </c:pt>
                <c:pt idx="24">
                  <c:v>269.47222443165776</c:v>
                </c:pt>
                <c:pt idx="25">
                  <c:v>295.37903204669743</c:v>
                </c:pt>
                <c:pt idx="26">
                  <c:v>251.22718469835789</c:v>
                </c:pt>
                <c:pt idx="27">
                  <c:v>278.96905083089666</c:v>
                </c:pt>
                <c:pt idx="28">
                  <c:v>306.64902461461685</c:v>
                </c:pt>
                <c:pt idx="29">
                  <c:v>334.27347444605743</c:v>
                </c:pt>
                <c:pt idx="30">
                  <c:v>361.84763005162063</c:v>
                </c:pt>
                <c:pt idx="31">
                  <c:v>318.1656372745901</c:v>
                </c:pt>
                <c:pt idx="32">
                  <c:v>346.02389994775172</c:v>
                </c:pt>
                <c:pt idx="33">
                  <c:v>373.83292076812228</c:v>
                </c:pt>
                <c:pt idx="34">
                  <c:v>401.59687406880653</c:v>
                </c:pt>
                <c:pt idx="35">
                  <c:v>429.3193102010203</c:v>
                </c:pt>
                <c:pt idx="36">
                  <c:v>384.79084614161474</c:v>
                </c:pt>
                <c:pt idx="37">
                  <c:v>411.52051238897451</c:v>
                </c:pt>
                <c:pt idx="38">
                  <c:v>438.21271714302679</c:v>
                </c:pt>
                <c:pt idx="39">
                  <c:v>464.87006056330733</c:v>
                </c:pt>
                <c:pt idx="40">
                  <c:v>491.49482053067408</c:v>
                </c:pt>
                <c:pt idx="41">
                  <c:v>445.32465141602398</c:v>
                </c:pt>
                <c:pt idx="42">
                  <c:v>470.19755134133334</c:v>
                </c:pt>
                <c:pt idx="43">
                  <c:v>495.04243748759899</c:v>
                </c:pt>
                <c:pt idx="44">
                  <c:v>519.86091201489683</c:v>
                </c:pt>
                <c:pt idx="45">
                  <c:v>544.65441177955734</c:v>
                </c:pt>
                <c:pt idx="46">
                  <c:v>499.34953422631764</c:v>
                </c:pt>
                <c:pt idx="47">
                  <c:v>522.39198231059845</c:v>
                </c:pt>
                <c:pt idx="48">
                  <c:v>545.41301666320339</c:v>
                </c:pt>
                <c:pt idx="49">
                  <c:v>568.41366735640975</c:v>
                </c:pt>
                <c:pt idx="50">
                  <c:v>591.39487438498247</c:v>
                </c:pt>
                <c:pt idx="51">
                  <c:v>550.46981830733137</c:v>
                </c:pt>
                <c:pt idx="52">
                  <c:v>571.44524979248831</c:v>
                </c:pt>
                <c:pt idx="53">
                  <c:v>592.40460494682077</c:v>
                </c:pt>
                <c:pt idx="54">
                  <c:v>613.3485320613687</c:v>
                </c:pt>
                <c:pt idx="55">
                  <c:v>634.2776315858373</c:v>
                </c:pt>
                <c:pt idx="56">
                  <c:v>600.98587535009858</c:v>
                </c:pt>
                <c:pt idx="57">
                  <c:v>620.66276493365513</c:v>
                </c:pt>
                <c:pt idx="58">
                  <c:v>640.32673608720359</c:v>
                </c:pt>
                <c:pt idx="59">
                  <c:v>659.97824100389573</c:v>
                </c:pt>
                <c:pt idx="60">
                  <c:v>679.61770277833352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80" workbookViewId="0">
      <selection activeCell="B11" sqref="B11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5.4401999999999999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0.37909999999999999</v>
      </c>
      <c r="D9" s="33">
        <f t="shared" ref="D9:D18" si="0">C9*$C$5</f>
        <v>2.0623798199999999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6</v>
      </c>
      <c r="C10" s="32">
        <v>7.4700000000000003E-2</v>
      </c>
      <c r="D10" s="33">
        <f t="shared" si="0"/>
        <v>0.40638294000000003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35</v>
      </c>
      <c r="C11" s="32">
        <v>0.44119999999999998</v>
      </c>
      <c r="D11" s="33">
        <f t="shared" si="0"/>
        <v>2.4002162399999998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156</v>
      </c>
      <c r="C12" s="32">
        <v>5.2499999999999998E-2</v>
      </c>
      <c r="D12" s="33">
        <f t="shared" si="0"/>
        <v>0.28561049999999999</v>
      </c>
      <c r="E12" s="34">
        <v>60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138</v>
      </c>
      <c r="C13" s="32">
        <v>5.2499999999999998E-2</v>
      </c>
      <c r="D13" s="33">
        <f t="shared" si="0"/>
        <v>0.28561049999999999</v>
      </c>
      <c r="E13" s="34">
        <v>60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5.440199999999999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73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103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121</v>
      </c>
      <c r="C38" s="60">
        <v>3</v>
      </c>
      <c r="D38" s="60">
        <v>0</v>
      </c>
      <c r="E38" s="51">
        <v>0</v>
      </c>
      <c r="F38" s="51"/>
      <c r="G38" s="51"/>
      <c r="H38" s="51">
        <v>1</v>
      </c>
      <c r="I38" s="53">
        <f t="shared" si="1"/>
        <v>3.6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147</v>
      </c>
      <c r="C39" s="60">
        <v>4</v>
      </c>
      <c r="D39" s="60">
        <v>28</v>
      </c>
      <c r="E39" s="51">
        <v>0</v>
      </c>
      <c r="F39" s="51"/>
      <c r="G39" s="51"/>
      <c r="H39" s="51">
        <v>1</v>
      </c>
      <c r="I39" s="49">
        <f t="shared" si="1"/>
        <v>5.2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175</v>
      </c>
      <c r="C40" s="60">
        <v>5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204</v>
      </c>
      <c r="C41" s="60">
        <v>6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231</v>
      </c>
      <c r="C42" s="60">
        <v>7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254</v>
      </c>
      <c r="C43" s="60">
        <v>8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273</v>
      </c>
      <c r="C44" s="60">
        <v>9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289</v>
      </c>
      <c r="C45" s="60">
        <v>10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302</v>
      </c>
      <c r="C46" s="60">
        <v>11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75</v>
      </c>
      <c r="B47" s="60">
        <v>312</v>
      </c>
      <c r="C47" s="60">
        <v>12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80</v>
      </c>
      <c r="B48" s="60">
        <v>320</v>
      </c>
      <c r="C48" s="60">
        <v>13</v>
      </c>
      <c r="D48" s="60">
        <v>28</v>
      </c>
      <c r="E48" s="51">
        <v>0.6</v>
      </c>
      <c r="F48" s="51"/>
      <c r="G48" s="51"/>
      <c r="H48" s="51">
        <v>0.4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90</v>
      </c>
      <c r="B49" s="60">
        <v>358</v>
      </c>
      <c r="C49" s="60">
        <v>15</v>
      </c>
      <c r="D49" s="60">
        <v>56</v>
      </c>
      <c r="E49" s="51">
        <v>0.7</v>
      </c>
      <c r="F49" s="51"/>
      <c r="G49" s="51"/>
      <c r="H49" s="51">
        <v>0.3</v>
      </c>
      <c r="I49" s="49">
        <f t="shared" si="1"/>
        <v>6.6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100</v>
      </c>
      <c r="B50" s="50">
        <v>362</v>
      </c>
      <c r="C50" s="50">
        <v>17</v>
      </c>
      <c r="D50" s="50">
        <v>56</v>
      </c>
      <c r="E50" s="51">
        <v>0.8</v>
      </c>
      <c r="F50" s="51"/>
      <c r="G50" s="51"/>
      <c r="H50" s="51">
        <v>0.2</v>
      </c>
      <c r="I50" s="49">
        <f t="shared" si="1"/>
        <v>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110</v>
      </c>
      <c r="B51" s="50">
        <v>358</v>
      </c>
      <c r="C51" s="50">
        <v>19</v>
      </c>
      <c r="D51" s="50">
        <v>51</v>
      </c>
      <c r="E51" s="51">
        <v>0.8</v>
      </c>
      <c r="F51" s="51"/>
      <c r="G51" s="51"/>
      <c r="H51" s="51">
        <v>0.2</v>
      </c>
      <c r="I51" s="49">
        <f t="shared" si="1"/>
        <v>5.2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120</v>
      </c>
      <c r="B52" s="50">
        <v>352</v>
      </c>
      <c r="C52" s="50">
        <v>21</v>
      </c>
      <c r="D52" s="50">
        <v>352</v>
      </c>
      <c r="E52" s="51">
        <v>0.9</v>
      </c>
      <c r="F52" s="51"/>
      <c r="G52" s="51"/>
      <c r="H52" s="51">
        <v>0.1</v>
      </c>
      <c r="I52" s="49">
        <f t="shared" si="1"/>
        <v>4.5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Charme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42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70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97</v>
      </c>
      <c r="C64" s="60">
        <v>3</v>
      </c>
      <c r="D64" s="60">
        <v>0</v>
      </c>
      <c r="E64" s="51">
        <v>0</v>
      </c>
      <c r="F64" s="51"/>
      <c r="G64" s="51"/>
      <c r="H64" s="51">
        <v>1</v>
      </c>
      <c r="I64" s="49">
        <f>IF(A64&lt;&gt;0,(B64-(B63-D63))/(A64-A63),"")</f>
        <v>5.4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116</v>
      </c>
      <c r="C65" s="60">
        <v>4</v>
      </c>
      <c r="D65" s="60">
        <v>21</v>
      </c>
      <c r="E65" s="51">
        <v>0</v>
      </c>
      <c r="F65" s="51"/>
      <c r="G65" s="51"/>
      <c r="H65" s="51">
        <v>1</v>
      </c>
      <c r="I65" s="49">
        <f>IF(A65&lt;&gt;0,(B65-(B64-D64))/(A65-A64),"")</f>
        <v>3.8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137</v>
      </c>
      <c r="C66" s="60">
        <v>5</v>
      </c>
      <c r="D66" s="60">
        <v>21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158</v>
      </c>
      <c r="C67" s="60">
        <v>6</v>
      </c>
      <c r="D67" s="60">
        <v>21</v>
      </c>
      <c r="E67" s="51">
        <v>0.2</v>
      </c>
      <c r="F67" s="51"/>
      <c r="G67" s="51"/>
      <c r="H67" s="51">
        <v>0.8</v>
      </c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178</v>
      </c>
      <c r="C68" s="60">
        <v>7</v>
      </c>
      <c r="D68" s="60">
        <v>21</v>
      </c>
      <c r="E68" s="51">
        <v>0.3</v>
      </c>
      <c r="F68" s="51"/>
      <c r="G68" s="51"/>
      <c r="H68" s="51">
        <v>0.7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50">
        <v>197</v>
      </c>
      <c r="C69" s="50">
        <v>8</v>
      </c>
      <c r="D69" s="50">
        <v>21</v>
      </c>
      <c r="E69" s="51">
        <v>0.3</v>
      </c>
      <c r="F69" s="51"/>
      <c r="G69" s="51"/>
      <c r="H69" s="51">
        <v>0.7</v>
      </c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50">
        <v>214</v>
      </c>
      <c r="C70" s="50">
        <v>9</v>
      </c>
      <c r="D70" s="50">
        <v>21</v>
      </c>
      <c r="E70" s="51">
        <v>0.4</v>
      </c>
      <c r="F70" s="51"/>
      <c r="G70" s="51"/>
      <c r="H70" s="51">
        <v>0.6</v>
      </c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50">
        <v>229</v>
      </c>
      <c r="C71" s="50">
        <v>10</v>
      </c>
      <c r="D71" s="50">
        <v>21</v>
      </c>
      <c r="E71" s="51">
        <v>0.4</v>
      </c>
      <c r="F71" s="51"/>
      <c r="G71" s="51"/>
      <c r="H71" s="51">
        <v>0.6</v>
      </c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50">
        <v>242</v>
      </c>
      <c r="C72" s="50">
        <v>11</v>
      </c>
      <c r="D72" s="50">
        <v>21</v>
      </c>
      <c r="E72" s="51">
        <v>0.5</v>
      </c>
      <c r="F72" s="51"/>
      <c r="G72" s="51"/>
      <c r="H72" s="51">
        <v>0.5</v>
      </c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50">
        <v>252</v>
      </c>
      <c r="C73" s="50">
        <v>12</v>
      </c>
      <c r="D73" s="50">
        <v>21</v>
      </c>
      <c r="E73" s="51">
        <v>0.5</v>
      </c>
      <c r="F73" s="51"/>
      <c r="G73" s="51"/>
      <c r="H73" s="51">
        <v>0.5</v>
      </c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50">
        <v>261</v>
      </c>
      <c r="C74" s="50">
        <v>13</v>
      </c>
      <c r="D74" s="50">
        <v>21</v>
      </c>
      <c r="E74" s="51">
        <v>0.6</v>
      </c>
      <c r="F74" s="51"/>
      <c r="G74" s="51"/>
      <c r="H74" s="51">
        <v>0.4</v>
      </c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85</v>
      </c>
      <c r="B75" s="50">
        <v>269</v>
      </c>
      <c r="C75" s="50">
        <v>14</v>
      </c>
      <c r="D75" s="50">
        <v>21</v>
      </c>
      <c r="E75" s="51">
        <v>0.6</v>
      </c>
      <c r="F75" s="51"/>
      <c r="G75" s="51"/>
      <c r="H75" s="51">
        <v>0.4</v>
      </c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90</v>
      </c>
      <c r="B76" s="50">
        <v>275</v>
      </c>
      <c r="C76" s="50">
        <v>15</v>
      </c>
      <c r="D76" s="50">
        <v>21</v>
      </c>
      <c r="E76" s="51">
        <v>0.7</v>
      </c>
      <c r="F76" s="51"/>
      <c r="G76" s="51"/>
      <c r="H76" s="51">
        <v>0.3</v>
      </c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100</v>
      </c>
      <c r="B77" s="50">
        <v>282</v>
      </c>
      <c r="C77" s="50">
        <v>16</v>
      </c>
      <c r="D77" s="50">
        <v>21</v>
      </c>
      <c r="E77" s="51">
        <v>0.7</v>
      </c>
      <c r="F77" s="51"/>
      <c r="G77" s="51"/>
      <c r="H77" s="51">
        <v>0.3</v>
      </c>
      <c r="I77" s="49">
        <f t="shared" si="2"/>
        <v>2.8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110</v>
      </c>
      <c r="B78" s="50">
        <v>285</v>
      </c>
      <c r="C78" s="50">
        <v>17</v>
      </c>
      <c r="D78" s="50">
        <v>19</v>
      </c>
      <c r="E78" s="51">
        <v>0.8</v>
      </c>
      <c r="F78" s="51"/>
      <c r="G78" s="51"/>
      <c r="H78" s="51">
        <v>0.2</v>
      </c>
      <c r="I78" s="49">
        <f t="shared" si="2"/>
        <v>2.4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>
        <v>120</v>
      </c>
      <c r="B79" s="50">
        <v>285</v>
      </c>
      <c r="C79" s="50">
        <v>18</v>
      </c>
      <c r="D79" s="50">
        <v>285</v>
      </c>
      <c r="E79" s="51">
        <v>0.8</v>
      </c>
      <c r="F79" s="51"/>
      <c r="G79" s="51"/>
      <c r="H79" s="51">
        <v>0.2</v>
      </c>
      <c r="I79" s="49">
        <f t="shared" si="2"/>
        <v>1.9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Pin laricio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15</v>
      </c>
      <c r="B88" s="60">
        <v>92</v>
      </c>
      <c r="C88" s="60">
        <v>1</v>
      </c>
      <c r="D88" s="60">
        <v>4</v>
      </c>
      <c r="E88" s="51">
        <v>0.2</v>
      </c>
      <c r="F88" s="51">
        <v>0.45</v>
      </c>
      <c r="G88" s="51">
        <v>0.35</v>
      </c>
      <c r="H88" s="87"/>
      <c r="I88" s="53">
        <f>IFERROR(B88/A88,"")</f>
        <v>6.1333333333333337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20</v>
      </c>
      <c r="B89" s="60">
        <v>180</v>
      </c>
      <c r="C89" s="60">
        <v>2</v>
      </c>
      <c r="D89" s="60">
        <v>56</v>
      </c>
      <c r="E89" s="51">
        <v>0.2</v>
      </c>
      <c r="F89" s="51">
        <v>0.45</v>
      </c>
      <c r="G89" s="51">
        <v>0.35</v>
      </c>
      <c r="H89" s="87"/>
      <c r="I89" s="53">
        <f t="shared" ref="I89:I107" si="3">IF(A89&lt;&gt;0,(B89-(B88-D88))/(A89-A88),"")</f>
        <v>18.399999999999999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25</v>
      </c>
      <c r="B90" s="60">
        <v>225</v>
      </c>
      <c r="C90" s="60">
        <v>3</v>
      </c>
      <c r="D90" s="60">
        <v>56</v>
      </c>
      <c r="E90" s="87">
        <v>0.3</v>
      </c>
      <c r="F90" s="87">
        <v>0.39</v>
      </c>
      <c r="G90" s="87">
        <v>0.31</v>
      </c>
      <c r="H90" s="87"/>
      <c r="I90" s="53">
        <f t="shared" si="3"/>
        <v>20.2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30</v>
      </c>
      <c r="B91" s="60">
        <v>277</v>
      </c>
      <c r="C91" s="60">
        <v>4</v>
      </c>
      <c r="D91" s="60">
        <v>56</v>
      </c>
      <c r="E91" s="87">
        <v>0.4</v>
      </c>
      <c r="F91" s="87">
        <v>0.34</v>
      </c>
      <c r="G91" s="87">
        <v>0.26</v>
      </c>
      <c r="H91" s="87"/>
      <c r="I91" s="53">
        <f t="shared" si="3"/>
        <v>21.6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35</v>
      </c>
      <c r="B92" s="60">
        <v>330</v>
      </c>
      <c r="C92" s="60">
        <v>5</v>
      </c>
      <c r="D92" s="60">
        <v>56</v>
      </c>
      <c r="E92" s="87">
        <v>0.4</v>
      </c>
      <c r="F92" s="87">
        <v>0.34</v>
      </c>
      <c r="G92" s="87">
        <v>0.26</v>
      </c>
      <c r="H92" s="87"/>
      <c r="I92" s="53">
        <f t="shared" si="3"/>
        <v>21.8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40</v>
      </c>
      <c r="B93" s="60">
        <v>379</v>
      </c>
      <c r="C93" s="60">
        <v>6</v>
      </c>
      <c r="D93" s="60">
        <v>56</v>
      </c>
      <c r="E93" s="87">
        <v>0.5</v>
      </c>
      <c r="F93" s="87">
        <v>0.28000000000000003</v>
      </c>
      <c r="G93" s="87">
        <v>0.22</v>
      </c>
      <c r="H93" s="87"/>
      <c r="I93" s="53">
        <f t="shared" si="3"/>
        <v>21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45</v>
      </c>
      <c r="B94" s="60">
        <v>421</v>
      </c>
      <c r="C94" s="60">
        <v>7</v>
      </c>
      <c r="D94" s="60">
        <v>54</v>
      </c>
      <c r="E94" s="87">
        <v>0.5</v>
      </c>
      <c r="F94" s="87">
        <v>0.28000000000000003</v>
      </c>
      <c r="G94" s="87">
        <v>0.22</v>
      </c>
      <c r="H94" s="87"/>
      <c r="I94" s="53">
        <f t="shared" si="3"/>
        <v>19.600000000000001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50</v>
      </c>
      <c r="B95" s="60">
        <v>458</v>
      </c>
      <c r="C95" s="60">
        <v>8</v>
      </c>
      <c r="D95" s="60">
        <v>49</v>
      </c>
      <c r="E95" s="87">
        <v>0.6</v>
      </c>
      <c r="F95" s="87">
        <v>0.22</v>
      </c>
      <c r="G95" s="87">
        <v>0.18</v>
      </c>
      <c r="H95" s="87"/>
      <c r="I95" s="53">
        <f t="shared" si="3"/>
        <v>18.2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55</v>
      </c>
      <c r="B96" s="60">
        <v>492</v>
      </c>
      <c r="C96" s="60">
        <v>9</v>
      </c>
      <c r="D96" s="60">
        <v>42</v>
      </c>
      <c r="E96" s="87">
        <v>0.6</v>
      </c>
      <c r="F96" s="87">
        <v>0.22</v>
      </c>
      <c r="G96" s="87">
        <v>0.18</v>
      </c>
      <c r="H96" s="87"/>
      <c r="I96" s="53">
        <f t="shared" si="3"/>
        <v>16.600000000000001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60</v>
      </c>
      <c r="B97" s="60">
        <v>528</v>
      </c>
      <c r="C97" s="60">
        <v>10</v>
      </c>
      <c r="D97" s="60">
        <v>528</v>
      </c>
      <c r="E97" s="87">
        <v>0.7</v>
      </c>
      <c r="F97" s="87">
        <v>0.17</v>
      </c>
      <c r="G97" s="87">
        <v>0.13</v>
      </c>
      <c r="H97" s="87"/>
      <c r="I97" s="53">
        <f t="shared" si="3"/>
        <v>15.6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Séquoia toujours vert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15</v>
      </c>
      <c r="B114" s="60">
        <v>27</v>
      </c>
      <c r="C114" s="50">
        <v>1</v>
      </c>
      <c r="D114" s="60">
        <v>0</v>
      </c>
      <c r="E114" s="51">
        <v>0.2</v>
      </c>
      <c r="F114" s="51">
        <v>0.45</v>
      </c>
      <c r="G114" s="51">
        <v>0.35</v>
      </c>
      <c r="H114" s="51"/>
      <c r="I114" s="53">
        <f>IFERROR(B114/A114,"")</f>
        <v>1.8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20</v>
      </c>
      <c r="B115" s="60">
        <v>121</v>
      </c>
      <c r="C115" s="50">
        <v>2</v>
      </c>
      <c r="D115" s="60">
        <v>30</v>
      </c>
      <c r="E115" s="51">
        <v>0.2</v>
      </c>
      <c r="F115" s="51">
        <v>0.45</v>
      </c>
      <c r="G115" s="51">
        <v>0.35</v>
      </c>
      <c r="H115" s="51"/>
      <c r="I115" s="53">
        <f t="shared" ref="I115:I133" si="4">IF(A115&lt;&gt;0,(B115-(B114-D114))/(A115-A114),"")</f>
        <v>18.8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25</v>
      </c>
      <c r="B116" s="60">
        <v>216</v>
      </c>
      <c r="C116" s="50">
        <v>3</v>
      </c>
      <c r="D116" s="60">
        <v>63</v>
      </c>
      <c r="E116" s="51">
        <v>0.3</v>
      </c>
      <c r="F116" s="51">
        <v>0.39</v>
      </c>
      <c r="G116" s="51">
        <v>0.31</v>
      </c>
      <c r="H116" s="51"/>
      <c r="I116" s="53">
        <f t="shared" si="4"/>
        <v>25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30</v>
      </c>
      <c r="B117" s="60">
        <v>293</v>
      </c>
      <c r="C117" s="50">
        <v>4</v>
      </c>
      <c r="D117" s="60">
        <v>63</v>
      </c>
      <c r="E117" s="51">
        <v>0.4</v>
      </c>
      <c r="F117" s="51">
        <v>0.34</v>
      </c>
      <c r="G117" s="51">
        <v>0.26</v>
      </c>
      <c r="H117" s="51"/>
      <c r="I117" s="53">
        <f t="shared" si="4"/>
        <v>28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35</v>
      </c>
      <c r="B118" s="60">
        <v>372</v>
      </c>
      <c r="C118" s="50">
        <v>5</v>
      </c>
      <c r="D118" s="60">
        <v>63</v>
      </c>
      <c r="E118" s="51">
        <v>0.4</v>
      </c>
      <c r="F118" s="51">
        <v>0.34</v>
      </c>
      <c r="G118" s="51">
        <v>0.26</v>
      </c>
      <c r="H118" s="51"/>
      <c r="I118" s="53">
        <f t="shared" si="4"/>
        <v>28.4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40</v>
      </c>
      <c r="B119" s="60">
        <v>444</v>
      </c>
      <c r="C119" s="50">
        <v>6</v>
      </c>
      <c r="D119" s="60">
        <v>63</v>
      </c>
      <c r="E119" s="51">
        <v>0.5</v>
      </c>
      <c r="F119" s="51">
        <v>0.28000000000000003</v>
      </c>
      <c r="G119" s="51">
        <v>0.22</v>
      </c>
      <c r="H119" s="51"/>
      <c r="I119" s="53">
        <f t="shared" si="4"/>
        <v>27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45</v>
      </c>
      <c r="B120" s="60">
        <v>502</v>
      </c>
      <c r="C120" s="60">
        <v>7</v>
      </c>
      <c r="D120" s="60">
        <v>56</v>
      </c>
      <c r="E120" s="87">
        <v>0.5</v>
      </c>
      <c r="F120" s="87">
        <v>0.28000000000000003</v>
      </c>
      <c r="G120" s="87">
        <v>0.22</v>
      </c>
      <c r="H120" s="87"/>
      <c r="I120" s="53">
        <f t="shared" si="4"/>
        <v>24.2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50</v>
      </c>
      <c r="B121" s="60">
        <v>556</v>
      </c>
      <c r="C121" s="60">
        <v>8</v>
      </c>
      <c r="D121" s="60">
        <v>48</v>
      </c>
      <c r="E121" s="87">
        <v>0.6</v>
      </c>
      <c r="F121" s="87">
        <v>0.22</v>
      </c>
      <c r="G121" s="87">
        <v>0.18</v>
      </c>
      <c r="H121" s="87"/>
      <c r="I121" s="53">
        <f t="shared" si="4"/>
        <v>22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55</v>
      </c>
      <c r="B122" s="60">
        <v>604</v>
      </c>
      <c r="C122" s="60">
        <v>9</v>
      </c>
      <c r="D122" s="60">
        <v>41</v>
      </c>
      <c r="E122" s="87">
        <v>0.6</v>
      </c>
      <c r="F122" s="87">
        <v>0.22</v>
      </c>
      <c r="G122" s="87">
        <v>0.18</v>
      </c>
      <c r="H122" s="87"/>
      <c r="I122" s="53">
        <f t="shared" si="4"/>
        <v>19.2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60</v>
      </c>
      <c r="B123" s="60">
        <v>647</v>
      </c>
      <c r="C123" s="60">
        <v>10</v>
      </c>
      <c r="D123" s="60">
        <v>647</v>
      </c>
      <c r="E123" s="87">
        <v>0.7</v>
      </c>
      <c r="F123" s="87">
        <v>0.17</v>
      </c>
      <c r="G123" s="87">
        <v>0.13</v>
      </c>
      <c r="H123" s="87"/>
      <c r="I123" s="53">
        <f t="shared" si="4"/>
        <v>16.8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Pin taeda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15</v>
      </c>
      <c r="B140" s="60">
        <v>92</v>
      </c>
      <c r="C140" s="50">
        <v>1</v>
      </c>
      <c r="D140" s="60">
        <v>4</v>
      </c>
      <c r="E140" s="51">
        <v>0.2</v>
      </c>
      <c r="F140" s="51">
        <v>0.45</v>
      </c>
      <c r="G140" s="51">
        <v>0.35</v>
      </c>
      <c r="H140" s="51"/>
      <c r="I140" s="57">
        <f>IFERROR(B140/A140,"")</f>
        <v>6.1333333333333337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20</v>
      </c>
      <c r="B141" s="60">
        <v>180</v>
      </c>
      <c r="C141" s="50">
        <v>2</v>
      </c>
      <c r="D141" s="60">
        <v>56</v>
      </c>
      <c r="E141" s="51">
        <v>0.2</v>
      </c>
      <c r="F141" s="51">
        <v>0.45</v>
      </c>
      <c r="G141" s="51">
        <v>0.35</v>
      </c>
      <c r="H141" s="51"/>
      <c r="I141" s="57">
        <f t="shared" ref="I141:I159" si="5">IF(A141&lt;&gt;0,(B141-(B140-D140))/(A141-A140),"")</f>
        <v>18.399999999999999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25</v>
      </c>
      <c r="B142" s="60">
        <v>225</v>
      </c>
      <c r="C142" s="50">
        <v>3</v>
      </c>
      <c r="D142" s="60">
        <v>56</v>
      </c>
      <c r="E142" s="51">
        <v>0.3</v>
      </c>
      <c r="F142" s="51">
        <v>0.39</v>
      </c>
      <c r="G142" s="51">
        <v>0.31</v>
      </c>
      <c r="H142" s="51"/>
      <c r="I142" s="57">
        <f t="shared" si="5"/>
        <v>20.2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30</v>
      </c>
      <c r="B143" s="60">
        <v>277</v>
      </c>
      <c r="C143" s="50">
        <v>4</v>
      </c>
      <c r="D143" s="60">
        <v>56</v>
      </c>
      <c r="E143" s="51">
        <v>0.4</v>
      </c>
      <c r="F143" s="51">
        <v>0.34</v>
      </c>
      <c r="G143" s="51">
        <v>0.26</v>
      </c>
      <c r="H143" s="51"/>
      <c r="I143" s="57">
        <f t="shared" si="5"/>
        <v>21.6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35</v>
      </c>
      <c r="B144" s="60">
        <v>330</v>
      </c>
      <c r="C144" s="50">
        <v>5</v>
      </c>
      <c r="D144" s="60">
        <v>56</v>
      </c>
      <c r="E144" s="51">
        <v>0.4</v>
      </c>
      <c r="F144" s="51">
        <v>0.34</v>
      </c>
      <c r="G144" s="51">
        <v>0.26</v>
      </c>
      <c r="H144" s="51"/>
      <c r="I144" s="57">
        <f t="shared" si="5"/>
        <v>21.8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40</v>
      </c>
      <c r="B145" s="60">
        <v>379</v>
      </c>
      <c r="C145" s="50">
        <v>6</v>
      </c>
      <c r="D145" s="60">
        <v>56</v>
      </c>
      <c r="E145" s="51">
        <v>0.5</v>
      </c>
      <c r="F145" s="51">
        <v>0.28000000000000003</v>
      </c>
      <c r="G145" s="51">
        <v>0.22</v>
      </c>
      <c r="H145" s="51"/>
      <c r="I145" s="57">
        <f t="shared" si="5"/>
        <v>21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45</v>
      </c>
      <c r="B146" s="60">
        <v>421</v>
      </c>
      <c r="C146" s="50">
        <v>7</v>
      </c>
      <c r="D146" s="60">
        <v>54</v>
      </c>
      <c r="E146" s="51">
        <v>0.5</v>
      </c>
      <c r="F146" s="51">
        <v>0.28000000000000003</v>
      </c>
      <c r="G146" s="51">
        <v>0.22</v>
      </c>
      <c r="H146" s="51"/>
      <c r="I146" s="57">
        <f t="shared" si="5"/>
        <v>19.600000000000001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50</v>
      </c>
      <c r="B147" s="60">
        <v>458</v>
      </c>
      <c r="C147" s="50">
        <v>8</v>
      </c>
      <c r="D147" s="60">
        <v>49</v>
      </c>
      <c r="E147" s="51">
        <v>0.6</v>
      </c>
      <c r="F147" s="51">
        <v>0.22</v>
      </c>
      <c r="G147" s="51">
        <v>0.18</v>
      </c>
      <c r="H147" s="51"/>
      <c r="I147" s="57">
        <f>IF(A147&lt;&gt;0,(B147-(B146-D146))/(A147-A146),"")</f>
        <v>18.2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55</v>
      </c>
      <c r="B148" s="60">
        <v>492</v>
      </c>
      <c r="C148" s="50">
        <v>9</v>
      </c>
      <c r="D148" s="60">
        <v>42</v>
      </c>
      <c r="E148" s="51">
        <v>0.6</v>
      </c>
      <c r="F148" s="51">
        <v>0.22</v>
      </c>
      <c r="G148" s="51">
        <v>0.18</v>
      </c>
      <c r="H148" s="51"/>
      <c r="I148" s="57">
        <f t="shared" si="5"/>
        <v>16.600000000000001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60</v>
      </c>
      <c r="B149" s="60">
        <v>528</v>
      </c>
      <c r="C149" s="50">
        <v>10</v>
      </c>
      <c r="D149" s="60">
        <v>528</v>
      </c>
      <c r="E149" s="51">
        <v>0.7</v>
      </c>
      <c r="F149" s="51">
        <v>0.17</v>
      </c>
      <c r="G149" s="51">
        <v>0.13</v>
      </c>
      <c r="H149" s="51"/>
      <c r="I149" s="57">
        <f t="shared" si="5"/>
        <v>15.6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4" sqref="C24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0.25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0.75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Charme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Pin laricio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Séquoia toujours vert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Pin taeda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1.25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4.583333333333333</v>
      </c>
      <c r="H3" s="67">
        <f>(B3+E3+F3)*44/12+(C3+D3)*0.475*44/12</f>
        <v>238.33333333333334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233.75</v>
      </c>
      <c r="S3" s="59">
        <f ca="1">AVERAGE(OFFSET($R$3,0,0,'Données projet'!$E$9+1,1))-AVERAGE(OFFSET($H$3,0,0,'Données projet'!$E$9+1,1))</f>
        <v>467.10712490977266</v>
      </c>
      <c r="T3" s="59">
        <f>IF('Données projet'!E9&gt;30,$R$33-$H$33,LOOKUP('Données projet'!$E$9,$A$3:$A$203,R3:R203)-LOOKUP('Données projet'!$E$9,$A$3:$A$203,$H$3:$H$203))</f>
        <v>282.99426855025968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233.75</v>
      </c>
      <c r="AN3" s="59">
        <f ca="1">AVERAGE(OFFSET($AM$3,0,0,'Données projet'!$E$10+1,1))-AVERAGE(OFFSET($H$3,0,0,'Données projet'!$E$10+1,1))</f>
        <v>399.57236812003225</v>
      </c>
      <c r="AO3" s="59">
        <f>IF('Données projet'!E10&gt;30,$AM$33-$H$33,LOOKUP('Données projet'!$E$10,$A$3:$A$203,AM3:AM203)-LOOKUP('Données projet'!$E$10,$A$3:$A$203,$H$3:$H$203))</f>
        <v>245.95971136213691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233.75</v>
      </c>
      <c r="BI3" s="59">
        <f ca="1">AVERAGE(OFFSET($BH$3,0,0,'Données projet'!$E$11+1,1))-AVERAGE(OFFSET($H$3,0,0,'Données projet'!$E$11+1,1))</f>
        <v>352.88552266225872</v>
      </c>
      <c r="BJ3" s="59">
        <f>IF('Données projet'!E11&gt;30,$BH$33-$H$33,LOOKUP('Données projet'!$E$11,$A$3:$A$203,BH3:BH203)-LOOKUP('Données projet'!$E$11,$A$3:$A$203,$H$3:$H$203))</f>
        <v>403.29115295154782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233.75</v>
      </c>
      <c r="CD3" s="59">
        <f ca="1">AVERAGE(OFFSET($CC$3,0,0,'Données projet'!$E$12+1,1))-AVERAGE(OFFSET($H$3,0,0,'Données projet'!$E$12+1,1))</f>
        <v>297.1442218517625</v>
      </c>
      <c r="CE3" s="59">
        <f>IF('Données projet'!E12&gt;30,$CC$33-$H$33,LOOKUP('Données projet'!$E$12,$A$3:$A$203,CC3:CC203)-LOOKUP('Données projet'!$E$12,$A$3:$A$203,$H$3:$H$203))</f>
        <v>326.0112787126069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233.75</v>
      </c>
      <c r="CY3" s="59">
        <f ca="1">AVERAGE(OFFSET($CX$3,0,0,'Données projet'!$E$13+1,1))-AVERAGE(OFFSET($H$3,0,0,'Données projet'!$E$13+1,1))</f>
        <v>352.88552266225872</v>
      </c>
      <c r="CZ3" s="59">
        <f>IF('Données projet'!E13&gt;30,$CX$33-$H$33,LOOKUP('Données projet'!$E$13,$A$3:$A$203,CX3:CX203)-LOOKUP('Données projet'!$E$13,$A$3:$A$203,$H$3:$H$203))</f>
        <v>403.29115295154782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1.25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4.583333333333333</v>
      </c>
      <c r="H4" s="67">
        <f t="shared" ref="H4:H67" si="1">(B4+E4+F4)*44/12+(C4+D4)*0.475*44/12</f>
        <v>238.33333333333334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63.858423527093294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238.21076492707061</v>
      </c>
      <c r="S4" s="59">
        <f ca="1">AVERAGE(OFFSET($R$3,0,0,'Données projet'!$E$9+1,1))-AVERAGE(OFFSET($H$3,0,0,'Données projet'!$E$9+1,1))</f>
        <v>467.10712490977266</v>
      </c>
      <c r="T4" s="59">
        <f>$T$3</f>
        <v>282.99426855025968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63.858423527093294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1.1471412528159133</v>
      </c>
      <c r="AK4" s="13">
        <f>EXP(-1.0587+0.8836*LN(AJ4)+0.284)</f>
        <v>0.52027092443628509</v>
      </c>
      <c r="AL4" s="20">
        <f t="shared" ref="AL4:AL67" si="4">(AJ4+AK4)*0.475*44/12</f>
        <v>2.9040762087142453</v>
      </c>
      <c r="AM4" s="59">
        <f t="shared" ref="AM4:AM67" si="5">AL4+(AD4+AE4)*44/12</f>
        <v>238.27385136361187</v>
      </c>
      <c r="AN4" s="59">
        <f ca="1">AVERAGE(OFFSET($AM$3,0,0,'Données projet'!$E$10+1,1))-AVERAGE(OFFSET($H$3,0,0,'Données projet'!$E$10+1,1))</f>
        <v>399.57236812003225</v>
      </c>
      <c r="AO4" s="59">
        <f>$AO$3</f>
        <v>245.95971136213691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63.858423527093294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6.1333333333333337</v>
      </c>
      <c r="BD4" s="12">
        <f>IF('Données projet'!$A$88&gt;35,BD3+BC4-BL3,IF(A4&lt;'Données projet'!$A$88,$BA$205^A4,IF(A4='Données projet'!$A$88,'Données projet'!$B$88,BD3+BC4-BL3)))</f>
        <v>1.351820999185372</v>
      </c>
      <c r="BE4" s="13">
        <f>BD4*VLOOKUP('Données projet'!$B$11,Paramètres!$A$1:$I$89,3,0)*VLOOKUP('Données projet'!$B$11,Paramètres!$A$1:$I$89,5,0)</f>
        <v>0.80838895751285256</v>
      </c>
      <c r="BF4" s="13">
        <f>EXP(-1.0587+0.8836*LN(BE4)+0.284)</f>
        <v>0.38187869167366073</v>
      </c>
      <c r="BG4" s="20">
        <f t="shared" ref="BG4:BG67" si="7">(BE4+BF4)*0.475*44/12</f>
        <v>2.0730494889998439</v>
      </c>
      <c r="BH4" s="59">
        <f t="shared" ref="BH4:BH67" si="8">BG4+(AY4+AZ4)*44/12</f>
        <v>237.44282464389747</v>
      </c>
      <c r="BI4" s="59">
        <f ca="1">AVERAGE(OFFSET($BH$3,0,0,'Données projet'!$E$11+1,1))-AVERAGE(OFFSET($H$3,0,0,'Données projet'!$E$11+1,1))</f>
        <v>352.88552266225872</v>
      </c>
      <c r="BJ4" s="59">
        <f>$BJ$3</f>
        <v>403.29115295154782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63.858423527093294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</v>
      </c>
      <c r="BY4" s="12">
        <f>IF('Données projet'!$A$114&gt;35,BY3+BX4-CG3,IF(A4&lt;'Données projet'!$A$114,$BV$205^A4,IF(A4='Données projet'!$A$114,'Données projet'!$B$114,BY3+BX4-CG3)))</f>
        <v>1.2457309396155174</v>
      </c>
      <c r="BZ4" s="13">
        <f>BY4*VLOOKUP('Données projet'!$B$12,Paramètres!$A$1:$I$89,3,0)*VLOOKUP('Données projet'!$B$12,Paramètres!$A$1:$I$89,5,0)</f>
        <v>0.55061307531005876</v>
      </c>
      <c r="CA4" s="13">
        <f>EXP(-1.0587+0.8836*LN(BZ4)+0.284)</f>
        <v>0.2719969600456551</v>
      </c>
      <c r="CB4" s="20">
        <f t="shared" ref="CB4:CB67" si="10">(BZ4+CA4)*0.475*44/12</f>
        <v>1.4327124782445348</v>
      </c>
      <c r="CC4" s="59">
        <f t="shared" ref="CC4:CC67" si="11">CB4+(BT4+BU4)*44/12</f>
        <v>236.80248763314214</v>
      </c>
      <c r="CD4" s="59">
        <f ca="1">AVERAGE(OFFSET($CC$3,0,0,'Données projet'!$E$12+1,1))-AVERAGE(OFFSET($H$3,0,0,'Données projet'!$E$12+1,1))</f>
        <v>297.1442218517625</v>
      </c>
      <c r="CE4" s="59">
        <f>$CE$3</f>
        <v>326.0112787126069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63.858423527093294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6.1333333333333337</v>
      </c>
      <c r="CT4" s="12">
        <f>IF('Données projet'!$A$140&gt;35,CT3+CS4-DB3,IF(A4&lt;'Données projet'!$A$140,$CQ$205^A4,IF(A4='Données projet'!$A$140,'Données projet'!$B$140,CT3+CS4-DB3)))</f>
        <v>1.351820999185372</v>
      </c>
      <c r="CU4" s="17">
        <f>CT4*VLOOKUP('Données projet'!$B$13,Paramètres!$A$1:$I$89,3,0)*VLOOKUP('Données projet'!$B$13,Paramètres!$A$1:$I$89,5,0)</f>
        <v>0.80838895751285256</v>
      </c>
      <c r="CV4" s="13">
        <f>EXP(-1.0587+0.8836*LN(CU4)+0.284)</f>
        <v>0.38187869167366073</v>
      </c>
      <c r="CW4" s="20">
        <f t="shared" ref="CW4:CW67" si="13">(CU4+CV4)*0.475*44/12</f>
        <v>2.0730494889998439</v>
      </c>
      <c r="CX4" s="59">
        <f t="shared" ref="CX4:CX67" si="14">CW4+(CO4+CP4)*44/12</f>
        <v>237.44282464389747</v>
      </c>
      <c r="CY4" s="59">
        <f ca="1">AVERAGE(OFFSET($CX$3,0,0,'Données projet'!$E$13+1,1))-AVERAGE(OFFSET($H$3,0,0,'Données projet'!$E$13+1,1))</f>
        <v>352.88552266225872</v>
      </c>
      <c r="CZ4" s="59">
        <f>$CZ$3</f>
        <v>403.29115295154782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63.858423527093294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63.858423527093294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63.858423527093294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63.858423527093294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63.858423527093294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1.25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4.583333333333333</v>
      </c>
      <c r="H5" s="67">
        <f t="shared" si="1"/>
        <v>238.33333333333334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63.964966148390211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240.47626743197421</v>
      </c>
      <c r="S5" s="59">
        <f ca="1">AVERAGE(OFFSET($R$3,0,0,'Données projet'!$E$9+1,1))-AVERAGE(OFFSET($H$3,0,0,'Données projet'!$E$9+1,1))</f>
        <v>467.10712490977266</v>
      </c>
      <c r="T5" s="59">
        <f t="shared" ref="T5:T68" si="34">$T$3</f>
        <v>282.99426855025968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63.964966148390211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1.3828636548046063</v>
      </c>
      <c r="AK5" s="13">
        <f t="shared" ref="AK5:AK68" si="35">EXP(-1.0587+0.8836*LN(AJ5)+0.284)</f>
        <v>0.61368387142089176</v>
      </c>
      <c r="AL5" s="20">
        <f t="shared" si="4"/>
        <v>3.4773202748427425</v>
      </c>
      <c r="AM5" s="59">
        <f t="shared" si="5"/>
        <v>240.45997393005129</v>
      </c>
      <c r="AN5" s="59">
        <f ca="1">AVERAGE(OFFSET($AM$3,0,0,'Données projet'!$E$10+1,1))-AVERAGE(OFFSET($H$3,0,0,'Données projet'!$E$10+1,1))</f>
        <v>399.57236812003225</v>
      </c>
      <c r="AO5" s="59">
        <f t="shared" ref="AO5:AO68" si="36">$AO$3</f>
        <v>245.95971136213691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63.964966148390211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6.1333333333333337</v>
      </c>
      <c r="BD5" s="12">
        <f>IF('Données projet'!$A$88&gt;35,BD4+BC5-BL4,IF(A5&lt;'Données projet'!$A$88,$BA$205^A5,IF(A5='Données projet'!$A$88,'Données projet'!$B$88,BD4+BC5-BL4)))</f>
        <v>1.8274200138385375</v>
      </c>
      <c r="BE5" s="13">
        <f>BD5*VLOOKUP('Données projet'!$B$11,Paramètres!$A$1:$I$89,3,0)*VLOOKUP('Données projet'!$B$11,Paramètres!$A$1:$I$89,5,0)</f>
        <v>1.0927971682754454</v>
      </c>
      <c r="BF5" s="13">
        <f t="shared" ref="BF5:BF68" si="37">EXP(-1.0587+0.8836*LN(BE5)+0.284)</f>
        <v>0.49843166041112263</v>
      </c>
      <c r="BG5" s="20">
        <f t="shared" si="7"/>
        <v>2.7713902099624388</v>
      </c>
      <c r="BH5" s="59">
        <f t="shared" si="8"/>
        <v>239.75404386517098</v>
      </c>
      <c r="BI5" s="59">
        <f ca="1">AVERAGE(OFFSET($BH$3,0,0,'Données projet'!$E$11+1,1))-AVERAGE(OFFSET($H$3,0,0,'Données projet'!$E$11+1,1))</f>
        <v>352.88552266225872</v>
      </c>
      <c r="BJ5" s="59">
        <f t="shared" ref="BJ5:BJ68" si="38">$BJ$3</f>
        <v>403.29115295154782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63.964966148390211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</v>
      </c>
      <c r="BY5" s="12">
        <f>IF('Données projet'!$A$114&gt;35,BY4+BX5-CG4,IF(A5&lt;'Données projet'!$A$114,$BV$205^A5,IF(A5='Données projet'!$A$114,'Données projet'!$B$114,BY4+BX5-CG4)))</f>
        <v>1.5518455739153598</v>
      </c>
      <c r="BZ5" s="13">
        <f>BY5*VLOOKUP('Données projet'!$B$12,Paramètres!$A$1:$I$89,3,0)*VLOOKUP('Données projet'!$B$12,Paramètres!$A$1:$I$89,5,0)</f>
        <v>0.68591574367058916</v>
      </c>
      <c r="CA5" s="13">
        <f t="shared" ref="CA5:CA68" si="39">EXP(-1.0587+0.8836*LN(BZ5)+0.284)</f>
        <v>0.33027896755789482</v>
      </c>
      <c r="CB5" s="20">
        <f t="shared" si="10"/>
        <v>1.7698724553896097</v>
      </c>
      <c r="CC5" s="59">
        <f t="shared" si="11"/>
        <v>238.75252611059815</v>
      </c>
      <c r="CD5" s="59">
        <f ca="1">AVERAGE(OFFSET($CC$3,0,0,'Données projet'!$E$12+1,1))-AVERAGE(OFFSET($H$3,0,0,'Données projet'!$E$12+1,1))</f>
        <v>297.1442218517625</v>
      </c>
      <c r="CE5" s="59">
        <f t="shared" ref="CE5:CE68" si="40">$CE$3</f>
        <v>326.0112787126069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63.964966148390211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6.1333333333333337</v>
      </c>
      <c r="CT5" s="12">
        <f>IF('Données projet'!$A$140&gt;35,CT4+CS5-DB4,IF(A5&lt;'Données projet'!$A$140,$CQ$205^A5,IF(A5='Données projet'!$A$140,'Données projet'!$B$140,CT4+CS5-DB4)))</f>
        <v>1.8274200138385375</v>
      </c>
      <c r="CU5" s="17">
        <f>CT5*VLOOKUP('Données projet'!$B$13,Paramètres!$A$1:$I$89,3,0)*VLOOKUP('Données projet'!$B$13,Paramètres!$A$1:$I$89,5,0)</f>
        <v>1.0927971682754454</v>
      </c>
      <c r="CV5" s="13">
        <f t="shared" ref="CV5:CV68" si="41">EXP(-1.0587+0.8836*LN(CU5)+0.284)</f>
        <v>0.49843166041112263</v>
      </c>
      <c r="CW5" s="20">
        <f t="shared" si="13"/>
        <v>2.7713902099624388</v>
      </c>
      <c r="CX5" s="59">
        <f t="shared" si="14"/>
        <v>239.75404386517098</v>
      </c>
      <c r="CY5" s="59">
        <f ca="1">AVERAGE(OFFSET($CX$3,0,0,'Données projet'!$E$13+1,1))-AVERAGE(OFFSET($H$3,0,0,'Données projet'!$E$13+1,1))</f>
        <v>352.88552266225872</v>
      </c>
      <c r="CZ5" s="59">
        <f t="shared" ref="CZ5:CZ68" si="42">$CZ$3</f>
        <v>403.29115295154782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63.964966148390211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63.964966148390211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63.964966148390211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63.964966148390211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63.964966148390211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1.25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4.583333333333333</v>
      </c>
      <c r="H6" s="67">
        <f t="shared" si="1"/>
        <v>238.33333333333334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64.069660493401244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242.88548203347707</v>
      </c>
      <c r="S6" s="59">
        <f ca="1">AVERAGE(OFFSET($R$3,0,0,'Données projet'!$E$9+1,1))-AVERAGE(OFFSET($H$3,0,0,'Données projet'!$E$9+1,1))</f>
        <v>467.10712490977266</v>
      </c>
      <c r="T6" s="59">
        <f t="shared" si="34"/>
        <v>282.99426855025968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64.069660493401244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1.6670239023183575</v>
      </c>
      <c r="AK6" s="13">
        <f t="shared" si="35"/>
        <v>0.72386880825637001</v>
      </c>
      <c r="AL6" s="20">
        <f t="shared" si="4"/>
        <v>4.1641381375843167</v>
      </c>
      <c r="AM6" s="59">
        <f t="shared" si="5"/>
        <v>242.75289328005556</v>
      </c>
      <c r="AN6" s="59">
        <f ca="1">AVERAGE(OFFSET($AM$3,0,0,'Données projet'!$E$10+1,1))-AVERAGE(OFFSET($H$3,0,0,'Données projet'!$E$10+1,1))</f>
        <v>399.57236812003225</v>
      </c>
      <c r="AO6" s="59">
        <f t="shared" si="36"/>
        <v>245.95971136213691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64.069660493401244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6.1333333333333337</v>
      </c>
      <c r="BD6" s="12">
        <f>IF('Données projet'!$A$88&gt;35,BD5+BC6-BL5,IF(A6&lt;'Données projet'!$A$88,$BA$205^A6,IF(A6='Données projet'!$A$88,'Données projet'!$B$88,BD5+BC6-BL5)))</f>
        <v>2.4703447490385582</v>
      </c>
      <c r="BE6" s="13">
        <f>BD6*VLOOKUP('Données projet'!$B$11,Paramètres!$A$1:$I$89,3,0)*VLOOKUP('Données projet'!$B$11,Paramètres!$A$1:$I$89,5,0)</f>
        <v>1.4772661599250581</v>
      </c>
      <c r="BF6" s="13">
        <f t="shared" si="37"/>
        <v>0.65055769153124499</v>
      </c>
      <c r="BG6" s="20">
        <f t="shared" si="7"/>
        <v>3.7059598746197273</v>
      </c>
      <c r="BH6" s="59">
        <f t="shared" si="8"/>
        <v>242.29471501709097</v>
      </c>
      <c r="BI6" s="59">
        <f ca="1">AVERAGE(OFFSET($BH$3,0,0,'Données projet'!$E$11+1,1))-AVERAGE(OFFSET($H$3,0,0,'Données projet'!$E$11+1,1))</f>
        <v>352.88552266225872</v>
      </c>
      <c r="BJ6" s="59">
        <f t="shared" si="38"/>
        <v>403.29115295154782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64.069660493401244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</v>
      </c>
      <c r="BY6" s="12">
        <f>IF('Données projet'!$A$114&gt;35,BY5+BX6-CG5,IF(A6&lt;'Données projet'!$A$114,$BV$205^A6,IF(A6='Données projet'!$A$114,'Données projet'!$B$114,BY5+BX6-CG5)))</f>
        <v>1.9331820449317632</v>
      </c>
      <c r="BZ6" s="13">
        <f>BY6*VLOOKUP('Données projet'!$B$12,Paramètres!$A$1:$I$89,3,0)*VLOOKUP('Données projet'!$B$12,Paramètres!$A$1:$I$89,5,0)</f>
        <v>0.85446646385983938</v>
      </c>
      <c r="CA6" s="13">
        <f t="shared" si="39"/>
        <v>0.4010493219953597</v>
      </c>
      <c r="CB6" s="20">
        <f t="shared" si="10"/>
        <v>2.1866899936978048</v>
      </c>
      <c r="CC6" s="59">
        <f t="shared" si="11"/>
        <v>240.77544513616903</v>
      </c>
      <c r="CD6" s="59">
        <f ca="1">AVERAGE(OFFSET($CC$3,0,0,'Données projet'!$E$12+1,1))-AVERAGE(OFFSET($H$3,0,0,'Données projet'!$E$12+1,1))</f>
        <v>297.1442218517625</v>
      </c>
      <c r="CE6" s="59">
        <f t="shared" si="40"/>
        <v>326.0112787126069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64.069660493401244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6.1333333333333337</v>
      </c>
      <c r="CT6" s="12">
        <f>IF('Données projet'!$A$140&gt;35,CT5+CS6-DB5,IF(A6&lt;'Données projet'!$A$140,$CQ$205^A6,IF(A6='Données projet'!$A$140,'Données projet'!$B$140,CT5+CS6-DB5)))</f>
        <v>2.4703447490385582</v>
      </c>
      <c r="CU6" s="17">
        <f>CT6*VLOOKUP('Données projet'!$B$13,Paramètres!$A$1:$I$89,3,0)*VLOOKUP('Données projet'!$B$13,Paramètres!$A$1:$I$89,5,0)</f>
        <v>1.4772661599250581</v>
      </c>
      <c r="CV6" s="13">
        <f t="shared" si="41"/>
        <v>0.65055769153124499</v>
      </c>
      <c r="CW6" s="20">
        <f t="shared" si="13"/>
        <v>3.7059598746197273</v>
      </c>
      <c r="CX6" s="59">
        <f t="shared" si="14"/>
        <v>242.29471501709097</v>
      </c>
      <c r="CY6" s="59">
        <f ca="1">AVERAGE(OFFSET($CX$3,0,0,'Données projet'!$E$13+1,1))-AVERAGE(OFFSET($H$3,0,0,'Données projet'!$E$13+1,1))</f>
        <v>352.88552266225872</v>
      </c>
      <c r="CZ6" s="59">
        <f t="shared" si="42"/>
        <v>403.29115295154782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64.069660493401244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64.069660493401244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64.069660493401244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64.069660493401244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64.069660493401244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1.25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4.583333333333333</v>
      </c>
      <c r="H7" s="67">
        <f t="shared" si="1"/>
        <v>238.33333333333334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64.172538625587819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245.47335166066233</v>
      </c>
      <c r="S7" s="59">
        <f ca="1">AVERAGE(OFFSET($R$3,0,0,'Données projet'!$E$9+1,1))-AVERAGE(OFFSET($H$3,0,0,'Données projet'!$E$9+1,1))</f>
        <v>467.10712490977266</v>
      </c>
      <c r="T7" s="59">
        <f t="shared" si="34"/>
        <v>282.99426855025968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64.172538625587819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2.0095753339423639</v>
      </c>
      <c r="AK7" s="13">
        <f t="shared" si="35"/>
        <v>0.85383709099815042</v>
      </c>
      <c r="AL7" s="20">
        <f t="shared" si="4"/>
        <v>4.9871099734380619</v>
      </c>
      <c r="AM7" s="59">
        <f t="shared" si="5"/>
        <v>245.17530715614893</v>
      </c>
      <c r="AN7" s="59">
        <f ca="1">AVERAGE(OFFSET($AM$3,0,0,'Données projet'!$E$10+1,1))-AVERAGE(OFFSET($H$3,0,0,'Données projet'!$E$10+1,1))</f>
        <v>399.57236812003225</v>
      </c>
      <c r="AO7" s="59">
        <f t="shared" si="36"/>
        <v>245.95971136213691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64.172538625587819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6.1333333333333337</v>
      </c>
      <c r="BD7" s="12">
        <f>IF('Données projet'!$A$88&gt;35,BD6+BC7-BL6,IF(A7&lt;'Données projet'!$A$88,$BA$205^A7,IF(A7='Données projet'!$A$88,'Données projet'!$B$88,BD6+BC7-BL6)))</f>
        <v>3.3394639069776404</v>
      </c>
      <c r="BE7" s="13">
        <f>BD7*VLOOKUP('Données projet'!$B$11,Paramètres!$A$1:$I$89,3,0)*VLOOKUP('Données projet'!$B$11,Paramètres!$A$1:$I$89,5,0)</f>
        <v>1.996999416372629</v>
      </c>
      <c r="BF7" s="13">
        <f t="shared" si="37"/>
        <v>0.84911401828160815</v>
      </c>
      <c r="BG7" s="20">
        <f t="shared" si="7"/>
        <v>4.9569808986894621</v>
      </c>
      <c r="BH7" s="59">
        <f t="shared" si="8"/>
        <v>245.14517808140033</v>
      </c>
      <c r="BI7" s="59">
        <f ca="1">AVERAGE(OFFSET($BH$3,0,0,'Données projet'!$E$11+1,1))-AVERAGE(OFFSET($H$3,0,0,'Données projet'!$E$11+1,1))</f>
        <v>352.88552266225872</v>
      </c>
      <c r="BJ7" s="59">
        <f t="shared" si="38"/>
        <v>403.29115295154782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64.172538625587819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</v>
      </c>
      <c r="BY7" s="12">
        <f>IF('Données projet'!$A$114&gt;35,BY6+BX7-CG6,IF(A7&lt;'Données projet'!$A$114,$BV$205^A7,IF(A7='Données projet'!$A$114,'Données projet'!$B$114,BY6+BX7-CG6)))</f>
        <v>2.4082246852806923</v>
      </c>
      <c r="BZ7" s="13">
        <f>BY7*VLOOKUP('Données projet'!$B$12,Paramètres!$A$1:$I$89,3,0)*VLOOKUP('Données projet'!$B$12,Paramètres!$A$1:$I$89,5,0)</f>
        <v>1.0644353108940663</v>
      </c>
      <c r="CA7" s="13">
        <f t="shared" si="39"/>
        <v>0.48698395741697931</v>
      </c>
      <c r="CB7" s="20">
        <f t="shared" si="10"/>
        <v>2.7020552256417374</v>
      </c>
      <c r="CC7" s="59">
        <f t="shared" si="11"/>
        <v>242.89025240835261</v>
      </c>
      <c r="CD7" s="59">
        <f ca="1">AVERAGE(OFFSET($CC$3,0,0,'Données projet'!$E$12+1,1))-AVERAGE(OFFSET($H$3,0,0,'Données projet'!$E$12+1,1))</f>
        <v>297.1442218517625</v>
      </c>
      <c r="CE7" s="59">
        <f t="shared" si="40"/>
        <v>326.0112787126069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64.172538625587819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6.1333333333333337</v>
      </c>
      <c r="CT7" s="12">
        <f>IF('Données projet'!$A$140&gt;35,CT6+CS7-DB6,IF(A7&lt;'Données projet'!$A$140,$CQ$205^A7,IF(A7='Données projet'!$A$140,'Données projet'!$B$140,CT6+CS7-DB6)))</f>
        <v>3.3394639069776404</v>
      </c>
      <c r="CU7" s="17">
        <f>CT7*VLOOKUP('Données projet'!$B$13,Paramètres!$A$1:$I$89,3,0)*VLOOKUP('Données projet'!$B$13,Paramètres!$A$1:$I$89,5,0)</f>
        <v>1.996999416372629</v>
      </c>
      <c r="CV7" s="13">
        <f t="shared" si="41"/>
        <v>0.84911401828160815</v>
      </c>
      <c r="CW7" s="20">
        <f t="shared" si="13"/>
        <v>4.9569808986894621</v>
      </c>
      <c r="CX7" s="59">
        <f t="shared" si="14"/>
        <v>245.14517808140033</v>
      </c>
      <c r="CY7" s="59">
        <f ca="1">AVERAGE(OFFSET($CX$3,0,0,'Données projet'!$E$13+1,1))-AVERAGE(OFFSET($H$3,0,0,'Données projet'!$E$13+1,1))</f>
        <v>352.88552266225872</v>
      </c>
      <c r="CZ7" s="59">
        <f t="shared" si="42"/>
        <v>403.29115295154782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64.172538625587819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64.172538625587819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64.172538625587819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64.172538625587819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64.172538625587819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1.25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4.583333333333333</v>
      </c>
      <c r="H8" s="67">
        <f t="shared" si="1"/>
        <v>238.33333333333334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64.273632052182023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248.28290314151067</v>
      </c>
      <c r="S8" s="59">
        <f ca="1">AVERAGE(OFFSET($R$3,0,0,'Données projet'!$E$9+1,1))-AVERAGE(OFFSET($H$3,0,0,'Données projet'!$E$9+1,1))</f>
        <v>467.10712490977266</v>
      </c>
      <c r="T8" s="59">
        <f t="shared" si="34"/>
        <v>282.99426855025968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64.273632052182023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2.4225165681027749</v>
      </c>
      <c r="AK8" s="13">
        <f t="shared" si="35"/>
        <v>1.0071407548562075</v>
      </c>
      <c r="AL8" s="20">
        <f t="shared" si="4"/>
        <v>5.9733198374868941</v>
      </c>
      <c r="AM8" s="59">
        <f t="shared" si="5"/>
        <v>247.75441513993209</v>
      </c>
      <c r="AN8" s="59">
        <f ca="1">AVERAGE(OFFSET($AM$3,0,0,'Données projet'!$E$10+1,1))-AVERAGE(OFFSET($H$3,0,0,'Données projet'!$E$10+1,1))</f>
        <v>399.57236812003225</v>
      </c>
      <c r="AO8" s="59">
        <f t="shared" si="36"/>
        <v>245.95971136213691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64.273632052182023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6.1333333333333337</v>
      </c>
      <c r="BD8" s="12">
        <f>IF('Données projet'!$A$88&gt;35,BD7+BC8-BL7,IF(A8&lt;'Données projet'!$A$88,$BA$205^A8,IF(A8='Données projet'!$A$88,'Données projet'!$B$88,BD7+BC8-BL7)))</f>
        <v>4.5143574354740004</v>
      </c>
      <c r="BE8" s="13">
        <f>BD8*VLOOKUP('Données projet'!$B$11,Paramètres!$A$1:$I$89,3,0)*VLOOKUP('Données projet'!$B$11,Paramètres!$A$1:$I$89,5,0)</f>
        <v>2.6995857464134523</v>
      </c>
      <c r="BF8" s="13">
        <f t="shared" si="37"/>
        <v>1.1082716036225841</v>
      </c>
      <c r="BG8" s="20">
        <f t="shared" si="7"/>
        <v>6.6320182179794296</v>
      </c>
      <c r="BH8" s="59">
        <f t="shared" si="8"/>
        <v>248.41311352042464</v>
      </c>
      <c r="BI8" s="59">
        <f ca="1">AVERAGE(OFFSET($BH$3,0,0,'Données projet'!$E$11+1,1))-AVERAGE(OFFSET($H$3,0,0,'Données projet'!$E$11+1,1))</f>
        <v>352.88552266225872</v>
      </c>
      <c r="BJ8" s="59">
        <f t="shared" si="38"/>
        <v>403.29115295154782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64.273632052182023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</v>
      </c>
      <c r="BY8" s="12">
        <f>IF('Données projet'!$A$114&gt;35,BY7+BX8-CG7,IF(A8&lt;'Données projet'!$A$114,$BV$205^A8,IF(A8='Données projet'!$A$114,'Données projet'!$B$114,BY7+BX8-CG7)))</f>
        <v>3.0000000000000004</v>
      </c>
      <c r="BZ8" s="13">
        <f>BY8*VLOOKUP('Données projet'!$B$12,Paramètres!$A$1:$I$89,3,0)*VLOOKUP('Données projet'!$B$12,Paramètres!$A$1:$I$89,5,0)</f>
        <v>1.3260000000000003</v>
      </c>
      <c r="CA8" s="13">
        <f t="shared" si="39"/>
        <v>0.59133219226398837</v>
      </c>
      <c r="CB8" s="20">
        <f t="shared" si="10"/>
        <v>3.3393535681931135</v>
      </c>
      <c r="CC8" s="59">
        <f t="shared" si="11"/>
        <v>245.12044887063831</v>
      </c>
      <c r="CD8" s="59">
        <f ca="1">AVERAGE(OFFSET($CC$3,0,0,'Données projet'!$E$12+1,1))-AVERAGE(OFFSET($H$3,0,0,'Données projet'!$E$12+1,1))</f>
        <v>297.1442218517625</v>
      </c>
      <c r="CE8" s="59">
        <f t="shared" si="40"/>
        <v>326.0112787126069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64.273632052182023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6.1333333333333337</v>
      </c>
      <c r="CT8" s="12">
        <f>IF('Données projet'!$A$140&gt;35,CT7+CS8-DB7,IF(A8&lt;'Données projet'!$A$140,$CQ$205^A8,IF(A8='Données projet'!$A$140,'Données projet'!$B$140,CT7+CS8-DB7)))</f>
        <v>4.5143574354740004</v>
      </c>
      <c r="CU8" s="17">
        <f>CT8*VLOOKUP('Données projet'!$B$13,Paramètres!$A$1:$I$89,3,0)*VLOOKUP('Données projet'!$B$13,Paramètres!$A$1:$I$89,5,0)</f>
        <v>2.6995857464134523</v>
      </c>
      <c r="CV8" s="13">
        <f t="shared" si="41"/>
        <v>1.1082716036225841</v>
      </c>
      <c r="CW8" s="20">
        <f t="shared" si="13"/>
        <v>6.6320182179794296</v>
      </c>
      <c r="CX8" s="59">
        <f t="shared" si="14"/>
        <v>248.41311352042464</v>
      </c>
      <c r="CY8" s="59">
        <f ca="1">AVERAGE(OFFSET($CX$3,0,0,'Données projet'!$E$13+1,1))-AVERAGE(OFFSET($H$3,0,0,'Données projet'!$E$13+1,1))</f>
        <v>352.88552266225872</v>
      </c>
      <c r="CZ8" s="59">
        <f t="shared" si="42"/>
        <v>403.29115295154782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64.273632052182023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64.273632052182023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64.273632052182023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64.273632052182023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64.273632052182023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1.25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4.583333333333333</v>
      </c>
      <c r="H9" s="67">
        <f t="shared" si="1"/>
        <v>238.33333333333334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64.37297173383584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251.36713046736753</v>
      </c>
      <c r="S9" s="59">
        <f ca="1">AVERAGE(OFFSET($R$3,0,0,'Données projet'!$E$9+1,1))-AVERAGE(OFFSET($H$3,0,0,'Données projet'!$E$9+1,1))</f>
        <v>467.10712490977266</v>
      </c>
      <c r="T9" s="59">
        <f t="shared" si="34"/>
        <v>282.99426855025968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64.37297173383584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2.9203117811062675</v>
      </c>
      <c r="AK9" s="13">
        <f t="shared" si="35"/>
        <v>1.1879695913731732</v>
      </c>
      <c r="AL9" s="20">
        <f t="shared" si="4"/>
        <v>7.1552567237350262</v>
      </c>
      <c r="AM9" s="59">
        <f t="shared" si="5"/>
        <v>250.52281974779979</v>
      </c>
      <c r="AN9" s="59">
        <f ca="1">AVERAGE(OFFSET($AM$3,0,0,'Données projet'!$E$10+1,1))-AVERAGE(OFFSET($H$3,0,0,'Données projet'!$E$10+1,1))</f>
        <v>399.57236812003225</v>
      </c>
      <c r="AO9" s="59">
        <f t="shared" si="36"/>
        <v>245.95971136213691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64.37297173383584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6.1333333333333337</v>
      </c>
      <c r="BD9" s="12">
        <f>IF('Données projet'!$A$88&gt;35,BD8+BC9-BL8,IF(A9&lt;'Données projet'!$A$88,$BA$205^A9,IF(A9='Données projet'!$A$88,'Données projet'!$B$88,BD8+BC9-BL8)))</f>
        <v>6.1026031791023758</v>
      </c>
      <c r="BE9" s="13">
        <f>BD9*VLOOKUP('Données projet'!$B$11,Paramètres!$A$1:$I$89,3,0)*VLOOKUP('Données projet'!$B$11,Paramètres!$A$1:$I$89,5,0)</f>
        <v>3.6493567011032209</v>
      </c>
      <c r="BF9" s="13">
        <f t="shared" si="37"/>
        <v>1.4465265217053813</v>
      </c>
      <c r="BG9" s="20">
        <f t="shared" si="7"/>
        <v>8.8753299463916484</v>
      </c>
      <c r="BH9" s="59">
        <f t="shared" si="8"/>
        <v>252.24289297045641</v>
      </c>
      <c r="BI9" s="59">
        <f ca="1">AVERAGE(OFFSET($BH$3,0,0,'Données projet'!$E$11+1,1))-AVERAGE(OFFSET($H$3,0,0,'Données projet'!$E$11+1,1))</f>
        <v>352.88552266225872</v>
      </c>
      <c r="BJ9" s="59">
        <f t="shared" si="38"/>
        <v>403.29115295154782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64.37297173383584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</v>
      </c>
      <c r="BY9" s="12">
        <f>IF('Données projet'!$A$114&gt;35,BY8+BX9-CG8,IF(A9&lt;'Données projet'!$A$114,$BV$205^A9,IF(A9='Données projet'!$A$114,'Données projet'!$B$114,BY8+BX9-CG8)))</f>
        <v>3.7371928188465526</v>
      </c>
      <c r="BZ9" s="13">
        <f>BY9*VLOOKUP('Données projet'!$B$12,Paramètres!$A$1:$I$89,3,0)*VLOOKUP('Données projet'!$B$12,Paramètres!$A$1:$I$89,5,0)</f>
        <v>1.6518392259301764</v>
      </c>
      <c r="CA9" s="13">
        <f t="shared" si="39"/>
        <v>0.71803959100099668</v>
      </c>
      <c r="CB9" s="20">
        <f t="shared" si="10"/>
        <v>4.1275389394884598</v>
      </c>
      <c r="CC9" s="59">
        <f t="shared" si="11"/>
        <v>247.49510196355322</v>
      </c>
      <c r="CD9" s="59">
        <f ca="1">AVERAGE(OFFSET($CC$3,0,0,'Données projet'!$E$12+1,1))-AVERAGE(OFFSET($H$3,0,0,'Données projet'!$E$12+1,1))</f>
        <v>297.1442218517625</v>
      </c>
      <c r="CE9" s="59">
        <f t="shared" si="40"/>
        <v>326.0112787126069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64.37297173383584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6.1333333333333337</v>
      </c>
      <c r="CT9" s="12">
        <f>IF('Données projet'!$A$140&gt;35,CT8+CS9-DB8,IF(A9&lt;'Données projet'!$A$140,$CQ$205^A9,IF(A9='Données projet'!$A$140,'Données projet'!$B$140,CT8+CS9-DB8)))</f>
        <v>6.1026031791023758</v>
      </c>
      <c r="CU9" s="17">
        <f>CT9*VLOOKUP('Données projet'!$B$13,Paramètres!$A$1:$I$89,3,0)*VLOOKUP('Données projet'!$B$13,Paramètres!$A$1:$I$89,5,0)</f>
        <v>3.6493567011032209</v>
      </c>
      <c r="CV9" s="13">
        <f t="shared" si="41"/>
        <v>1.4465265217053813</v>
      </c>
      <c r="CW9" s="20">
        <f t="shared" si="13"/>
        <v>8.8753299463916484</v>
      </c>
      <c r="CX9" s="59">
        <f t="shared" si="14"/>
        <v>252.24289297045641</v>
      </c>
      <c r="CY9" s="59">
        <f ca="1">AVERAGE(OFFSET($CX$3,0,0,'Données projet'!$E$13+1,1))-AVERAGE(OFFSET($H$3,0,0,'Données projet'!$E$13+1,1))</f>
        <v>352.88552266225872</v>
      </c>
      <c r="CZ9" s="59">
        <f t="shared" si="42"/>
        <v>403.29115295154782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64.37297173383584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64.37297173383584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64.37297173383584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64.37297173383584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64.37297173383584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1.25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4.583333333333333</v>
      </c>
      <c r="H10" s="67">
        <f t="shared" si="1"/>
        <v>238.33333333333334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64.470588094103221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254.79131791002351</v>
      </c>
      <c r="S10" s="59">
        <f ca="1">AVERAGE(OFFSET($R$3,0,0,'Données projet'!$E$9+1,1))-AVERAGE(OFFSET($H$3,0,0,'Données projet'!$E$9+1,1))</f>
        <v>467.10712490977266</v>
      </c>
      <c r="T10" s="59">
        <f t="shared" si="34"/>
        <v>282.99426855025968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64.470588094103221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3.520397346775237</v>
      </c>
      <c r="AK10" s="13">
        <f t="shared" si="35"/>
        <v>1.4012656554930452</v>
      </c>
      <c r="AL10" s="20">
        <f t="shared" si="4"/>
        <v>8.5718963956172569</v>
      </c>
      <c r="AM10" s="59">
        <f t="shared" si="5"/>
        <v>253.51960829621791</v>
      </c>
      <c r="AN10" s="59">
        <f ca="1">AVERAGE(OFFSET($AM$3,0,0,'Données projet'!$E$10+1,1))-AVERAGE(OFFSET($H$3,0,0,'Données projet'!$E$10+1,1))</f>
        <v>399.57236812003225</v>
      </c>
      <c r="AO10" s="59">
        <f t="shared" si="36"/>
        <v>245.95971136213691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64.470588094103221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6.1333333333333337</v>
      </c>
      <c r="BD10" s="12">
        <f>IF('Données projet'!$A$88&gt;35,BD9+BC10-BL9,IF(A10&lt;'Données projet'!$A$88,$BA$205^A10,IF(A10='Données projet'!$A$88,'Données projet'!$B$88,BD9+BC10-BL9)))</f>
        <v>8.2496271272060024</v>
      </c>
      <c r="BE10" s="13">
        <f>BD10*VLOOKUP('Données projet'!$B$11,Paramètres!$A$1:$I$89,3,0)*VLOOKUP('Données projet'!$B$11,Paramètres!$A$1:$I$89,5,0)</f>
        <v>4.9332770220691904</v>
      </c>
      <c r="BF10" s="13">
        <f t="shared" si="37"/>
        <v>1.8880200224904784</v>
      </c>
      <c r="BG10" s="20">
        <f t="shared" si="7"/>
        <v>11.880425685941423</v>
      </c>
      <c r="BH10" s="59">
        <f t="shared" si="8"/>
        <v>256.82813758654208</v>
      </c>
      <c r="BI10" s="59">
        <f ca="1">AVERAGE(OFFSET($BH$3,0,0,'Données projet'!$E$11+1,1))-AVERAGE(OFFSET($H$3,0,0,'Données projet'!$E$11+1,1))</f>
        <v>352.88552266225872</v>
      </c>
      <c r="BJ10" s="59">
        <f t="shared" si="38"/>
        <v>403.29115295154782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64.470588094103221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</v>
      </c>
      <c r="BY10" s="12">
        <f>IF('Données projet'!$A$114&gt;35,BY9+BX10-CG9,IF(A10&lt;'Données projet'!$A$114,$BV$205^A10,IF(A10='Données projet'!$A$114,'Données projet'!$B$114,BY9+BX10-CG9)))</f>
        <v>4.6555367217460804</v>
      </c>
      <c r="BZ10" s="13">
        <f>BY10*VLOOKUP('Données projet'!$B$12,Paramètres!$A$1:$I$89,3,0)*VLOOKUP('Données projet'!$B$12,Paramètres!$A$1:$I$89,5,0)</f>
        <v>2.0577472310117675</v>
      </c>
      <c r="CA10" s="13">
        <f t="shared" si="39"/>
        <v>0.87189715187146088</v>
      </c>
      <c r="CB10" s="20">
        <f t="shared" si="10"/>
        <v>5.1024639668549554</v>
      </c>
      <c r="CC10" s="59">
        <f t="shared" si="11"/>
        <v>250.05017586745561</v>
      </c>
      <c r="CD10" s="59">
        <f ca="1">AVERAGE(OFFSET($CC$3,0,0,'Données projet'!$E$12+1,1))-AVERAGE(OFFSET($H$3,0,0,'Données projet'!$E$12+1,1))</f>
        <v>297.1442218517625</v>
      </c>
      <c r="CE10" s="59">
        <f t="shared" si="40"/>
        <v>326.0112787126069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64.470588094103221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6.1333333333333337</v>
      </c>
      <c r="CT10" s="12">
        <f>IF('Données projet'!$A$140&gt;35,CT9+CS10-DB9,IF(A10&lt;'Données projet'!$A$140,$CQ$205^A10,IF(A10='Données projet'!$A$140,'Données projet'!$B$140,CT9+CS10-DB9)))</f>
        <v>8.2496271272060024</v>
      </c>
      <c r="CU10" s="17">
        <f>CT10*VLOOKUP('Données projet'!$B$13,Paramètres!$A$1:$I$89,3,0)*VLOOKUP('Données projet'!$B$13,Paramètres!$A$1:$I$89,5,0)</f>
        <v>4.9332770220691904</v>
      </c>
      <c r="CV10" s="13">
        <f t="shared" si="41"/>
        <v>1.8880200224904784</v>
      </c>
      <c r="CW10" s="20">
        <f t="shared" si="13"/>
        <v>11.880425685941423</v>
      </c>
      <c r="CX10" s="59">
        <f t="shared" si="14"/>
        <v>256.82813758654208</v>
      </c>
      <c r="CY10" s="59">
        <f ca="1">AVERAGE(OFFSET($CX$3,0,0,'Données projet'!$E$13+1,1))-AVERAGE(OFFSET($H$3,0,0,'Données projet'!$E$13+1,1))</f>
        <v>352.88552266225872</v>
      </c>
      <c r="CZ10" s="59">
        <f t="shared" si="42"/>
        <v>403.29115295154782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64.470588094103221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64.470588094103221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64.470588094103221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64.470588094103221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64.470588094103221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1.25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4.583333333333333</v>
      </c>
      <c r="H11" s="67">
        <f t="shared" si="1"/>
        <v>238.33333333333334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64.566511028757461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258.63590599213433</v>
      </c>
      <c r="S11" s="59">
        <f ca="1">AVERAGE(OFFSET($R$3,0,0,'Données projet'!$E$9+1,1))-AVERAGE(OFFSET($H$3,0,0,'Données projet'!$E$9+1,1))</f>
        <v>467.10712490977266</v>
      </c>
      <c r="T11" s="59">
        <f t="shared" si="34"/>
        <v>282.99426855025968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64.566511028757461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4.2437925838477959</v>
      </c>
      <c r="AK11" s="13">
        <f t="shared" si="35"/>
        <v>1.6528583320004788</v>
      </c>
      <c r="AL11" s="20">
        <f t="shared" si="4"/>
        <v>10.27000034510241</v>
      </c>
      <c r="AM11" s="59">
        <f t="shared" si="5"/>
        <v>256.79165189499088</v>
      </c>
      <c r="AN11" s="59">
        <f ca="1">AVERAGE(OFFSET($AM$3,0,0,'Données projet'!$E$10+1,1))-AVERAGE(OFFSET($H$3,0,0,'Données projet'!$E$10+1,1))</f>
        <v>399.57236812003225</v>
      </c>
      <c r="AO11" s="59">
        <f t="shared" si="36"/>
        <v>245.95971136213691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64.566511028757461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6.1333333333333337</v>
      </c>
      <c r="BD11" s="12">
        <f>IF('Données projet'!$A$88&gt;35,BD10+BC11-BL10,IF(A11&lt;'Données projet'!$A$88,$BA$205^A11,IF(A11='Données projet'!$A$88,'Données projet'!$B$88,BD10+BC11-BL10)))</f>
        <v>11.152019186006367</v>
      </c>
      <c r="BE11" s="13">
        <f>BD11*VLOOKUP('Données projet'!$B$11,Paramètres!$A$1:$I$89,3,0)*VLOOKUP('Données projet'!$B$11,Paramètres!$A$1:$I$89,5,0)</f>
        <v>6.6689074732318074</v>
      </c>
      <c r="BF11" s="13">
        <f t="shared" si="37"/>
        <v>2.4642614925044302</v>
      </c>
      <c r="BG11" s="20">
        <f t="shared" si="7"/>
        <v>15.906935948657278</v>
      </c>
      <c r="BH11" s="59">
        <f t="shared" si="8"/>
        <v>262.42858749854577</v>
      </c>
      <c r="BI11" s="59">
        <f ca="1">AVERAGE(OFFSET($BH$3,0,0,'Données projet'!$E$11+1,1))-AVERAGE(OFFSET($H$3,0,0,'Données projet'!$E$11+1,1))</f>
        <v>352.88552266225872</v>
      </c>
      <c r="BJ11" s="59">
        <f t="shared" si="38"/>
        <v>403.29115295154782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64.566511028757461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</v>
      </c>
      <c r="BY11" s="12">
        <f>IF('Données projet'!$A$114&gt;35,BY10+BX11-CG10,IF(A11&lt;'Données projet'!$A$114,$BV$205^A11,IF(A11='Données projet'!$A$114,'Données projet'!$B$114,BY10+BX11-CG10)))</f>
        <v>5.7995461347952899</v>
      </c>
      <c r="BZ11" s="13">
        <f>BY11*VLOOKUP('Données projet'!$B$12,Paramètres!$A$1:$I$89,3,0)*VLOOKUP('Données projet'!$B$12,Paramètres!$A$1:$I$89,5,0)</f>
        <v>2.5633993915795186</v>
      </c>
      <c r="CA11" s="13">
        <f t="shared" si="39"/>
        <v>1.0587224617820694</v>
      </c>
      <c r="CB11" s="20">
        <f t="shared" si="10"/>
        <v>6.3085288946047653</v>
      </c>
      <c r="CC11" s="59">
        <f t="shared" si="11"/>
        <v>252.83018044449324</v>
      </c>
      <c r="CD11" s="59">
        <f ca="1">AVERAGE(OFFSET($CC$3,0,0,'Données projet'!$E$12+1,1))-AVERAGE(OFFSET($H$3,0,0,'Données projet'!$E$12+1,1))</f>
        <v>297.1442218517625</v>
      </c>
      <c r="CE11" s="59">
        <f t="shared" si="40"/>
        <v>326.0112787126069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64.566511028757461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6.1333333333333337</v>
      </c>
      <c r="CT11" s="12">
        <f>IF('Données projet'!$A$140&gt;35,CT10+CS11-DB10,IF(A11&lt;'Données projet'!$A$140,$CQ$205^A11,IF(A11='Données projet'!$A$140,'Données projet'!$B$140,CT10+CS11-DB10)))</f>
        <v>11.152019186006367</v>
      </c>
      <c r="CU11" s="17">
        <f>CT11*VLOOKUP('Données projet'!$B$13,Paramètres!$A$1:$I$89,3,0)*VLOOKUP('Données projet'!$B$13,Paramètres!$A$1:$I$89,5,0)</f>
        <v>6.6689074732318074</v>
      </c>
      <c r="CV11" s="13">
        <f t="shared" si="41"/>
        <v>2.4642614925044302</v>
      </c>
      <c r="CW11" s="20">
        <f t="shared" si="13"/>
        <v>15.906935948657278</v>
      </c>
      <c r="CX11" s="59">
        <f t="shared" si="14"/>
        <v>262.42858749854577</v>
      </c>
      <c r="CY11" s="59">
        <f ca="1">AVERAGE(OFFSET($CX$3,0,0,'Données projet'!$E$13+1,1))-AVERAGE(OFFSET($H$3,0,0,'Données projet'!$E$13+1,1))</f>
        <v>352.88552266225872</v>
      </c>
      <c r="CZ11" s="59">
        <f t="shared" si="42"/>
        <v>403.29115295154782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64.566511028757461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64.566511028757461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64.566511028757461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64.566511028757461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64.566511028757461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1.25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4.583333333333333</v>
      </c>
      <c r="H12" s="67">
        <f t="shared" si="1"/>
        <v>238.33333333333334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64.660769914946997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263.00002748857321</v>
      </c>
      <c r="S12" s="59">
        <f ca="1">AVERAGE(OFFSET($R$3,0,0,'Données projet'!$E$9+1,1))-AVERAGE(OFFSET($H$3,0,0,'Données projet'!$E$9+1,1))</f>
        <v>467.10712490977266</v>
      </c>
      <c r="T12" s="59">
        <f t="shared" si="34"/>
        <v>282.99426855025968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64.660769914946997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5.1158360039155557</v>
      </c>
      <c r="AK12" s="13">
        <f t="shared" si="35"/>
        <v>1.9496236526985691</v>
      </c>
      <c r="AL12" s="20">
        <f t="shared" si="4"/>
        <v>12.305675568602934</v>
      </c>
      <c r="AM12" s="59">
        <f t="shared" si="5"/>
        <v>260.3951652567419</v>
      </c>
      <c r="AN12" s="59">
        <f ca="1">AVERAGE(OFFSET($AM$3,0,0,'Données projet'!$E$10+1,1))-AVERAGE(OFFSET($H$3,0,0,'Données projet'!$E$10+1,1))</f>
        <v>399.57236812003225</v>
      </c>
      <c r="AO12" s="59">
        <f t="shared" si="36"/>
        <v>245.95971136213691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64.660769914946997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6.1333333333333337</v>
      </c>
      <c r="BD12" s="12">
        <f>IF('Données projet'!$A$88&gt;35,BD11+BC12-BL11,IF(A12&lt;'Données projet'!$A$88,$BA$205^A12,IF(A12='Données projet'!$A$88,'Données projet'!$B$88,BD11+BC12-BL11)))</f>
        <v>15.075533718961566</v>
      </c>
      <c r="BE12" s="13">
        <f>BD12*VLOOKUP('Données projet'!$B$11,Paramètres!$A$1:$I$89,3,0)*VLOOKUP('Données projet'!$B$11,Paramètres!$A$1:$I$89,5,0)</f>
        <v>9.0151691639390172</v>
      </c>
      <c r="BF12" s="13">
        <f t="shared" si="37"/>
        <v>3.2163772794262231</v>
      </c>
      <c r="BG12" s="20">
        <f t="shared" si="7"/>
        <v>21.303276722194457</v>
      </c>
      <c r="BH12" s="59">
        <f t="shared" si="8"/>
        <v>269.39276641033348</v>
      </c>
      <c r="BI12" s="59">
        <f ca="1">AVERAGE(OFFSET($BH$3,0,0,'Données projet'!$E$11+1,1))-AVERAGE(OFFSET($H$3,0,0,'Données projet'!$E$11+1,1))</f>
        <v>352.88552266225872</v>
      </c>
      <c r="BJ12" s="59">
        <f t="shared" si="38"/>
        <v>403.29115295154782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64.660769914946997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</v>
      </c>
      <c r="BY12" s="12">
        <f>IF('Données projet'!$A$114&gt;35,BY11+BX12-CG11,IF(A12&lt;'Données projet'!$A$114,$BV$205^A12,IF(A12='Données projet'!$A$114,'Données projet'!$B$114,BY11+BX12-CG11)))</f>
        <v>7.2246740558420788</v>
      </c>
      <c r="BZ12" s="13">
        <f>BY12*VLOOKUP('Données projet'!$B$12,Paramètres!$A$1:$I$89,3,0)*VLOOKUP('Données projet'!$B$12,Paramètres!$A$1:$I$89,5,0)</f>
        <v>3.1933059326821991</v>
      </c>
      <c r="CA12" s="13">
        <f t="shared" si="39"/>
        <v>1.285579668056001</v>
      </c>
      <c r="CB12" s="20">
        <f t="shared" si="10"/>
        <v>7.8007257546190312</v>
      </c>
      <c r="CC12" s="59">
        <f t="shared" si="11"/>
        <v>255.89021544275803</v>
      </c>
      <c r="CD12" s="59">
        <f ca="1">AVERAGE(OFFSET($CC$3,0,0,'Données projet'!$E$12+1,1))-AVERAGE(OFFSET($H$3,0,0,'Données projet'!$E$12+1,1))</f>
        <v>297.1442218517625</v>
      </c>
      <c r="CE12" s="59">
        <f t="shared" si="40"/>
        <v>326.0112787126069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64.660769914946997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6.1333333333333337</v>
      </c>
      <c r="CT12" s="12">
        <f>IF('Données projet'!$A$140&gt;35,CT11+CS12-DB11,IF(A12&lt;'Données projet'!$A$140,$CQ$205^A12,IF(A12='Données projet'!$A$140,'Données projet'!$B$140,CT11+CS12-DB11)))</f>
        <v>15.075533718961566</v>
      </c>
      <c r="CU12" s="17">
        <f>CT12*VLOOKUP('Données projet'!$B$13,Paramètres!$A$1:$I$89,3,0)*VLOOKUP('Données projet'!$B$13,Paramètres!$A$1:$I$89,5,0)</f>
        <v>9.0151691639390172</v>
      </c>
      <c r="CV12" s="13">
        <f t="shared" si="41"/>
        <v>3.2163772794262231</v>
      </c>
      <c r="CW12" s="20">
        <f t="shared" si="13"/>
        <v>21.303276722194457</v>
      </c>
      <c r="CX12" s="59">
        <f t="shared" si="14"/>
        <v>269.39276641033348</v>
      </c>
      <c r="CY12" s="59">
        <f ca="1">AVERAGE(OFFSET($CX$3,0,0,'Données projet'!$E$13+1,1))-AVERAGE(OFFSET($H$3,0,0,'Données projet'!$E$13+1,1))</f>
        <v>352.88552266225872</v>
      </c>
      <c r="CZ12" s="59">
        <f t="shared" si="42"/>
        <v>403.29115295154782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64.660769914946997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64.660769914946997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64.660769914946997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64.660769914946997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64.660769914946997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1.25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4.583333333333333</v>
      </c>
      <c r="H13" s="67">
        <f t="shared" si="1"/>
        <v>238.33333333333334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64.753393620192455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268.00587050026911</v>
      </c>
      <c r="S13" s="59">
        <f ca="1">AVERAGE(OFFSET($R$3,0,0,'Données projet'!$E$9+1,1))-AVERAGE(OFFSET($H$3,0,0,'Données projet'!$E$9+1,1))</f>
        <v>467.10712490977266</v>
      </c>
      <c r="T13" s="59">
        <f t="shared" si="34"/>
        <v>282.99426855025968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64.753393620192455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6.1670728486049251</v>
      </c>
      <c r="AK13" s="13">
        <f t="shared" si="35"/>
        <v>2.2996722184660952</v>
      </c>
      <c r="AL13" s="20">
        <f t="shared" si="4"/>
        <v>14.746247658482027</v>
      </c>
      <c r="AM13" s="59">
        <f t="shared" si="5"/>
        <v>264.39757982140986</v>
      </c>
      <c r="AN13" s="59">
        <f ca="1">AVERAGE(OFFSET($AM$3,0,0,'Données projet'!$E$10+1,1))-AVERAGE(OFFSET($H$3,0,0,'Données projet'!$E$10+1,1))</f>
        <v>399.57236812003225</v>
      </c>
      <c r="AO13" s="59">
        <f t="shared" si="36"/>
        <v>245.95971136213691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64.753393620192455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6.1333333333333337</v>
      </c>
      <c r="BD13" s="12">
        <f>IF('Données projet'!$A$88&gt;35,BD12+BC13-BL12,IF(A13&lt;'Données projet'!$A$88,$BA$205^A13,IF(A13='Données projet'!$A$88,'Données projet'!$B$88,BD12+BC13-BL12)))</f>
        <v>20.379423055219391</v>
      </c>
      <c r="BE13" s="13">
        <f>BD13*VLOOKUP('Données projet'!$B$11,Paramètres!$A$1:$I$89,3,0)*VLOOKUP('Données projet'!$B$11,Paramètres!$A$1:$I$89,5,0)</f>
        <v>12.186894987021198</v>
      </c>
      <c r="BF13" s="13">
        <f t="shared" si="37"/>
        <v>4.1980458790903414</v>
      </c>
      <c r="BG13" s="20">
        <f t="shared" si="7"/>
        <v>28.537105341810928</v>
      </c>
      <c r="BH13" s="59">
        <f t="shared" si="8"/>
        <v>278.18843750473877</v>
      </c>
      <c r="BI13" s="59">
        <f ca="1">AVERAGE(OFFSET($BH$3,0,0,'Données projet'!$E$11+1,1))-AVERAGE(OFFSET($H$3,0,0,'Données projet'!$E$11+1,1))</f>
        <v>352.88552266225872</v>
      </c>
      <c r="BJ13" s="59">
        <f t="shared" si="38"/>
        <v>403.29115295154782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64.753393620192455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1.8</v>
      </c>
      <c r="BY13" s="12">
        <f>IF('Données projet'!$A$114&gt;35,BY12+BX13-CG12,IF(A13&lt;'Données projet'!$A$114,$BV$205^A13,IF(A13='Données projet'!$A$114,'Données projet'!$B$114,BY12+BX13-CG12)))</f>
        <v>9.0000000000000036</v>
      </c>
      <c r="BZ13" s="13">
        <f>BY13*VLOOKUP('Données projet'!$B$12,Paramètres!$A$1:$I$89,3,0)*VLOOKUP('Données projet'!$B$12,Paramètres!$A$1:$I$89,5,0)</f>
        <v>3.978000000000002</v>
      </c>
      <c r="CA13" s="13">
        <f t="shared" si="39"/>
        <v>1.5610465845195012</v>
      </c>
      <c r="CB13" s="20">
        <f t="shared" si="10"/>
        <v>9.6471728013714682</v>
      </c>
      <c r="CC13" s="59">
        <f t="shared" si="11"/>
        <v>259.2985049642993</v>
      </c>
      <c r="CD13" s="59">
        <f ca="1">AVERAGE(OFFSET($CC$3,0,0,'Données projet'!$E$12+1,1))-AVERAGE(OFFSET($H$3,0,0,'Données projet'!$E$12+1,1))</f>
        <v>297.1442218517625</v>
      </c>
      <c r="CE13" s="59">
        <f t="shared" si="40"/>
        <v>326.0112787126069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64.753393620192455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6.1333333333333337</v>
      </c>
      <c r="CT13" s="12">
        <f>IF('Données projet'!$A$140&gt;35,CT12+CS13-DB12,IF(A13&lt;'Données projet'!$A$140,$CQ$205^A13,IF(A13='Données projet'!$A$140,'Données projet'!$B$140,CT12+CS13-DB12)))</f>
        <v>20.379423055219391</v>
      </c>
      <c r="CU13" s="17">
        <f>CT13*VLOOKUP('Données projet'!$B$13,Paramètres!$A$1:$I$89,3,0)*VLOOKUP('Données projet'!$B$13,Paramètres!$A$1:$I$89,5,0)</f>
        <v>12.186894987021198</v>
      </c>
      <c r="CV13" s="13">
        <f t="shared" si="41"/>
        <v>4.1980458790903414</v>
      </c>
      <c r="CW13" s="20">
        <f t="shared" si="13"/>
        <v>28.537105341810928</v>
      </c>
      <c r="CX13" s="59">
        <f t="shared" si="14"/>
        <v>278.18843750473877</v>
      </c>
      <c r="CY13" s="59">
        <f ca="1">AVERAGE(OFFSET($CX$3,0,0,'Données projet'!$E$13+1,1))-AVERAGE(OFFSET($H$3,0,0,'Données projet'!$E$13+1,1))</f>
        <v>352.88552266225872</v>
      </c>
      <c r="CZ13" s="59">
        <f t="shared" si="42"/>
        <v>403.29115295154782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64.753393620192455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64.753393620192455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64.753393620192455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64.753393620192455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64.753393620192455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1.25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4.583333333333333</v>
      </c>
      <c r="H14" s="67">
        <f t="shared" si="1"/>
        <v>238.33333333333334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64.84441051122748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273.804062533506</v>
      </c>
      <c r="S14" s="59">
        <f ca="1">AVERAGE(OFFSET($R$3,0,0,'Données projet'!$E$9+1,1))-AVERAGE(OFFSET($H$3,0,0,'Données projet'!$E$9+1,1))</f>
        <v>467.10712490977266</v>
      </c>
      <c r="T14" s="59">
        <f t="shared" si="34"/>
        <v>282.99426855025968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64.84441051122748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7.4343250039466771</v>
      </c>
      <c r="AK14" s="13">
        <f t="shared" si="35"/>
        <v>2.712570862107007</v>
      </c>
      <c r="AL14" s="20">
        <f t="shared" si="4"/>
        <v>17.672510300043498</v>
      </c>
      <c r="AM14" s="59">
        <f t="shared" si="5"/>
        <v>268.87979328565541</v>
      </c>
      <c r="AN14" s="59">
        <f ca="1">AVERAGE(OFFSET($AM$3,0,0,'Données projet'!$E$10+1,1))-AVERAGE(OFFSET($H$3,0,0,'Données projet'!$E$10+1,1))</f>
        <v>399.57236812003225</v>
      </c>
      <c r="AO14" s="59">
        <f t="shared" si="36"/>
        <v>245.95971136213691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64.84441051122748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6.1333333333333337</v>
      </c>
      <c r="BD14" s="12">
        <f>IF('Données projet'!$A$88&gt;35,BD13+BC14-BL13,IF(A14&lt;'Données projet'!$A$88,$BA$205^A14,IF(A14='Données projet'!$A$88,'Données projet'!$B$88,BD13+BC14-BL13)))</f>
        <v>27.549332037328085</v>
      </c>
      <c r="BE14" s="13">
        <f>BD14*VLOOKUP('Données projet'!$B$11,Paramètres!$A$1:$I$89,3,0)*VLOOKUP('Données projet'!$B$11,Paramètres!$A$1:$I$89,5,0)</f>
        <v>16.474500558322195</v>
      </c>
      <c r="BF14" s="13">
        <f t="shared" si="37"/>
        <v>5.4793289691722045</v>
      </c>
      <c r="BG14" s="20">
        <f t="shared" si="7"/>
        <v>38.236253093719412</v>
      </c>
      <c r="BH14" s="59">
        <f t="shared" si="8"/>
        <v>289.4435360793313</v>
      </c>
      <c r="BI14" s="59">
        <f ca="1">AVERAGE(OFFSET($BH$3,0,0,'Données projet'!$E$11+1,1))-AVERAGE(OFFSET($H$3,0,0,'Données projet'!$E$11+1,1))</f>
        <v>352.88552266225872</v>
      </c>
      <c r="BJ14" s="59">
        <f t="shared" si="38"/>
        <v>403.29115295154782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64.84441051122748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1.8</v>
      </c>
      <c r="BY14" s="12">
        <f>IF('Données projet'!$A$114&gt;35,BY13+BX14-CG13,IF(A14&lt;'Données projet'!$A$114,$BV$205^A14,IF(A14='Données projet'!$A$114,'Données projet'!$B$114,BY13+BX14-CG13)))</f>
        <v>11.211578456539662</v>
      </c>
      <c r="BZ14" s="13">
        <f>BY14*VLOOKUP('Données projet'!$B$12,Paramètres!$A$1:$I$89,3,0)*VLOOKUP('Données projet'!$B$12,Paramètres!$A$1:$I$89,5,0)</f>
        <v>4.9555176777905308</v>
      </c>
      <c r="CA14" s="13">
        <f t="shared" si="39"/>
        <v>1.8955390316065948</v>
      </c>
      <c r="CB14" s="20">
        <f t="shared" si="10"/>
        <v>11.932257102199992</v>
      </c>
      <c r="CC14" s="59">
        <f t="shared" si="11"/>
        <v>263.13954008781189</v>
      </c>
      <c r="CD14" s="59">
        <f ca="1">AVERAGE(OFFSET($CC$3,0,0,'Données projet'!$E$12+1,1))-AVERAGE(OFFSET($H$3,0,0,'Données projet'!$E$12+1,1))</f>
        <v>297.1442218517625</v>
      </c>
      <c r="CE14" s="59">
        <f t="shared" si="40"/>
        <v>326.0112787126069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64.84441051122748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6.1333333333333337</v>
      </c>
      <c r="CT14" s="12">
        <f>IF('Données projet'!$A$140&gt;35,CT13+CS14-DB13,IF(A14&lt;'Données projet'!$A$140,$CQ$205^A14,IF(A14='Données projet'!$A$140,'Données projet'!$B$140,CT13+CS14-DB13)))</f>
        <v>27.549332037328085</v>
      </c>
      <c r="CU14" s="17">
        <f>CT14*VLOOKUP('Données projet'!$B$13,Paramètres!$A$1:$I$89,3,0)*VLOOKUP('Données projet'!$B$13,Paramètres!$A$1:$I$89,5,0)</f>
        <v>16.474500558322195</v>
      </c>
      <c r="CV14" s="13">
        <f t="shared" si="41"/>
        <v>5.4793289691722045</v>
      </c>
      <c r="CW14" s="20">
        <f t="shared" si="13"/>
        <v>38.236253093719412</v>
      </c>
      <c r="CX14" s="59">
        <f t="shared" si="14"/>
        <v>289.4435360793313</v>
      </c>
      <c r="CY14" s="59">
        <f ca="1">AVERAGE(OFFSET($CX$3,0,0,'Données projet'!$E$13+1,1))-AVERAGE(OFFSET($H$3,0,0,'Données projet'!$E$13+1,1))</f>
        <v>352.88552266225872</v>
      </c>
      <c r="CZ14" s="59">
        <f t="shared" si="42"/>
        <v>403.29115295154782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64.84441051122748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64.84441051122748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64.84441051122748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64.84441051122748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64.84441051122748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1.25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4.583333333333333</v>
      </c>
      <c r="H15" s="67">
        <f t="shared" si="1"/>
        <v>238.33333333333334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64.933848462686328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280.58031509335797</v>
      </c>
      <c r="S15" s="59">
        <f ca="1">AVERAGE(OFFSET($R$3,0,0,'Données projet'!$E$9+1,1))-AVERAGE(OFFSET($H$3,0,0,'Données projet'!$E$9+1,1))</f>
        <v>467.10712490977266</v>
      </c>
      <c r="T15" s="59">
        <f t="shared" si="34"/>
        <v>282.99426855025968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64.933848462686328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8.9619807680412578</v>
      </c>
      <c r="AK15" s="13">
        <f t="shared" si="35"/>
        <v>3.1996041100413177</v>
      </c>
      <c r="AL15" s="20">
        <f t="shared" si="4"/>
        <v>21.181426995993817</v>
      </c>
      <c r="AM15" s="59">
        <f t="shared" si="5"/>
        <v>273.93887135917703</v>
      </c>
      <c r="AN15" s="59">
        <f ca="1">AVERAGE(OFFSET($AM$3,0,0,'Données projet'!$E$10+1,1))-AVERAGE(OFFSET($H$3,0,0,'Données projet'!$E$10+1,1))</f>
        <v>399.57236812003225</v>
      </c>
      <c r="AO15" s="59">
        <f t="shared" si="36"/>
        <v>245.95971136213691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64.933848462686328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6.1333333333333337</v>
      </c>
      <c r="BD15" s="12">
        <f>IF('Données projet'!$A$88&gt;35,BD14+BC15-BL14,IF(A15&lt;'Données projet'!$A$88,$BA$205^A15,IF(A15='Données projet'!$A$88,'Données projet'!$B$88,BD14+BC15-BL14)))</f>
        <v>37.241765561590427</v>
      </c>
      <c r="BE15" s="13">
        <f>BD15*VLOOKUP('Données projet'!$B$11,Paramètres!$A$1:$I$89,3,0)*VLOOKUP('Données projet'!$B$11,Paramètres!$A$1:$I$89,5,0)</f>
        <v>22.270575805831076</v>
      </c>
      <c r="BF15" s="13">
        <f t="shared" si="37"/>
        <v>7.1516717103900067</v>
      </c>
      <c r="BG15" s="20">
        <f t="shared" si="7"/>
        <v>51.243747757418383</v>
      </c>
      <c r="BH15" s="59">
        <f t="shared" si="8"/>
        <v>304.00119212060162</v>
      </c>
      <c r="BI15" s="59">
        <f ca="1">AVERAGE(OFFSET($BH$3,0,0,'Données projet'!$E$11+1,1))-AVERAGE(OFFSET($H$3,0,0,'Données projet'!$E$11+1,1))</f>
        <v>352.88552266225872</v>
      </c>
      <c r="BJ15" s="59">
        <f t="shared" si="38"/>
        <v>403.29115295154782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64.933848462686328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1.8</v>
      </c>
      <c r="BY15" s="12">
        <f>IF('Données projet'!$A$114&gt;35,BY14+BX15-CG14,IF(A15&lt;'Données projet'!$A$114,$BV$205^A15,IF(A15='Données projet'!$A$114,'Données projet'!$B$114,BY14+BX15-CG14)))</f>
        <v>13.966610165238242</v>
      </c>
      <c r="BZ15" s="13">
        <f>BY15*VLOOKUP('Données projet'!$B$12,Paramètres!$A$1:$I$89,3,0)*VLOOKUP('Données projet'!$B$12,Paramètres!$A$1:$I$89,5,0)</f>
        <v>6.1732416930353029</v>
      </c>
      <c r="CA15" s="13">
        <f t="shared" si="39"/>
        <v>2.3017046742714817</v>
      </c>
      <c r="CB15" s="20">
        <f t="shared" si="10"/>
        <v>14.760531589725984</v>
      </c>
      <c r="CC15" s="59">
        <f t="shared" si="11"/>
        <v>267.51797595290918</v>
      </c>
      <c r="CD15" s="59">
        <f ca="1">AVERAGE(OFFSET($CC$3,0,0,'Données projet'!$E$12+1,1))-AVERAGE(OFFSET($H$3,0,0,'Données projet'!$E$12+1,1))</f>
        <v>297.1442218517625</v>
      </c>
      <c r="CE15" s="59">
        <f t="shared" si="40"/>
        <v>326.0112787126069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64.933848462686328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6.1333333333333337</v>
      </c>
      <c r="CT15" s="12">
        <f>IF('Données projet'!$A$140&gt;35,CT14+CS15-DB14,IF(A15&lt;'Données projet'!$A$140,$CQ$205^A15,IF(A15='Données projet'!$A$140,'Données projet'!$B$140,CT14+CS15-DB14)))</f>
        <v>37.241765561590427</v>
      </c>
      <c r="CU15" s="17">
        <f>CT15*VLOOKUP('Données projet'!$B$13,Paramètres!$A$1:$I$89,3,0)*VLOOKUP('Données projet'!$B$13,Paramètres!$A$1:$I$89,5,0)</f>
        <v>22.270575805831076</v>
      </c>
      <c r="CV15" s="13">
        <f t="shared" si="41"/>
        <v>7.1516717103900067</v>
      </c>
      <c r="CW15" s="20">
        <f t="shared" si="13"/>
        <v>51.243747757418383</v>
      </c>
      <c r="CX15" s="59">
        <f t="shared" si="14"/>
        <v>304.00119212060162</v>
      </c>
      <c r="CY15" s="59">
        <f ca="1">AVERAGE(OFFSET($CX$3,0,0,'Données projet'!$E$13+1,1))-AVERAGE(OFFSET($H$3,0,0,'Données projet'!$E$13+1,1))</f>
        <v>352.88552266225872</v>
      </c>
      <c r="CZ15" s="59">
        <f t="shared" si="42"/>
        <v>403.29115295154782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64.933848462686328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64.933848462686328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64.933848462686328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64.933848462686328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64.933848462686328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1.25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4.583333333333333</v>
      </c>
      <c r="H16" s="67">
        <f t="shared" si="1"/>
        <v>238.33333333333334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65.021734865640681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288.56362460800824</v>
      </c>
      <c r="S16" s="59">
        <f ca="1">AVERAGE(OFFSET($R$3,0,0,'Données projet'!$E$9+1,1))-AVERAGE(OFFSET($H$3,0,0,'Données projet'!$E$9+1,1))</f>
        <v>467.10712490977266</v>
      </c>
      <c r="T16" s="59">
        <f t="shared" si="34"/>
        <v>282.99426855025968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65.021734865640681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10.803549648973275</v>
      </c>
      <c r="AK16" s="13">
        <f t="shared" si="35"/>
        <v>3.77408258858951</v>
      </c>
      <c r="AL16" s="20">
        <f t="shared" si="4"/>
        <v>25.389376147088512</v>
      </c>
      <c r="AM16" s="59">
        <f t="shared" si="5"/>
        <v>279.69129287665987</v>
      </c>
      <c r="AN16" s="59">
        <f ca="1">AVERAGE(OFFSET($AM$3,0,0,'Données projet'!$E$10+1,1))-AVERAGE(OFFSET($H$3,0,0,'Données projet'!$E$10+1,1))</f>
        <v>399.57236812003225</v>
      </c>
      <c r="AO16" s="59">
        <f t="shared" si="36"/>
        <v>245.95971136213691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65.021734865640681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6.1333333333333337</v>
      </c>
      <c r="BD16" s="12">
        <f>IF('Données projet'!$A$88&gt;35,BD15+BC16-BL15,IF(A16&lt;'Données projet'!$A$88,$BA$205^A16,IF(A16='Données projet'!$A$88,'Données projet'!$B$88,BD15+BC16-BL15)))</f>
        <v>50.344200732896553</v>
      </c>
      <c r="BE16" s="13">
        <f>BD16*VLOOKUP('Données projet'!$B$11,Paramètres!$A$1:$I$89,3,0)*VLOOKUP('Données projet'!$B$11,Paramètres!$A$1:$I$89,5,0)</f>
        <v>30.10583203827214</v>
      </c>
      <c r="BF16" s="13">
        <f t="shared" si="37"/>
        <v>9.3344291866673093</v>
      </c>
      <c r="BG16" s="20">
        <f t="shared" si="7"/>
        <v>68.691788300102857</v>
      </c>
      <c r="BH16" s="59">
        <f t="shared" si="8"/>
        <v>322.99370502967423</v>
      </c>
      <c r="BI16" s="59">
        <f ca="1">AVERAGE(OFFSET($BH$3,0,0,'Données projet'!$E$11+1,1))-AVERAGE(OFFSET($H$3,0,0,'Données projet'!$E$11+1,1))</f>
        <v>352.88552266225872</v>
      </c>
      <c r="BJ16" s="59">
        <f t="shared" si="38"/>
        <v>403.29115295154782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65.021734865640681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1.8</v>
      </c>
      <c r="BY16" s="12">
        <f>IF('Données projet'!$A$114&gt;35,BY15+BX16-CG15,IF(A16&lt;'Données projet'!$A$114,$BV$205^A16,IF(A16='Données projet'!$A$114,'Données projet'!$B$114,BY15+BX16-CG15)))</f>
        <v>17.398638404385871</v>
      </c>
      <c r="BZ16" s="13">
        <f>BY16*VLOOKUP('Données projet'!$B$12,Paramètres!$A$1:$I$89,3,0)*VLOOKUP('Données projet'!$B$12,Paramètres!$A$1:$I$89,5,0)</f>
        <v>7.6901981747385557</v>
      </c>
      <c r="CA16" s="13">
        <f t="shared" si="39"/>
        <v>2.7949012493153016</v>
      </c>
      <c r="CB16" s="20">
        <f t="shared" si="10"/>
        <v>18.261548163560466</v>
      </c>
      <c r="CC16" s="59">
        <f t="shared" si="11"/>
        <v>272.56346489313188</v>
      </c>
      <c r="CD16" s="59">
        <f ca="1">AVERAGE(OFFSET($CC$3,0,0,'Données projet'!$E$12+1,1))-AVERAGE(OFFSET($H$3,0,0,'Données projet'!$E$12+1,1))</f>
        <v>297.1442218517625</v>
      </c>
      <c r="CE16" s="59">
        <f t="shared" si="40"/>
        <v>326.0112787126069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65.021734865640681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6.1333333333333337</v>
      </c>
      <c r="CT16" s="12">
        <f>IF('Données projet'!$A$140&gt;35,CT15+CS16-DB15,IF(A16&lt;'Données projet'!$A$140,$CQ$205^A16,IF(A16='Données projet'!$A$140,'Données projet'!$B$140,CT15+CS16-DB15)))</f>
        <v>50.344200732896553</v>
      </c>
      <c r="CU16" s="17">
        <f>CT16*VLOOKUP('Données projet'!$B$13,Paramètres!$A$1:$I$89,3,0)*VLOOKUP('Données projet'!$B$13,Paramètres!$A$1:$I$89,5,0)</f>
        <v>30.10583203827214</v>
      </c>
      <c r="CV16" s="13">
        <f t="shared" si="41"/>
        <v>9.3344291866673093</v>
      </c>
      <c r="CW16" s="20">
        <f t="shared" si="13"/>
        <v>68.691788300102857</v>
      </c>
      <c r="CX16" s="59">
        <f t="shared" si="14"/>
        <v>322.99370502967423</v>
      </c>
      <c r="CY16" s="59">
        <f ca="1">AVERAGE(OFFSET($CX$3,0,0,'Données projet'!$E$13+1,1))-AVERAGE(OFFSET($H$3,0,0,'Données projet'!$E$13+1,1))</f>
        <v>352.88552266225872</v>
      </c>
      <c r="CZ16" s="59">
        <f t="shared" si="42"/>
        <v>403.29115295154782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65.021734865640681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65.021734865640681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65.021734865640681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65.021734865640681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65.021734865640681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1.25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4.583333333333333</v>
      </c>
      <c r="H17" s="67">
        <f t="shared" si="1"/>
        <v>238.33333333333334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65.108096635988318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298.03639507306991</v>
      </c>
      <c r="S17" s="59">
        <f ca="1">AVERAGE(OFFSET($R$3,0,0,'Données projet'!$E$9+1,1))-AVERAGE(OFFSET($H$3,0,0,'Données projet'!$E$9+1,1))</f>
        <v>467.10712490977266</v>
      </c>
      <c r="T17" s="59">
        <f t="shared" si="34"/>
        <v>282.99426855025968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65.108096635988318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13.023536653196853</v>
      </c>
      <c r="AK17" s="13">
        <f t="shared" si="35"/>
        <v>4.4517068035990768</v>
      </c>
      <c r="AL17" s="20">
        <f t="shared" si="4"/>
        <v>30.436049020586243</v>
      </c>
      <c r="AM17" s="59">
        <f t="shared" si="5"/>
        <v>286.27684779698785</v>
      </c>
      <c r="AN17" s="59">
        <f ca="1">AVERAGE(OFFSET($AM$3,0,0,'Données projet'!$E$10+1,1))-AVERAGE(OFFSET($H$3,0,0,'Données projet'!$E$10+1,1))</f>
        <v>399.57236812003225</v>
      </c>
      <c r="AO17" s="59">
        <f t="shared" si="36"/>
        <v>245.95971136213691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65.108096635988318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6.1333333333333337</v>
      </c>
      <c r="BD17" s="12">
        <f>IF('Données projet'!$A$88&gt;35,BD16+BC17-BL16,IF(A17&lt;'Données projet'!$A$88,$BA$205^A17,IF(A17='Données projet'!$A$88,'Données projet'!$B$88,BD16+BC17-BL16)))</f>
        <v>68.056347737933137</v>
      </c>
      <c r="BE17" s="13">
        <f>BD17*VLOOKUP('Données projet'!$B$11,Paramètres!$A$1:$I$89,3,0)*VLOOKUP('Données projet'!$B$11,Paramètres!$A$1:$I$89,5,0)</f>
        <v>40.697695947284018</v>
      </c>
      <c r="BF17" s="13">
        <f t="shared" si="37"/>
        <v>12.183384776222468</v>
      </c>
      <c r="BG17" s="20">
        <f t="shared" si="7"/>
        <v>92.101215593440472</v>
      </c>
      <c r="BH17" s="59">
        <f t="shared" si="8"/>
        <v>347.94201436984207</v>
      </c>
      <c r="BI17" s="59">
        <f ca="1">AVERAGE(OFFSET($BH$3,0,0,'Données projet'!$E$11+1,1))-AVERAGE(OFFSET($H$3,0,0,'Données projet'!$E$11+1,1))</f>
        <v>352.88552266225872</v>
      </c>
      <c r="BJ17" s="59">
        <f t="shared" si="38"/>
        <v>403.29115295154782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65.108096635988318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1.8</v>
      </c>
      <c r="BY17" s="12">
        <f>IF('Données projet'!$A$114&gt;35,BY16+BX17-CG16,IF(A17&lt;'Données projet'!$A$114,$BV$205^A17,IF(A17='Données projet'!$A$114,'Données projet'!$B$114,BY16+BX17-CG16)))</f>
        <v>21.674022167526239</v>
      </c>
      <c r="BZ17" s="13">
        <f>BY17*VLOOKUP('Données projet'!$B$12,Paramètres!$A$1:$I$89,3,0)*VLOOKUP('Données projet'!$B$12,Paramètres!$A$1:$I$89,5,0)</f>
        <v>9.5799177980465995</v>
      </c>
      <c r="CA17" s="13">
        <f t="shared" si="39"/>
        <v>3.3937772646252551</v>
      </c>
      <c r="CB17" s="20">
        <f t="shared" si="10"/>
        <v>22.59585223415348</v>
      </c>
      <c r="CC17" s="59">
        <f t="shared" si="11"/>
        <v>278.43665101055507</v>
      </c>
      <c r="CD17" s="59">
        <f ca="1">AVERAGE(OFFSET($CC$3,0,0,'Données projet'!$E$12+1,1))-AVERAGE(OFFSET($H$3,0,0,'Données projet'!$E$12+1,1))</f>
        <v>297.1442218517625</v>
      </c>
      <c r="CE17" s="59">
        <f t="shared" si="40"/>
        <v>326.0112787126069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65.108096635988318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6.1333333333333337</v>
      </c>
      <c r="CT17" s="12">
        <f>IF('Données projet'!$A$140&gt;35,CT16+CS17-DB16,IF(A17&lt;'Données projet'!$A$140,$CQ$205^A17,IF(A17='Données projet'!$A$140,'Données projet'!$B$140,CT16+CS17-DB16)))</f>
        <v>68.056347737933137</v>
      </c>
      <c r="CU17" s="17">
        <f>CT17*VLOOKUP('Données projet'!$B$13,Paramètres!$A$1:$I$89,3,0)*VLOOKUP('Données projet'!$B$13,Paramètres!$A$1:$I$89,5,0)</f>
        <v>40.697695947284018</v>
      </c>
      <c r="CV17" s="13">
        <f t="shared" si="41"/>
        <v>12.183384776222468</v>
      </c>
      <c r="CW17" s="20">
        <f t="shared" si="13"/>
        <v>92.101215593440472</v>
      </c>
      <c r="CX17" s="59">
        <f t="shared" si="14"/>
        <v>347.94201436984207</v>
      </c>
      <c r="CY17" s="59">
        <f ca="1">AVERAGE(OFFSET($CX$3,0,0,'Données projet'!$E$13+1,1))-AVERAGE(OFFSET($H$3,0,0,'Données projet'!$E$13+1,1))</f>
        <v>352.88552266225872</v>
      </c>
      <c r="CZ17" s="59">
        <f t="shared" si="42"/>
        <v>403.29115295154782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65.108096635988318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65.108096635988318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65.108096635988318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65.108096635988318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65.108096635988318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1.25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4.583333333333333</v>
      </c>
      <c r="H18" s="67">
        <f t="shared" si="1"/>
        <v>238.33333333333334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65.192960222696428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309.34693377193474</v>
      </c>
      <c r="S18" s="59">
        <f ca="1">AVERAGE(OFFSET($R$3,0,0,'Données projet'!$E$9+1,1))-AVERAGE(OFFSET($H$3,0,0,'Données projet'!$E$9+1,1))</f>
        <v>467.10712490977266</v>
      </c>
      <c r="T18" s="59">
        <f t="shared" si="34"/>
        <v>282.99426855025968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65.192960222696428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15.699701715471004</v>
      </c>
      <c r="AK18" s="13">
        <f t="shared" si="35"/>
        <v>5.250996235516082</v>
      </c>
      <c r="AL18" s="20">
        <f t="shared" si="4"/>
        <v>36.489132264635835</v>
      </c>
      <c r="AM18" s="59">
        <f t="shared" si="5"/>
        <v>293.86331974785605</v>
      </c>
      <c r="AN18" s="59">
        <f ca="1">AVERAGE(OFFSET($AM$3,0,0,'Données projet'!$E$10+1,1))-AVERAGE(OFFSET($H$3,0,0,'Données projet'!$E$10+1,1))</f>
        <v>399.57236812003225</v>
      </c>
      <c r="AO18" s="59">
        <f t="shared" si="36"/>
        <v>245.95971136213691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65.192960222696428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92</v>
      </c>
      <c r="BB18" s="12">
        <f>VLOOKUP(A18,'Données projet'!$A$87:$I$107,9,0)</f>
        <v>6.1333333333333337</v>
      </c>
      <c r="BC18" s="12">
        <f t="array" ref="BC18">INDEX(BB:BB,MIN(IF(ISNUMBER(BB18:BB214),ROW(BB18:BB214),"")))</f>
        <v>6.1333333333333337</v>
      </c>
      <c r="BD18" s="12">
        <f>IF('Données projet'!$A$88&gt;35,BD17+BC18-BL17,IF(A18&lt;'Données projet'!$A$88,$BA$205^A18,IF(A18='Données projet'!$A$88,'Données projet'!$B$88,BD17+BC18-BL17)))</f>
        <v>92</v>
      </c>
      <c r="BE18" s="13">
        <f>BD18*VLOOKUP('Données projet'!$B$11,Paramètres!$A$1:$I$89,3,0)*VLOOKUP('Données projet'!$B$11,Paramètres!$A$1:$I$89,5,0)</f>
        <v>55.016000000000005</v>
      </c>
      <c r="BF18" s="13">
        <f t="shared" si="37"/>
        <v>15.901868409640327</v>
      </c>
      <c r="BG18" s="20">
        <f t="shared" si="7"/>
        <v>123.51528748012358</v>
      </c>
      <c r="BH18" s="59">
        <f t="shared" si="8"/>
        <v>380.88947496334379</v>
      </c>
      <c r="BI18" s="59">
        <f ca="1">AVERAGE(OFFSET($BH$3,0,0,'Données projet'!$E$11+1,1))-AVERAGE(OFFSET($H$3,0,0,'Données projet'!$E$11+1,1))</f>
        <v>352.88552266225872</v>
      </c>
      <c r="BJ18" s="59">
        <f t="shared" si="38"/>
        <v>403.29115295154782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4</v>
      </c>
      <c r="BM18" s="16">
        <f>IF(ISNA(VLOOKUP(A18,'Données projet'!$A$87:$I$107,5,0)),0%,VLOOKUP(A18,'Données projet'!$A$87:$I$107,5,0)*VLOOKUP('Données projet'!$B$11,Paramètres!$A$1:$I$89,7,0))</f>
        <v>9.0000000000000011E-2</v>
      </c>
      <c r="BN18" s="16">
        <f>IF(ISNA(VLOOKUP(A18,'Données projet'!$A$87:$I$107,6,0)),0%,VLOOKUP(A18,'Données projet'!$A$87:$I$107,6,0)*VLOOKUP('Données projet'!$B$11,Paramètres!$A$1:$I$89,7,0))</f>
        <v>0.20250000000000001</v>
      </c>
      <c r="BO18" s="16">
        <f>IF(ISNA(VLOOKUP(A18,'Données projet'!$A$87:$I$107,7,0)),0%,VLOOKUP(A18,'Données projet'!$A$87:$I$107,7,0))</f>
        <v>0.35</v>
      </c>
      <c r="BP18" s="21">
        <f>EXP(-LN(2)/35)*BP17+(1-EXP(-LN(2)/35))/(LN(2)/35)*BL18*BM18*VLOOKUP('Données projet'!$B$11,Paramètres!$A$1:$I$89,3,0)*0.475*44/12</f>
        <v>0.28558279596702424</v>
      </c>
      <c r="BQ18" s="21">
        <f>EXP(-LN(2)/25)*BQ17+(1-EXP(-LN(2)/25))/(LN(2)/25)*Calculateur!BL18*Calculateur!BN18*VLOOKUP('Données projet'!$B$11,Paramètres!$A$1:$I$89,3,0)*0.475*44/12</f>
        <v>0.64003128228838313</v>
      </c>
      <c r="BR18" s="21">
        <f>EXP(-LN(2)/2)*BR17+(1-EXP(-LN(2)/2))/(LN(2)/2)*BL18*BO18*VLOOKUP('Données projet'!$B$11,Paramètres!$A$1:$I$89,3,0)*0.475*44/12</f>
        <v>0.94790487948915703</v>
      </c>
      <c r="BS18" s="22">
        <f t="shared" si="9"/>
        <v>1.8735189577445643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65.192960222696428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27</v>
      </c>
      <c r="BW18" s="12">
        <f>VLOOKUP(A18,'Données projet'!$A$113:$I$133,9,0)</f>
        <v>1.8</v>
      </c>
      <c r="BX18" s="12">
        <f t="array" ref="BX18">INDEX(BW:BW,MIN(IF(ISNUMBER(BW18:BW214),ROW(BW18:BW214),"")))</f>
        <v>1.8</v>
      </c>
      <c r="BY18" s="12">
        <f>IF('Données projet'!$A$114&gt;35,BY17+BX18-CG17,IF(A18&lt;'Données projet'!$A$114,$BV$205^A18,IF(A18='Données projet'!$A$114,'Données projet'!$B$114,BY17+BX18-CG17)))</f>
        <v>27</v>
      </c>
      <c r="BZ18" s="13">
        <f>BY18*VLOOKUP('Données projet'!$B$12,Paramètres!$A$1:$I$89,3,0)*VLOOKUP('Données projet'!$B$12,Paramètres!$A$1:$I$89,5,0)</f>
        <v>11.934000000000003</v>
      </c>
      <c r="CA18" s="13">
        <f t="shared" si="39"/>
        <v>4.1209771274419431</v>
      </c>
      <c r="CB18" s="20">
        <f t="shared" si="10"/>
        <v>27.962418496961387</v>
      </c>
      <c r="CC18" s="59">
        <f t="shared" si="11"/>
        <v>285.33660598018162</v>
      </c>
      <c r="CD18" s="59">
        <f ca="1">AVERAGE(OFFSET($CC$3,0,0,'Données projet'!$E$12+1,1))-AVERAGE(OFFSET($H$3,0,0,'Données projet'!$E$12+1,1))</f>
        <v>297.1442218517625</v>
      </c>
      <c r="CE18" s="59">
        <f t="shared" si="40"/>
        <v>326.0112787126069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0.11000000000000001</v>
      </c>
      <c r="CI18" s="16">
        <f>IF(ISNA(VLOOKUP(A18,'Données projet'!$A$113:$I$133,6,0)),0%,VLOOKUP(A18,'Données projet'!$A$113:$I$133,6,0)*VLOOKUP('Données projet'!$B$12,Paramètres!$A$1:$I$89,7,0))</f>
        <v>0.24750000000000003</v>
      </c>
      <c r="CJ18" s="16">
        <f>IF(ISNA(VLOOKUP(A18,'Données projet'!$A$113:$I$133,7,0)),0%,VLOOKUP(A18,'Données projet'!$A$113:$I$133,7,0))</f>
        <v>0.35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65.192960222696428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92</v>
      </c>
      <c r="CR18" s="12">
        <f>VLOOKUP(A18,'Données projet'!$A$139:$I$159,9,0)</f>
        <v>6.1333333333333337</v>
      </c>
      <c r="CS18" s="12">
        <f t="array" ref="CS18">INDEX(CR:CR,MIN(IF(ISNUMBER(CR18:CR214),ROW(CR18:CR214),"")))</f>
        <v>6.1333333333333337</v>
      </c>
      <c r="CT18" s="12">
        <f>IF('Données projet'!$A$140&gt;35,CT17+CS18-DB17,IF(A18&lt;'Données projet'!$A$140,$CQ$205^A18,IF(A18='Données projet'!$A$140,'Données projet'!$B$140,CT17+CS18-DB17)))</f>
        <v>92</v>
      </c>
      <c r="CU18" s="17">
        <f>CT18*VLOOKUP('Données projet'!$B$13,Paramètres!$A$1:$I$89,3,0)*VLOOKUP('Données projet'!$B$13,Paramètres!$A$1:$I$89,5,0)</f>
        <v>55.016000000000005</v>
      </c>
      <c r="CV18" s="13">
        <f t="shared" si="41"/>
        <v>15.901868409640327</v>
      </c>
      <c r="CW18" s="20">
        <f t="shared" si="13"/>
        <v>123.51528748012358</v>
      </c>
      <c r="CX18" s="59">
        <f t="shared" si="14"/>
        <v>380.88947496334379</v>
      </c>
      <c r="CY18" s="59">
        <f ca="1">AVERAGE(OFFSET($CX$3,0,0,'Données projet'!$E$13+1,1))-AVERAGE(OFFSET($H$3,0,0,'Données projet'!$E$13+1,1))</f>
        <v>352.88552266225872</v>
      </c>
      <c r="CZ18" s="59">
        <f t="shared" si="42"/>
        <v>403.29115295154782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4</v>
      </c>
      <c r="DC18" s="16">
        <f>IF(ISNA(VLOOKUP(A18,'Données projet'!$A$139:$I$159,5,0)),0%,VLOOKUP(A18,'Données projet'!$A$139:$I$159,5,0)*VLOOKUP('Données projet'!$B$13,Paramètres!$A$1:$I$89,7,0))</f>
        <v>9.0000000000000011E-2</v>
      </c>
      <c r="DD18" s="16">
        <f>IF(ISNA(VLOOKUP(A18,'Données projet'!$A$139:$I$159,6,0)),0%,VLOOKUP(A18,'Données projet'!$A$139:$I$159,6,0)*VLOOKUP('Données projet'!$B$13,Paramètres!$A$1:$I$89,7,0))</f>
        <v>0.20250000000000001</v>
      </c>
      <c r="DE18" s="16">
        <f>IF(ISNA(VLOOKUP(A18,'Données projet'!$A$139:$I$159,7,0)),0%,VLOOKUP(A18,'Données projet'!$A$139:$I$159,7,0))</f>
        <v>0.35</v>
      </c>
      <c r="DF18" s="21">
        <f>EXP(-LN(2)/35)*DF17+(1-EXP(-LN(2)/35))/(LN(2)/35)*DB18*DC18*VLOOKUP('Données projet'!$B$13,Paramètres!$A$1:$I$89,3,0)*0.475*44/12</f>
        <v>0.28558279596702424</v>
      </c>
      <c r="DG18" s="21">
        <f>EXP(-LN(2)/25)*DG17+(1-EXP(-LN(2)/25))/(LN(2)/25)*Calculateur!DB18*Calculateur!DD18*VLOOKUP('Données projet'!$B$13,Paramètres!$A$1:$I$89,3,0)*0.475*44/12</f>
        <v>0.64003128228838313</v>
      </c>
      <c r="DH18" s="21">
        <f>EXP(-LN(2)/2)*DH17+(1-EXP(-LN(2)/2))/(LN(2)/2)*DB18*DE18*VLOOKUP('Données projet'!$B$13,Paramètres!$A$1:$I$89,3,0)*0.475*44/12</f>
        <v>0.94790487948915703</v>
      </c>
      <c r="DI18" s="22">
        <f t="shared" si="15"/>
        <v>1.8735189577445643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65.192960222696428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65.192960222696428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65.192960222696428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65.192960222696428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65.192960222696428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1.25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4.583333333333333</v>
      </c>
      <c r="H19" s="67">
        <f t="shared" si="1"/>
        <v>238.33333333333334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65.276351615901717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322.92487765971975</v>
      </c>
      <c r="S19" s="59">
        <f ca="1">AVERAGE(OFFSET($R$3,0,0,'Données projet'!$E$9+1,1))-AVERAGE(OFFSET($H$3,0,0,'Données projet'!$E$9+1,1))</f>
        <v>467.10712490977266</v>
      </c>
      <c r="T19" s="59">
        <f t="shared" si="34"/>
        <v>282.99426855025968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65.276351615901717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18.925783411855349</v>
      </c>
      <c r="AK19" s="13">
        <f t="shared" si="35"/>
        <v>6.193795477076816</v>
      </c>
      <c r="AL19" s="20">
        <f t="shared" si="4"/>
        <v>43.749933231556845</v>
      </c>
      <c r="AM19" s="59">
        <f t="shared" si="5"/>
        <v>302.65211137875201</v>
      </c>
      <c r="AN19" s="59">
        <f ca="1">AVERAGE(OFFSET($AM$3,0,0,'Données projet'!$E$10+1,1))-AVERAGE(OFFSET($H$3,0,0,'Données projet'!$E$10+1,1))</f>
        <v>399.57236812003225</v>
      </c>
      <c r="AO19" s="59">
        <f t="shared" si="36"/>
        <v>245.95971136213691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65.276351615901717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18.399999999999999</v>
      </c>
      <c r="BD19" s="12">
        <f>IF('Données projet'!$A$88&gt;35,BD18+BC19-BL18,IF(A19&lt;'Données projet'!$A$88,$BA$205^A19,IF(A19='Données projet'!$A$88,'Données projet'!$B$88,BD18+BC19-BL18)))</f>
        <v>106.4</v>
      </c>
      <c r="BE19" s="13">
        <f>BD19*VLOOKUP('Données projet'!$B$11,Paramètres!$A$1:$I$89,3,0)*VLOOKUP('Données projet'!$B$11,Paramètres!$A$1:$I$89,5,0)</f>
        <v>63.627200000000009</v>
      </c>
      <c r="BF19" s="13">
        <f t="shared" si="37"/>
        <v>18.082182721748126</v>
      </c>
      <c r="BG19" s="20">
        <f t="shared" si="7"/>
        <v>142.310508240378</v>
      </c>
      <c r="BH19" s="59">
        <f t="shared" si="8"/>
        <v>401.21268638757317</v>
      </c>
      <c r="BI19" s="59">
        <f ca="1">AVERAGE(OFFSET($BH$3,0,0,'Données projet'!$E$11+1,1))-AVERAGE(OFFSET($H$3,0,0,'Données projet'!$E$11+1,1))</f>
        <v>352.88552266225872</v>
      </c>
      <c r="BJ19" s="59">
        <f t="shared" si="38"/>
        <v>403.29115295154782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0.27998269152641675</v>
      </c>
      <c r="BQ19" s="21">
        <f>EXP(-LN(2)/25)*BQ18+(1-EXP(-LN(2)/25))/(LN(2)/25)*Calculateur!BL19*Calculateur!BN19*VLOOKUP('Données projet'!$B$11,Paramètres!$A$1:$I$89,3,0)*0.475*44/12</f>
        <v>0.62252959321642498</v>
      </c>
      <c r="BR19" s="21">
        <f>EXP(-LN(2)/2)*BR18+(1-EXP(-LN(2)/2))/(LN(2)/2)*BL19*BO19*VLOOKUP('Données projet'!$B$11,Paramètres!$A$1:$I$89,3,0)*0.475*44/12</f>
        <v>0.67026996820660012</v>
      </c>
      <c r="BS19" s="22">
        <f t="shared" si="9"/>
        <v>1.572782252949442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65.276351615901717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18.8</v>
      </c>
      <c r="BY19" s="12">
        <f>IF('Données projet'!$A$114&gt;35,BY18+BX19-CG18,IF(A19&lt;'Données projet'!$A$114,$BV$205^A19,IF(A19='Données projet'!$A$114,'Données projet'!$B$114,BY18+BX19-CG18)))</f>
        <v>45.8</v>
      </c>
      <c r="BZ19" s="13">
        <f>BY19*VLOOKUP('Données projet'!$B$12,Paramètres!$A$1:$I$89,3,0)*VLOOKUP('Données projet'!$B$12,Paramètres!$A$1:$I$89,5,0)</f>
        <v>20.243600000000001</v>
      </c>
      <c r="CA19" s="13">
        <f t="shared" si="39"/>
        <v>6.5733675785343832</v>
      </c>
      <c r="CB19" s="20">
        <f t="shared" si="10"/>
        <v>46.706218532614059</v>
      </c>
      <c r="CC19" s="59">
        <f t="shared" si="11"/>
        <v>305.60839667980923</v>
      </c>
      <c r="CD19" s="59">
        <f ca="1">AVERAGE(OFFSET($CC$3,0,0,'Données projet'!$E$12+1,1))-AVERAGE(OFFSET($H$3,0,0,'Données projet'!$E$12+1,1))</f>
        <v>297.1442218517625</v>
      </c>
      <c r="CE19" s="59">
        <f t="shared" si="40"/>
        <v>326.0112787126069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65.276351615901717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18.399999999999999</v>
      </c>
      <c r="CT19" s="12">
        <f>IF('Données projet'!$A$140&gt;35,CT18+CS19-DB18,IF(A19&lt;'Données projet'!$A$140,$CQ$205^A19,IF(A19='Données projet'!$A$140,'Données projet'!$B$140,CT18+CS19-DB18)))</f>
        <v>106.4</v>
      </c>
      <c r="CU19" s="17">
        <f>CT19*VLOOKUP('Données projet'!$B$13,Paramètres!$A$1:$I$89,3,0)*VLOOKUP('Données projet'!$B$13,Paramètres!$A$1:$I$89,5,0)</f>
        <v>63.627200000000009</v>
      </c>
      <c r="CV19" s="13">
        <f t="shared" si="41"/>
        <v>18.082182721748126</v>
      </c>
      <c r="CW19" s="20">
        <f t="shared" si="13"/>
        <v>142.310508240378</v>
      </c>
      <c r="CX19" s="59">
        <f t="shared" si="14"/>
        <v>401.21268638757317</v>
      </c>
      <c r="CY19" s="59">
        <f ca="1">AVERAGE(OFFSET($CX$3,0,0,'Données projet'!$E$13+1,1))-AVERAGE(OFFSET($H$3,0,0,'Données projet'!$E$13+1,1))</f>
        <v>352.88552266225872</v>
      </c>
      <c r="CZ19" s="59">
        <f t="shared" si="42"/>
        <v>403.29115295154782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0.27998269152641675</v>
      </c>
      <c r="DG19" s="21">
        <f>EXP(-LN(2)/25)*DG18+(1-EXP(-LN(2)/25))/(LN(2)/25)*Calculateur!DB19*Calculateur!DD19*VLOOKUP('Données projet'!$B$13,Paramètres!$A$1:$I$89,3,0)*0.475*44/12</f>
        <v>0.62252959321642498</v>
      </c>
      <c r="DH19" s="21">
        <f>EXP(-LN(2)/2)*DH18+(1-EXP(-LN(2)/2))/(LN(2)/2)*DB19*DE19*VLOOKUP('Données projet'!$B$13,Paramètres!$A$1:$I$89,3,0)*0.475*44/12</f>
        <v>0.67026996820660012</v>
      </c>
      <c r="DI19" s="22">
        <f t="shared" si="15"/>
        <v>1.572782252949442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65.276351615901717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65.276351615901717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65.276351615901717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65.276351615901717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65.276351615901717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1.25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4.583333333333333</v>
      </c>
      <c r="H20" s="67">
        <f t="shared" si="1"/>
        <v>238.33333333333334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65.358296354870106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339.30023927971524</v>
      </c>
      <c r="S20" s="59">
        <f ca="1">AVERAGE(OFFSET($R$3,0,0,'Données projet'!$E$9+1,1))-AVERAGE(OFFSET($H$3,0,0,'Données projet'!$E$9+1,1))</f>
        <v>467.10712490977266</v>
      </c>
      <c r="T20" s="59">
        <f t="shared" si="34"/>
        <v>282.99426855025968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65.358296354870106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22.814782359813346</v>
      </c>
      <c r="AK20" s="13">
        <f t="shared" si="35"/>
        <v>7.3058712463706073</v>
      </c>
      <c r="AL20" s="20">
        <f t="shared" si="4"/>
        <v>52.46013836410372</v>
      </c>
      <c r="AM20" s="59">
        <f t="shared" si="5"/>
        <v>312.88500277640526</v>
      </c>
      <c r="AN20" s="59">
        <f ca="1">AVERAGE(OFFSET($AM$3,0,0,'Données projet'!$E$10+1,1))-AVERAGE(OFFSET($H$3,0,0,'Données projet'!$E$10+1,1))</f>
        <v>399.57236812003225</v>
      </c>
      <c r="AO20" s="59">
        <f t="shared" si="36"/>
        <v>245.95971136213691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65.358296354870106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18.399999999999999</v>
      </c>
      <c r="BD20" s="12">
        <f>IF('Données projet'!$A$88&gt;35,BD19+BC20-BL19,IF(A20&lt;'Données projet'!$A$88,$BA$205^A20,IF(A20='Données projet'!$A$88,'Données projet'!$B$88,BD19+BC20-BL19)))</f>
        <v>124.80000000000001</v>
      </c>
      <c r="BE20" s="13">
        <f>BD20*VLOOKUP('Données projet'!$B$11,Paramètres!$A$1:$I$89,3,0)*VLOOKUP('Données projet'!$B$11,Paramètres!$A$1:$I$89,5,0)</f>
        <v>74.630400000000009</v>
      </c>
      <c r="BF20" s="13">
        <f t="shared" si="37"/>
        <v>20.819027490528757</v>
      </c>
      <c r="BG20" s="20">
        <f t="shared" si="7"/>
        <v>166.24108621267092</v>
      </c>
      <c r="BH20" s="59">
        <f t="shared" si="8"/>
        <v>426.66595062497242</v>
      </c>
      <c r="BI20" s="59">
        <f ca="1">AVERAGE(OFFSET($BH$3,0,0,'Données projet'!$E$11+1,1))-AVERAGE(OFFSET($H$3,0,0,'Données projet'!$E$11+1,1))</f>
        <v>352.88552266225872</v>
      </c>
      <c r="BJ20" s="59">
        <f t="shared" si="38"/>
        <v>403.29115295154782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0.27449240171816314</v>
      </c>
      <c r="BQ20" s="21">
        <f>EXP(-LN(2)/25)*BQ19+(1-EXP(-LN(2)/25))/(LN(2)/25)*Calculateur!BL20*Calculateur!BN20*VLOOKUP('Données projet'!$B$11,Paramètres!$A$1:$I$89,3,0)*0.475*44/12</f>
        <v>0.60550648875251334</v>
      </c>
      <c r="BR20" s="21">
        <f>EXP(-LN(2)/2)*BR19+(1-EXP(-LN(2)/2))/(LN(2)/2)*BL20*BO20*VLOOKUP('Données projet'!$B$11,Paramètres!$A$1:$I$89,3,0)*0.475*44/12</f>
        <v>0.47395243974457857</v>
      </c>
      <c r="BS20" s="22">
        <f t="shared" si="9"/>
        <v>1.353951330215255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65.358296354870106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18.8</v>
      </c>
      <c r="BY20" s="12">
        <f>IF('Données projet'!$A$114&gt;35,BY19+BX20-CG19,IF(A20&lt;'Données projet'!$A$114,$BV$205^A20,IF(A20='Données projet'!$A$114,'Données projet'!$B$114,BY19+BX20-CG19)))</f>
        <v>64.599999999999994</v>
      </c>
      <c r="BZ20" s="13">
        <f>BY20*VLOOKUP('Données projet'!$B$12,Paramètres!$A$1:$I$89,3,0)*VLOOKUP('Données projet'!$B$12,Paramètres!$A$1:$I$89,5,0)</f>
        <v>28.5532</v>
      </c>
      <c r="CA20" s="13">
        <f t="shared" si="39"/>
        <v>8.9077626163018593</v>
      </c>
      <c r="CB20" s="20">
        <f t="shared" si="10"/>
        <v>65.244509890059064</v>
      </c>
      <c r="CC20" s="59">
        <f t="shared" si="11"/>
        <v>325.66937430236061</v>
      </c>
      <c r="CD20" s="59">
        <f ca="1">AVERAGE(OFFSET($CC$3,0,0,'Données projet'!$E$12+1,1))-AVERAGE(OFFSET($H$3,0,0,'Données projet'!$E$12+1,1))</f>
        <v>297.1442218517625</v>
      </c>
      <c r="CE20" s="59">
        <f t="shared" si="40"/>
        <v>326.0112787126069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65.358296354870106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18.399999999999999</v>
      </c>
      <c r="CT20" s="12">
        <f>IF('Données projet'!$A$140&gt;35,CT19+CS20-DB19,IF(A20&lt;'Données projet'!$A$140,$CQ$205^A20,IF(A20='Données projet'!$A$140,'Données projet'!$B$140,CT19+CS20-DB19)))</f>
        <v>124.80000000000001</v>
      </c>
      <c r="CU20" s="17">
        <f>CT20*VLOOKUP('Données projet'!$B$13,Paramètres!$A$1:$I$89,3,0)*VLOOKUP('Données projet'!$B$13,Paramètres!$A$1:$I$89,5,0)</f>
        <v>74.630400000000009</v>
      </c>
      <c r="CV20" s="13">
        <f t="shared" si="41"/>
        <v>20.819027490528757</v>
      </c>
      <c r="CW20" s="20">
        <f t="shared" si="13"/>
        <v>166.24108621267092</v>
      </c>
      <c r="CX20" s="59">
        <f t="shared" si="14"/>
        <v>426.66595062497242</v>
      </c>
      <c r="CY20" s="59">
        <f ca="1">AVERAGE(OFFSET($CX$3,0,0,'Données projet'!$E$13+1,1))-AVERAGE(OFFSET($H$3,0,0,'Données projet'!$E$13+1,1))</f>
        <v>352.88552266225872</v>
      </c>
      <c r="CZ20" s="59">
        <f t="shared" si="42"/>
        <v>403.29115295154782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0.27449240171816314</v>
      </c>
      <c r="DG20" s="21">
        <f>EXP(-LN(2)/25)*DG19+(1-EXP(-LN(2)/25))/(LN(2)/25)*Calculateur!DB20*Calculateur!DD20*VLOOKUP('Données projet'!$B$13,Paramètres!$A$1:$I$89,3,0)*0.475*44/12</f>
        <v>0.60550648875251334</v>
      </c>
      <c r="DH20" s="21">
        <f>EXP(-LN(2)/2)*DH19+(1-EXP(-LN(2)/2))/(LN(2)/2)*DB20*DE20*VLOOKUP('Données projet'!$B$13,Paramètres!$A$1:$I$89,3,0)*0.475*44/12</f>
        <v>0.47395243974457857</v>
      </c>
      <c r="DI20" s="22">
        <f t="shared" si="15"/>
        <v>1.353951330215255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65.358296354870106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65.358296354870106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65.358296354870106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65.358296354870106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65.358296354870106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1.25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4.583333333333333</v>
      </c>
      <c r="H21" s="67">
        <f t="shared" si="1"/>
        <v>238.33333333333334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65.438819535818396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359.12692332915981</v>
      </c>
      <c r="S21" s="59">
        <f ca="1">AVERAGE(OFFSET($R$3,0,0,'Données projet'!$E$9+1,1))-AVERAGE(OFFSET($H$3,0,0,'Données projet'!$E$9+1,1))</f>
        <v>467.10712490977266</v>
      </c>
      <c r="T21" s="59">
        <f t="shared" si="34"/>
        <v>282.99426855025968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65.438819535818396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27.502919313743888</v>
      </c>
      <c r="AK21" s="13">
        <f t="shared" si="35"/>
        <v>8.6176165916501422</v>
      </c>
      <c r="AL21" s="20">
        <f t="shared" si="4"/>
        <v>62.909933368561269</v>
      </c>
      <c r="AM21" s="59">
        <f t="shared" si="5"/>
        <v>324.85227166656205</v>
      </c>
      <c r="AN21" s="59">
        <f ca="1">AVERAGE(OFFSET($AM$3,0,0,'Données projet'!$E$10+1,1))-AVERAGE(OFFSET($H$3,0,0,'Données projet'!$E$10+1,1))</f>
        <v>399.57236812003225</v>
      </c>
      <c r="AO21" s="59">
        <f t="shared" si="36"/>
        <v>245.95971136213691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65.438819535818396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18.399999999999999</v>
      </c>
      <c r="BD21" s="12">
        <f>IF('Données projet'!$A$88&gt;35,BD20+BC21-BL20,IF(A21&lt;'Données projet'!$A$88,$BA$205^A21,IF(A21='Données projet'!$A$88,'Données projet'!$B$88,BD20+BC21-BL20)))</f>
        <v>143.20000000000002</v>
      </c>
      <c r="BE21" s="13">
        <f>BD21*VLOOKUP('Données projet'!$B$11,Paramètres!$A$1:$I$89,3,0)*VLOOKUP('Données projet'!$B$11,Paramètres!$A$1:$I$89,5,0)</f>
        <v>85.633600000000015</v>
      </c>
      <c r="BF21" s="13">
        <f t="shared" si="37"/>
        <v>23.509125896343544</v>
      </c>
      <c r="BG21" s="20">
        <f t="shared" si="7"/>
        <v>190.09024760279837</v>
      </c>
      <c r="BH21" s="59">
        <f t="shared" si="8"/>
        <v>452.03258590079918</v>
      </c>
      <c r="BI21" s="59">
        <f ca="1">AVERAGE(OFFSET($BH$3,0,0,'Données projet'!$E$11+1,1))-AVERAGE(OFFSET($H$3,0,0,'Données projet'!$E$11+1,1))</f>
        <v>352.88552266225872</v>
      </c>
      <c r="BJ21" s="59">
        <f t="shared" si="38"/>
        <v>403.29115295154782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0.26910977314430329</v>
      </c>
      <c r="BQ21" s="21">
        <f>EXP(-LN(2)/25)*BQ20+(1-EXP(-LN(2)/25))/(LN(2)/25)*Calculateur!BL21*Calculateur!BN21*VLOOKUP('Données projet'!$B$11,Paramètres!$A$1:$I$89,3,0)*0.475*44/12</f>
        <v>0.58894888197537354</v>
      </c>
      <c r="BR21" s="21">
        <f>EXP(-LN(2)/2)*BR20+(1-EXP(-LN(2)/2))/(LN(2)/2)*BL21*BO21*VLOOKUP('Données projet'!$B$11,Paramètres!$A$1:$I$89,3,0)*0.475*44/12</f>
        <v>0.33513498410330012</v>
      </c>
      <c r="BS21" s="22">
        <f t="shared" si="9"/>
        <v>1.1931936392229769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65.438819535818396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18.8</v>
      </c>
      <c r="BY21" s="12">
        <f>IF('Données projet'!$A$114&gt;35,BY20+BX21-CG20,IF(A21&lt;'Données projet'!$A$114,$BV$205^A21,IF(A21='Données projet'!$A$114,'Données projet'!$B$114,BY20+BX21-CG20)))</f>
        <v>83.399999999999991</v>
      </c>
      <c r="BZ21" s="13">
        <f>BY21*VLOOKUP('Données projet'!$B$12,Paramètres!$A$1:$I$89,3,0)*VLOOKUP('Données projet'!$B$12,Paramètres!$A$1:$I$89,5,0)</f>
        <v>36.8628</v>
      </c>
      <c r="CA21" s="13">
        <f t="shared" si="39"/>
        <v>11.16322053190158</v>
      </c>
      <c r="CB21" s="20">
        <f t="shared" si="10"/>
        <v>83.645319093061914</v>
      </c>
      <c r="CC21" s="59">
        <f t="shared" si="11"/>
        <v>345.58765739106269</v>
      </c>
      <c r="CD21" s="59">
        <f ca="1">AVERAGE(OFFSET($CC$3,0,0,'Données projet'!$E$12+1,1))-AVERAGE(OFFSET($H$3,0,0,'Données projet'!$E$12+1,1))</f>
        <v>297.1442218517625</v>
      </c>
      <c r="CE21" s="59">
        <f t="shared" si="40"/>
        <v>326.0112787126069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65.438819535818396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18.399999999999999</v>
      </c>
      <c r="CT21" s="12">
        <f>IF('Données projet'!$A$140&gt;35,CT20+CS21-DB20,IF(A21&lt;'Données projet'!$A$140,$CQ$205^A21,IF(A21='Données projet'!$A$140,'Données projet'!$B$140,CT20+CS21-DB20)))</f>
        <v>143.20000000000002</v>
      </c>
      <c r="CU21" s="17">
        <f>CT21*VLOOKUP('Données projet'!$B$13,Paramètres!$A$1:$I$89,3,0)*VLOOKUP('Données projet'!$B$13,Paramètres!$A$1:$I$89,5,0)</f>
        <v>85.633600000000015</v>
      </c>
      <c r="CV21" s="13">
        <f t="shared" si="41"/>
        <v>23.509125896343544</v>
      </c>
      <c r="CW21" s="20">
        <f t="shared" si="13"/>
        <v>190.09024760279837</v>
      </c>
      <c r="CX21" s="59">
        <f t="shared" si="14"/>
        <v>452.03258590079918</v>
      </c>
      <c r="CY21" s="59">
        <f ca="1">AVERAGE(OFFSET($CX$3,0,0,'Données projet'!$E$13+1,1))-AVERAGE(OFFSET($H$3,0,0,'Données projet'!$E$13+1,1))</f>
        <v>352.88552266225872</v>
      </c>
      <c r="CZ21" s="59">
        <f t="shared" si="42"/>
        <v>403.29115295154782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0.26910977314430329</v>
      </c>
      <c r="DG21" s="21">
        <f>EXP(-LN(2)/25)*DG20+(1-EXP(-LN(2)/25))/(LN(2)/25)*Calculateur!DB21*Calculateur!DD21*VLOOKUP('Données projet'!$B$13,Paramètres!$A$1:$I$89,3,0)*0.475*44/12</f>
        <v>0.58894888197537354</v>
      </c>
      <c r="DH21" s="21">
        <f>EXP(-LN(2)/2)*DH20+(1-EXP(-LN(2)/2))/(LN(2)/2)*DB21*DE21*VLOOKUP('Données projet'!$B$13,Paramètres!$A$1:$I$89,3,0)*0.475*44/12</f>
        <v>0.33513498410330012</v>
      </c>
      <c r="DI21" s="22">
        <f t="shared" si="15"/>
        <v>1.1931936392229769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65.438819535818396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65.438819535818396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65.438819535818396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65.438819535818396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65.438819535818396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1.25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4.583333333333333</v>
      </c>
      <c r="H22" s="67">
        <f t="shared" si="1"/>
        <v>238.33333333333334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65.517945819600087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383.21176552216582</v>
      </c>
      <c r="S22" s="59">
        <f ca="1">AVERAGE(OFFSET($R$3,0,0,'Données projet'!$E$9+1,1))-AVERAGE(OFFSET($H$3,0,0,'Données projet'!$E$9+1,1))</f>
        <v>467.10712490977266</v>
      </c>
      <c r="T22" s="59">
        <f t="shared" si="34"/>
        <v>282.99426855025968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65.517945819600087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33.154406596955802</v>
      </c>
      <c r="AK22" s="13">
        <f t="shared" si="35"/>
        <v>10.16488153381791</v>
      </c>
      <c r="AL22" s="20">
        <f t="shared" si="4"/>
        <v>75.447760161097548</v>
      </c>
      <c r="AM22" s="59">
        <f t="shared" si="5"/>
        <v>338.90245038852009</v>
      </c>
      <c r="AN22" s="59">
        <f ca="1">AVERAGE(OFFSET($AM$3,0,0,'Données projet'!$E$10+1,1))-AVERAGE(OFFSET($H$3,0,0,'Données projet'!$E$10+1,1))</f>
        <v>399.57236812003225</v>
      </c>
      <c r="AO22" s="59">
        <f t="shared" si="36"/>
        <v>245.95971136213691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65.517945819600087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18.399999999999999</v>
      </c>
      <c r="BD22" s="12">
        <f>IF('Données projet'!$A$88&gt;35,BD21+BC22-BL21,IF(A22&lt;'Données projet'!$A$88,$BA$205^A22,IF(A22='Données projet'!$A$88,'Données projet'!$B$88,BD21+BC22-BL21)))</f>
        <v>161.60000000000002</v>
      </c>
      <c r="BE22" s="13">
        <f>BD22*VLOOKUP('Données projet'!$B$11,Paramètres!$A$1:$I$89,3,0)*VLOOKUP('Données projet'!$B$11,Paramètres!$A$1:$I$89,5,0)</f>
        <v>96.636800000000022</v>
      </c>
      <c r="BF22" s="13">
        <f t="shared" si="37"/>
        <v>26.159173215164081</v>
      </c>
      <c r="BG22" s="20">
        <f t="shared" si="7"/>
        <v>213.86965334974414</v>
      </c>
      <c r="BH22" s="59">
        <f t="shared" si="8"/>
        <v>477.3243435771667</v>
      </c>
      <c r="BI22" s="59">
        <f ca="1">AVERAGE(OFFSET($BH$3,0,0,'Données projet'!$E$11+1,1))-AVERAGE(OFFSET($H$3,0,0,'Données projet'!$E$11+1,1))</f>
        <v>352.88552266225872</v>
      </c>
      <c r="BJ22" s="59">
        <f t="shared" si="38"/>
        <v>403.29115295154782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0.26383269463369757</v>
      </c>
      <c r="BQ22" s="21">
        <f>EXP(-LN(2)/25)*BQ21+(1-EXP(-LN(2)/25))/(LN(2)/25)*Calculateur!BL22*Calculateur!BN22*VLOOKUP('Données projet'!$B$11,Paramètres!$A$1:$I$89,3,0)*0.475*44/12</f>
        <v>0.57284404382628129</v>
      </c>
      <c r="BR22" s="21">
        <f>EXP(-LN(2)/2)*BR21+(1-EXP(-LN(2)/2))/(LN(2)/2)*BL22*BO22*VLOOKUP('Données projet'!$B$11,Paramètres!$A$1:$I$89,3,0)*0.475*44/12</f>
        <v>0.23697621987228934</v>
      </c>
      <c r="BS22" s="22">
        <f t="shared" si="9"/>
        <v>1.0736529583322683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65.517945819600087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18.8</v>
      </c>
      <c r="BY22" s="12">
        <f>IF('Données projet'!$A$114&gt;35,BY21+BX22-CG21,IF(A22&lt;'Données projet'!$A$114,$BV$205^A22,IF(A22='Données projet'!$A$114,'Données projet'!$B$114,BY21+BX22-CG21)))</f>
        <v>102.19999999999999</v>
      </c>
      <c r="BZ22" s="13">
        <f>BY22*VLOOKUP('Données projet'!$B$12,Paramètres!$A$1:$I$89,3,0)*VLOOKUP('Données projet'!$B$12,Paramètres!$A$1:$I$89,5,0)</f>
        <v>45.172399999999996</v>
      </c>
      <c r="CA22" s="13">
        <f t="shared" si="39"/>
        <v>13.359739611648042</v>
      </c>
      <c r="CB22" s="20">
        <f t="shared" si="10"/>
        <v>101.94347649028698</v>
      </c>
      <c r="CC22" s="59">
        <f t="shared" si="11"/>
        <v>365.3981667177095</v>
      </c>
      <c r="CD22" s="59">
        <f ca="1">AVERAGE(OFFSET($CC$3,0,0,'Données projet'!$E$12+1,1))-AVERAGE(OFFSET($H$3,0,0,'Données projet'!$E$12+1,1))</f>
        <v>297.1442218517625</v>
      </c>
      <c r="CE22" s="59">
        <f t="shared" si="40"/>
        <v>326.0112787126069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65.517945819600087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18.399999999999999</v>
      </c>
      <c r="CT22" s="12">
        <f>IF('Données projet'!$A$140&gt;35,CT21+CS22-DB21,IF(A22&lt;'Données projet'!$A$140,$CQ$205^A22,IF(A22='Données projet'!$A$140,'Données projet'!$B$140,CT21+CS22-DB21)))</f>
        <v>161.60000000000002</v>
      </c>
      <c r="CU22" s="17">
        <f>CT22*VLOOKUP('Données projet'!$B$13,Paramètres!$A$1:$I$89,3,0)*VLOOKUP('Données projet'!$B$13,Paramètres!$A$1:$I$89,5,0)</f>
        <v>96.636800000000022</v>
      </c>
      <c r="CV22" s="13">
        <f t="shared" si="41"/>
        <v>26.159173215164081</v>
      </c>
      <c r="CW22" s="20">
        <f t="shared" si="13"/>
        <v>213.86965334974414</v>
      </c>
      <c r="CX22" s="59">
        <f t="shared" si="14"/>
        <v>477.3243435771667</v>
      </c>
      <c r="CY22" s="59">
        <f ca="1">AVERAGE(OFFSET($CX$3,0,0,'Données projet'!$E$13+1,1))-AVERAGE(OFFSET($H$3,0,0,'Données projet'!$E$13+1,1))</f>
        <v>352.88552266225872</v>
      </c>
      <c r="CZ22" s="59">
        <f t="shared" si="42"/>
        <v>403.29115295154782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0.26383269463369757</v>
      </c>
      <c r="DG22" s="21">
        <f>EXP(-LN(2)/25)*DG21+(1-EXP(-LN(2)/25))/(LN(2)/25)*Calculateur!DB22*Calculateur!DD22*VLOOKUP('Données projet'!$B$13,Paramètres!$A$1:$I$89,3,0)*0.475*44/12</f>
        <v>0.57284404382628129</v>
      </c>
      <c r="DH22" s="21">
        <f>EXP(-LN(2)/2)*DH21+(1-EXP(-LN(2)/2))/(LN(2)/2)*DB22*DE22*VLOOKUP('Données projet'!$B$13,Paramètres!$A$1:$I$89,3,0)*0.475*44/12</f>
        <v>0.23697621987228934</v>
      </c>
      <c r="DI22" s="22">
        <f t="shared" si="15"/>
        <v>1.0736529583322683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65.517945819600087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65.517945819600087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65.517945819600087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65.517945819600087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65.517945819600087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1.25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4.583333333333333</v>
      </c>
      <c r="H23" s="67">
        <f t="shared" si="1"/>
        <v>238.33333333333334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65.595699439258041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412.55039325940447</v>
      </c>
      <c r="S23" s="59">
        <f ca="1">AVERAGE(OFFSET($R$3,0,0,'Données projet'!$E$9+1,1))-AVERAGE(OFFSET($H$3,0,0,'Données projet'!$E$9+1,1))</f>
        <v>467.10712490977266</v>
      </c>
      <c r="T23" s="59">
        <f t="shared" si="34"/>
        <v>282.99426855025968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65.595699439258041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39.967200000000005</v>
      </c>
      <c r="AK23" s="13">
        <f t="shared" si="35"/>
        <v>11.989952848060872</v>
      </c>
      <c r="AL23" s="20">
        <f t="shared" si="4"/>
        <v>90.49204121037269</v>
      </c>
      <c r="AM23" s="59">
        <f t="shared" si="5"/>
        <v>355.45405026543</v>
      </c>
      <c r="AN23" s="59">
        <f ca="1">AVERAGE(OFFSET($AM$3,0,0,'Données projet'!$E$10+1,1))-AVERAGE(OFFSET($H$3,0,0,'Données projet'!$E$10+1,1))</f>
        <v>399.57236812003225</v>
      </c>
      <c r="AO23" s="59">
        <f t="shared" si="36"/>
        <v>245.95971136213691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65.595699439258041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180</v>
      </c>
      <c r="BB23" s="12">
        <f>VLOOKUP(A23,'Données projet'!$A$87:$I$107,9,0)</f>
        <v>18.399999999999999</v>
      </c>
      <c r="BC23" s="12">
        <f t="array" ref="BC23">INDEX(BB:BB,MIN(IF(ISNUMBER(BB23:BB219),ROW(BB23:BB219),"")))</f>
        <v>18.399999999999999</v>
      </c>
      <c r="BD23" s="12">
        <f>IF('Données projet'!$A$88&gt;35,BD22+BC23-BL22,IF(A23&lt;'Données projet'!$A$88,$BA$205^A23,IF(A23='Données projet'!$A$88,'Données projet'!$B$88,BD22+BC23-BL22)))</f>
        <v>180.00000000000003</v>
      </c>
      <c r="BE23" s="13">
        <f>BD23*VLOOKUP('Données projet'!$B$11,Paramètres!$A$1:$I$89,3,0)*VLOOKUP('Données projet'!$B$11,Paramètres!$A$1:$I$89,5,0)</f>
        <v>107.64000000000001</v>
      </c>
      <c r="BF23" s="13">
        <f t="shared" si="37"/>
        <v>28.774250263353583</v>
      </c>
      <c r="BG23" s="20">
        <f t="shared" si="7"/>
        <v>237.58815254200752</v>
      </c>
      <c r="BH23" s="59">
        <f t="shared" si="8"/>
        <v>502.55016159706486</v>
      </c>
      <c r="BI23" s="59">
        <f ca="1">AVERAGE(OFFSET($BH$3,0,0,'Données projet'!$E$11+1,1))-AVERAGE(OFFSET($H$3,0,0,'Données projet'!$E$11+1,1))</f>
        <v>352.88552266225872</v>
      </c>
      <c r="BJ23" s="59">
        <f t="shared" si="38"/>
        <v>403.29115295154782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56</v>
      </c>
      <c r="BM23" s="16">
        <f>IF(ISNA(VLOOKUP(A23,'Données projet'!$A$87:$I$107,5,0)),0%,VLOOKUP(A23,'Données projet'!$A$87:$I$107,5,0)*VLOOKUP('Données projet'!$B$11,Paramètres!$A$1:$I$89,7,0))</f>
        <v>9.0000000000000011E-2</v>
      </c>
      <c r="BN23" s="16">
        <f>IF(ISNA(VLOOKUP(A23,'Données projet'!$A$87:$I$107,6,0)),0%,VLOOKUP(A23,'Données projet'!$A$87:$I$107,6,0)*VLOOKUP('Données projet'!$B$11,Paramètres!$A$1:$I$89,7,0))</f>
        <v>0.20250000000000001</v>
      </c>
      <c r="BO23" s="16">
        <f>IF(ISNA(VLOOKUP(A23,'Données projet'!$A$87:$I$107,7,0)),0%,VLOOKUP(A23,'Données projet'!$A$87:$I$107,7,0))</f>
        <v>0.35</v>
      </c>
      <c r="BP23" s="21">
        <f>EXP(-LN(2)/35)*BP22+(1-EXP(-LN(2)/35))/(LN(2)/35)*BL23*BM23*VLOOKUP('Données projet'!$B$11,Paramètres!$A$1:$I$89,3,0)*0.475*44/12</f>
        <v>4.2568182399523247</v>
      </c>
      <c r="BQ23" s="21">
        <f>EXP(-LN(2)/25)*BQ22+(1-EXP(-LN(2)/25))/(LN(2)/25)*Calculateur!BL23*Calculateur!BN23*VLOOKUP('Données projet'!$B$11,Paramètres!$A$1:$I$89,3,0)*0.475*44/12</f>
        <v>9.5176175453606557</v>
      </c>
      <c r="BR23" s="21">
        <f>EXP(-LN(2)/2)*BR22+(1-EXP(-LN(2)/2))/(LN(2)/2)*BL23*BO23*VLOOKUP('Données projet'!$B$11,Paramètres!$A$1:$I$89,3,0)*0.475*44/12</f>
        <v>13.43823580489985</v>
      </c>
      <c r="BS23" s="22">
        <f t="shared" si="9"/>
        <v>27.212671590212832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65.595699439258041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121</v>
      </c>
      <c r="BW23" s="12">
        <f>VLOOKUP(A23,'Données projet'!$A$113:$I$133,9,0)</f>
        <v>18.8</v>
      </c>
      <c r="BX23" s="12">
        <f t="array" ref="BX23">INDEX(BW:BW,MIN(IF(ISNUMBER(BW23:BW219),ROW(BW23:BW219),"")))</f>
        <v>18.8</v>
      </c>
      <c r="BY23" s="12">
        <f>IF('Données projet'!$A$114&gt;35,BY22+BX23-CG22,IF(A23&lt;'Données projet'!$A$114,$BV$205^A23,IF(A23='Données projet'!$A$114,'Données projet'!$B$114,BY22+BX23-CG22)))</f>
        <v>120.99999999999999</v>
      </c>
      <c r="BZ23" s="13">
        <f>BY23*VLOOKUP('Données projet'!$B$12,Paramètres!$A$1:$I$89,3,0)*VLOOKUP('Données projet'!$B$12,Paramètres!$A$1:$I$89,5,0)</f>
        <v>53.481999999999999</v>
      </c>
      <c r="CA23" s="13">
        <f t="shared" si="39"/>
        <v>15.509447794831418</v>
      </c>
      <c r="CB23" s="20">
        <f t="shared" si="10"/>
        <v>120.16010490933138</v>
      </c>
      <c r="CC23" s="59">
        <f t="shared" si="11"/>
        <v>385.12211396438869</v>
      </c>
      <c r="CD23" s="59">
        <f ca="1">AVERAGE(OFFSET($CC$3,0,0,'Données projet'!$E$12+1,1))-AVERAGE(OFFSET($H$3,0,0,'Données projet'!$E$12+1,1))</f>
        <v>297.1442218517625</v>
      </c>
      <c r="CE23" s="59">
        <f t="shared" si="40"/>
        <v>326.0112787126069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30</v>
      </c>
      <c r="CH23" s="16">
        <f>IF(ISNA(VLOOKUP(A23,'Données projet'!$A$113:$I$133,5,0)),0%,VLOOKUP(A23,'Données projet'!$A$113:$I$133,5,0)*VLOOKUP('Données projet'!$B$12,Paramètres!$A$1:$I$89,7,0))</f>
        <v>0.11000000000000001</v>
      </c>
      <c r="CI23" s="16">
        <f>IF(ISNA(VLOOKUP(A23,'Données projet'!$A$113:$I$133,6,0)),0%,VLOOKUP(A23,'Données projet'!$A$113:$I$133,6,0)*VLOOKUP('Données projet'!$B$12,Paramètres!$A$1:$I$89,7,0))</f>
        <v>0.24750000000000003</v>
      </c>
      <c r="CJ23" s="16">
        <f>IF(ISNA(VLOOKUP(A23,'Données projet'!$A$113:$I$133,7,0)),0%,VLOOKUP(A23,'Données projet'!$A$113:$I$133,7,0))</f>
        <v>0.35</v>
      </c>
      <c r="CK23" s="21">
        <f>EXP(-LN(2)/35)*CK22+(1-EXP(-LN(2)/35))/(LN(2)/35)*CG23*CH23*VLOOKUP('Données projet'!$B$12,Paramètres!$A$1:$I$89,3,0)*0.475*44/12</f>
        <v>1.9349269147041135</v>
      </c>
      <c r="CL23" s="21">
        <f>EXP(-LN(2)/25)*CL22+(1-EXP(-LN(2)/25))/(LN(2)/25)*Calculateur!CG23*Calculateur!CI23*VLOOKUP('Données projet'!$B$12,Paramètres!$A$1:$I$89,3,0)*0.475*44/12</f>
        <v>4.3364438328959292</v>
      </c>
      <c r="CM23" s="21">
        <f>EXP(-LN(2)/2)*CM22+(1-EXP(-LN(2)/2))/(LN(2)/2)*CG23*CJ23*VLOOKUP('Données projet'!$B$12,Paramètres!$A$1:$I$89,3,0)*0.475*44/12</f>
        <v>5.2546900928203284</v>
      </c>
      <c r="CN23" s="22">
        <f t="shared" si="12"/>
        <v>11.526060840420371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65.595699439258041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180</v>
      </c>
      <c r="CR23" s="12">
        <f>VLOOKUP(A23,'Données projet'!$A$139:$I$159,9,0)</f>
        <v>18.399999999999999</v>
      </c>
      <c r="CS23" s="12">
        <f t="array" ref="CS23">INDEX(CR:CR,MIN(IF(ISNUMBER(CR23:CR219),ROW(CR23:CR219),"")))</f>
        <v>18.399999999999999</v>
      </c>
      <c r="CT23" s="12">
        <f>IF('Données projet'!$A$140&gt;35,CT22+CS23-DB22,IF(A23&lt;'Données projet'!$A$140,$CQ$205^A23,IF(A23='Données projet'!$A$140,'Données projet'!$B$140,CT22+CS23-DB22)))</f>
        <v>180.00000000000003</v>
      </c>
      <c r="CU23" s="17">
        <f>CT23*VLOOKUP('Données projet'!$B$13,Paramètres!$A$1:$I$89,3,0)*VLOOKUP('Données projet'!$B$13,Paramètres!$A$1:$I$89,5,0)</f>
        <v>107.64000000000001</v>
      </c>
      <c r="CV23" s="13">
        <f t="shared" si="41"/>
        <v>28.774250263353583</v>
      </c>
      <c r="CW23" s="20">
        <f t="shared" si="13"/>
        <v>237.58815254200752</v>
      </c>
      <c r="CX23" s="59">
        <f t="shared" si="14"/>
        <v>502.55016159706486</v>
      </c>
      <c r="CY23" s="59">
        <f ca="1">AVERAGE(OFFSET($CX$3,0,0,'Données projet'!$E$13+1,1))-AVERAGE(OFFSET($H$3,0,0,'Données projet'!$E$13+1,1))</f>
        <v>352.88552266225872</v>
      </c>
      <c r="CZ23" s="59">
        <f t="shared" si="42"/>
        <v>403.29115295154782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56</v>
      </c>
      <c r="DC23" s="16">
        <f>IF(ISNA(VLOOKUP(A23,'Données projet'!$A$139:$I$159,5,0)),0%,VLOOKUP(A23,'Données projet'!$A$139:$I$159,5,0)*VLOOKUP('Données projet'!$B$13,Paramètres!$A$1:$I$89,7,0))</f>
        <v>9.0000000000000011E-2</v>
      </c>
      <c r="DD23" s="16">
        <f>IF(ISNA(VLOOKUP(A23,'Données projet'!$A$139:$I$159,6,0)),0%,VLOOKUP(A23,'Données projet'!$A$139:$I$159,6,0)*VLOOKUP('Données projet'!$B$13,Paramètres!$A$1:$I$89,7,0))</f>
        <v>0.20250000000000001</v>
      </c>
      <c r="DE23" s="16">
        <f>IF(ISNA(VLOOKUP(A23,'Données projet'!$A$139:$I$159,7,0)),0%,VLOOKUP(A23,'Données projet'!$A$139:$I$159,7,0))</f>
        <v>0.35</v>
      </c>
      <c r="DF23" s="21">
        <f>EXP(-LN(2)/35)*DF22+(1-EXP(-LN(2)/35))/(LN(2)/35)*DB23*DC23*VLOOKUP('Données projet'!$B$13,Paramètres!$A$1:$I$89,3,0)*0.475*44/12</f>
        <v>4.2568182399523247</v>
      </c>
      <c r="DG23" s="21">
        <f>EXP(-LN(2)/25)*DG22+(1-EXP(-LN(2)/25))/(LN(2)/25)*Calculateur!DB23*Calculateur!DD23*VLOOKUP('Données projet'!$B$13,Paramètres!$A$1:$I$89,3,0)*0.475*44/12</f>
        <v>9.5176175453606557</v>
      </c>
      <c r="DH23" s="21">
        <f>EXP(-LN(2)/2)*DH22+(1-EXP(-LN(2)/2))/(LN(2)/2)*DB23*DE23*VLOOKUP('Données projet'!$B$13,Paramètres!$A$1:$I$89,3,0)*0.475*44/12</f>
        <v>13.43823580489985</v>
      </c>
      <c r="DI23" s="22">
        <f t="shared" si="15"/>
        <v>27.212671590212832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65.595699439258041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65.595699439258041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65.595699439258041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65.595699439258041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65.595699439258041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1.25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4.583333333333333</v>
      </c>
      <c r="H24" s="67">
        <f t="shared" si="1"/>
        <v>238.33333333333334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65.672104207445983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</v>
      </c>
      <c r="N24" s="13">
        <f>IF('Données projet'!$A$36&gt;35,N23+M24-V23,IF(A24&lt;'Données projet'!$A$36,$K$205^A24,IF(A24='Données projet'!$A$36,'Données projet'!$B$36,N23+M24-V23)))</f>
        <v>79</v>
      </c>
      <c r="O24" s="13">
        <f>N24*VLOOKUP('Données projet'!$B$9,Paramètres!$A$1:$I$89,3,0)*VLOOKUP('Données projet'!$B$9,Paramètres!$A$1:$I$89,5,0)</f>
        <v>71.479200000000006</v>
      </c>
      <c r="P24" s="13">
        <f t="shared" si="33"/>
        <v>20.040346808618612</v>
      </c>
      <c r="Q24" s="20">
        <f t="shared" si="2"/>
        <v>159.39654402501074</v>
      </c>
      <c r="R24" s="59">
        <f t="shared" si="0"/>
        <v>425.86092611897936</v>
      </c>
      <c r="S24" s="59">
        <f ca="1">AVERAGE(OFFSET($R$3,0,0,'Données projet'!$E$9+1,1))-AVERAGE(OFFSET($H$3,0,0,'Données projet'!$E$9+1,1))</f>
        <v>467.10712490977266</v>
      </c>
      <c r="T24" s="59">
        <f t="shared" si="34"/>
        <v>282.99426855025968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65.672104207445983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45.29616</v>
      </c>
      <c r="AK24" s="13">
        <f t="shared" si="35"/>
        <v>13.39207601043956</v>
      </c>
      <c r="AL24" s="20">
        <f t="shared" si="4"/>
        <v>102.21534438484889</v>
      </c>
      <c r="AM24" s="59">
        <f t="shared" si="5"/>
        <v>368.67972647881749</v>
      </c>
      <c r="AN24" s="59">
        <f ca="1">AVERAGE(OFFSET($AM$3,0,0,'Données projet'!$E$10+1,1))-AVERAGE(OFFSET($H$3,0,0,'Données projet'!$E$10+1,1))</f>
        <v>399.57236812003225</v>
      </c>
      <c r="AO24" s="59">
        <f t="shared" si="36"/>
        <v>245.95971136213691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65.672104207445983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20.2</v>
      </c>
      <c r="BD24" s="12">
        <f>IF('Données projet'!$A$88&gt;35,BD23+BC24-BL23,IF(A24&lt;'Données projet'!$A$88,$BA$205^A24,IF(A24='Données projet'!$A$88,'Données projet'!$B$88,BD23+BC24-BL23)))</f>
        <v>144.20000000000002</v>
      </c>
      <c r="BE24" s="13">
        <f>BD24*VLOOKUP('Données projet'!$B$11,Paramètres!$A$1:$I$89,3,0)*VLOOKUP('Données projet'!$B$11,Paramètres!$A$1:$I$89,5,0)</f>
        <v>86.231600000000014</v>
      </c>
      <c r="BF24" s="13">
        <f t="shared" si="37"/>
        <v>23.65412759312937</v>
      </c>
      <c r="BG24" s="20">
        <f t="shared" si="7"/>
        <v>191.38430889136703</v>
      </c>
      <c r="BH24" s="59">
        <f t="shared" si="8"/>
        <v>457.84869098533562</v>
      </c>
      <c r="BI24" s="59">
        <f ca="1">AVERAGE(OFFSET($BH$3,0,0,'Données projet'!$E$11+1,1))-AVERAGE(OFFSET($H$3,0,0,'Données projet'!$E$11+1,1))</f>
        <v>352.88552266225872</v>
      </c>
      <c r="BJ24" s="59">
        <f t="shared" si="38"/>
        <v>403.29115295154782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4.1733446306696127</v>
      </c>
      <c r="BQ24" s="21">
        <f>EXP(-LN(2)/25)*BQ23+(1-EXP(-LN(2)/25))/(LN(2)/25)*Calculateur!BL24*Calculateur!BN24*VLOOKUP('Données projet'!$B$11,Paramètres!$A$1:$I$89,3,0)*0.475*44/12</f>
        <v>9.2573577930730142</v>
      </c>
      <c r="BR24" s="21">
        <f>EXP(-LN(2)/2)*BR23+(1-EXP(-LN(2)/2))/(LN(2)/2)*BL24*BO24*VLOOKUP('Données projet'!$B$11,Paramètres!$A$1:$I$89,3,0)*0.475*44/12</f>
        <v>9.5022676648285476</v>
      </c>
      <c r="BS24" s="22">
        <f t="shared" si="9"/>
        <v>22.932970088571174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65.672104207445983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25</v>
      </c>
      <c r="BY24" s="12">
        <f>IF('Données projet'!$A$114&gt;35,BY23+BX24-CG23,IF(A24&lt;'Données projet'!$A$114,$BV$205^A24,IF(A24='Données projet'!$A$114,'Données projet'!$B$114,BY23+BX24-CG23)))</f>
        <v>116</v>
      </c>
      <c r="BZ24" s="13">
        <f>BY24*VLOOKUP('Données projet'!$B$12,Paramètres!$A$1:$I$89,3,0)*VLOOKUP('Données projet'!$B$12,Paramètres!$A$1:$I$89,5,0)</f>
        <v>51.272000000000006</v>
      </c>
      <c r="CA24" s="13">
        <f t="shared" si="39"/>
        <v>14.941777374871691</v>
      </c>
      <c r="CB24" s="20">
        <f t="shared" si="10"/>
        <v>115.32232892790154</v>
      </c>
      <c r="CC24" s="59">
        <f t="shared" si="11"/>
        <v>381.78671102187013</v>
      </c>
      <c r="CD24" s="59">
        <f ca="1">AVERAGE(OFFSET($CC$3,0,0,'Données projet'!$E$12+1,1))-AVERAGE(OFFSET($H$3,0,0,'Données projet'!$E$12+1,1))</f>
        <v>297.1442218517625</v>
      </c>
      <c r="CE24" s="59">
        <f t="shared" si="40"/>
        <v>326.0112787126069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1.8969841780956498</v>
      </c>
      <c r="CL24" s="21">
        <f>EXP(-LN(2)/25)*CL23+(1-EXP(-LN(2)/25))/(LN(2)/25)*Calculateur!CG24*Calculateur!CI24*VLOOKUP('Données projet'!$B$12,Paramètres!$A$1:$I$89,3,0)*0.475*44/12</f>
        <v>4.2178635482417199</v>
      </c>
      <c r="CM24" s="21">
        <f>EXP(-LN(2)/2)*CM23+(1-EXP(-LN(2)/2))/(LN(2)/2)*CG24*CJ24*VLOOKUP('Données projet'!$B$12,Paramètres!$A$1:$I$89,3,0)*0.475*44/12</f>
        <v>3.7156269976670231</v>
      </c>
      <c r="CN24" s="22">
        <f t="shared" si="12"/>
        <v>9.830474724004393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65.672104207445983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20.2</v>
      </c>
      <c r="CT24" s="12">
        <f>IF('Données projet'!$A$140&gt;35,CT23+CS24-DB23,IF(A24&lt;'Données projet'!$A$140,$CQ$205^A24,IF(A24='Données projet'!$A$140,'Données projet'!$B$140,CT23+CS24-DB23)))</f>
        <v>144.20000000000002</v>
      </c>
      <c r="CU24" s="17">
        <f>CT24*VLOOKUP('Données projet'!$B$13,Paramètres!$A$1:$I$89,3,0)*VLOOKUP('Données projet'!$B$13,Paramètres!$A$1:$I$89,5,0)</f>
        <v>86.231600000000014</v>
      </c>
      <c r="CV24" s="13">
        <f t="shared" si="41"/>
        <v>23.65412759312937</v>
      </c>
      <c r="CW24" s="20">
        <f t="shared" si="13"/>
        <v>191.38430889136703</v>
      </c>
      <c r="CX24" s="59">
        <f t="shared" si="14"/>
        <v>457.84869098533562</v>
      </c>
      <c r="CY24" s="59">
        <f ca="1">AVERAGE(OFFSET($CX$3,0,0,'Données projet'!$E$13+1,1))-AVERAGE(OFFSET($H$3,0,0,'Données projet'!$E$13+1,1))</f>
        <v>352.88552266225872</v>
      </c>
      <c r="CZ24" s="59">
        <f t="shared" si="42"/>
        <v>403.29115295154782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4.1733446306696127</v>
      </c>
      <c r="DG24" s="21">
        <f>EXP(-LN(2)/25)*DG23+(1-EXP(-LN(2)/25))/(LN(2)/25)*Calculateur!DB24*Calculateur!DD24*VLOOKUP('Données projet'!$B$13,Paramètres!$A$1:$I$89,3,0)*0.475*44/12</f>
        <v>9.2573577930730142</v>
      </c>
      <c r="DH24" s="21">
        <f>EXP(-LN(2)/2)*DH23+(1-EXP(-LN(2)/2))/(LN(2)/2)*DB24*DE24*VLOOKUP('Données projet'!$B$13,Paramètres!$A$1:$I$89,3,0)*0.475*44/12</f>
        <v>9.5022676648285476</v>
      </c>
      <c r="DI24" s="22">
        <f t="shared" si="15"/>
        <v>22.932970088571174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65.672104207445983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65.672104207445983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65.672104207445983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65.672104207445983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65.672104207445983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1.25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4.583333333333333</v>
      </c>
      <c r="H25" s="67">
        <f t="shared" si="1"/>
        <v>238.33333333333334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65.747183523721333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</v>
      </c>
      <c r="N25" s="13">
        <f>IF('Données projet'!$A$36&gt;35,N24+M25-V24,IF(A25&lt;'Données projet'!$A$36,$K$205^A25,IF(A25='Données projet'!$A$36,'Données projet'!$B$36,N24+M25-V24)))</f>
        <v>85</v>
      </c>
      <c r="O25" s="13">
        <f>N25*VLOOKUP('Données projet'!$B$9,Paramètres!$A$1:$I$89,3,0)*VLOOKUP('Données projet'!$B$9,Paramètres!$A$1:$I$89,5,0)</f>
        <v>76.908000000000001</v>
      </c>
      <c r="P25" s="13">
        <f t="shared" si="33"/>
        <v>21.379448490435635</v>
      </c>
      <c r="Q25" s="20">
        <f t="shared" si="2"/>
        <v>171.18397278750874</v>
      </c>
      <c r="R25" s="59">
        <f t="shared" si="0"/>
        <v>439.14586793004253</v>
      </c>
      <c r="S25" s="59">
        <f ca="1">AVERAGE(OFFSET($R$3,0,0,'Données projet'!$E$9+1,1))-AVERAGE(OFFSET($H$3,0,0,'Données projet'!$E$9+1,1))</f>
        <v>467.10712490977266</v>
      </c>
      <c r="T25" s="59">
        <f t="shared" si="34"/>
        <v>282.99426855025968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65.747183523721333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50.625119999999995</v>
      </c>
      <c r="AK25" s="13">
        <f t="shared" si="35"/>
        <v>14.77508270228409</v>
      </c>
      <c r="AL25" s="20">
        <f t="shared" si="4"/>
        <v>113.90535303981146</v>
      </c>
      <c r="AM25" s="59">
        <f t="shared" si="5"/>
        <v>381.86724818234524</v>
      </c>
      <c r="AN25" s="59">
        <f ca="1">AVERAGE(OFFSET($AM$3,0,0,'Données projet'!$E$10+1,1))-AVERAGE(OFFSET($H$3,0,0,'Données projet'!$E$10+1,1))</f>
        <v>399.57236812003225</v>
      </c>
      <c r="AO25" s="59">
        <f t="shared" si="36"/>
        <v>245.95971136213691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65.747183523721333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20.2</v>
      </c>
      <c r="BD25" s="12">
        <f>IF('Données projet'!$A$88&gt;35,BD24+BC25-BL24,IF(A25&lt;'Données projet'!$A$88,$BA$205^A25,IF(A25='Données projet'!$A$88,'Données projet'!$B$88,BD24+BC25-BL24)))</f>
        <v>164.4</v>
      </c>
      <c r="BE25" s="13">
        <f>BD25*VLOOKUP('Données projet'!$B$11,Paramètres!$A$1:$I$89,3,0)*VLOOKUP('Données projet'!$B$11,Paramètres!$A$1:$I$89,5,0)</f>
        <v>98.311200000000014</v>
      </c>
      <c r="BF25" s="13">
        <f t="shared" si="37"/>
        <v>26.559266282665902</v>
      </c>
      <c r="BG25" s="20">
        <f t="shared" si="7"/>
        <v>217.48272877564315</v>
      </c>
      <c r="BH25" s="59">
        <f t="shared" si="8"/>
        <v>485.44462391817694</v>
      </c>
      <c r="BI25" s="59">
        <f ca="1">AVERAGE(OFFSET($BH$3,0,0,'Données projet'!$E$11+1,1))-AVERAGE(OFFSET($H$3,0,0,'Données projet'!$E$11+1,1))</f>
        <v>352.88552266225872</v>
      </c>
      <c r="BJ25" s="59">
        <f t="shared" si="38"/>
        <v>403.29115295154782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4.0915078879510602</v>
      </c>
      <c r="BQ25" s="21">
        <f>EXP(-LN(2)/25)*BQ24+(1-EXP(-LN(2)/25))/(LN(2)/25)*Calculateur!BL25*Calculateur!BN25*VLOOKUP('Données projet'!$B$11,Paramètres!$A$1:$I$89,3,0)*0.475*44/12</f>
        <v>9.0042148573981446</v>
      </c>
      <c r="BR25" s="21">
        <f>EXP(-LN(2)/2)*BR24+(1-EXP(-LN(2)/2))/(LN(2)/2)*BL25*BO25*VLOOKUP('Données projet'!$B$11,Paramètres!$A$1:$I$89,3,0)*0.475*44/12</f>
        <v>6.7191179024499261</v>
      </c>
      <c r="BS25" s="22">
        <f t="shared" si="9"/>
        <v>19.81484064779913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65.747183523721333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25</v>
      </c>
      <c r="BY25" s="12">
        <f>IF('Données projet'!$A$114&gt;35,BY24+BX25-CG24,IF(A25&lt;'Données projet'!$A$114,$BV$205^A25,IF(A25='Données projet'!$A$114,'Données projet'!$B$114,BY24+BX25-CG24)))</f>
        <v>141</v>
      </c>
      <c r="BZ25" s="13">
        <f>BY25*VLOOKUP('Données projet'!$B$12,Paramètres!$A$1:$I$89,3,0)*VLOOKUP('Données projet'!$B$12,Paramètres!$A$1:$I$89,5,0)</f>
        <v>62.32200000000001</v>
      </c>
      <c r="CA25" s="13">
        <f t="shared" si="39"/>
        <v>17.754039836243702</v>
      </c>
      <c r="CB25" s="20">
        <f t="shared" si="10"/>
        <v>139.46576938145776</v>
      </c>
      <c r="CC25" s="59">
        <f t="shared" si="11"/>
        <v>407.42766452399155</v>
      </c>
      <c r="CD25" s="59">
        <f ca="1">AVERAGE(OFFSET($CC$3,0,0,'Données projet'!$E$12+1,1))-AVERAGE(OFFSET($H$3,0,0,'Données projet'!$E$12+1,1))</f>
        <v>297.1442218517625</v>
      </c>
      <c r="CE25" s="59">
        <f t="shared" si="40"/>
        <v>326.0112787126069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1.859785475409294</v>
      </c>
      <c r="CL25" s="21">
        <f>EXP(-LN(2)/25)*CL24+(1-EXP(-LN(2)/25))/(LN(2)/25)*Calculateur!CG25*Calculateur!CI25*VLOOKUP('Données projet'!$B$12,Paramètres!$A$1:$I$89,3,0)*0.475*44/12</f>
        <v>4.1025258477072466</v>
      </c>
      <c r="CM25" s="21">
        <f>EXP(-LN(2)/2)*CM24+(1-EXP(-LN(2)/2))/(LN(2)/2)*CG25*CJ25*VLOOKUP('Données projet'!$B$12,Paramètres!$A$1:$I$89,3,0)*0.475*44/12</f>
        <v>2.6273450464101642</v>
      </c>
      <c r="CN25" s="22">
        <f t="shared" si="12"/>
        <v>8.5896563695267041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65.747183523721333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20.2</v>
      </c>
      <c r="CT25" s="12">
        <f>IF('Données projet'!$A$140&gt;35,CT24+CS25-DB24,IF(A25&lt;'Données projet'!$A$140,$CQ$205^A25,IF(A25='Données projet'!$A$140,'Données projet'!$B$140,CT24+CS25-DB24)))</f>
        <v>164.4</v>
      </c>
      <c r="CU25" s="17">
        <f>CT25*VLOOKUP('Données projet'!$B$13,Paramètres!$A$1:$I$89,3,0)*VLOOKUP('Données projet'!$B$13,Paramètres!$A$1:$I$89,5,0)</f>
        <v>98.311200000000014</v>
      </c>
      <c r="CV25" s="13">
        <f t="shared" si="41"/>
        <v>26.559266282665902</v>
      </c>
      <c r="CW25" s="20">
        <f t="shared" si="13"/>
        <v>217.48272877564315</v>
      </c>
      <c r="CX25" s="59">
        <f t="shared" si="14"/>
        <v>485.44462391817694</v>
      </c>
      <c r="CY25" s="59">
        <f ca="1">AVERAGE(OFFSET($CX$3,0,0,'Données projet'!$E$13+1,1))-AVERAGE(OFFSET($H$3,0,0,'Données projet'!$E$13+1,1))</f>
        <v>352.88552266225872</v>
      </c>
      <c r="CZ25" s="59">
        <f t="shared" si="42"/>
        <v>403.29115295154782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4.0915078879510602</v>
      </c>
      <c r="DG25" s="21">
        <f>EXP(-LN(2)/25)*DG24+(1-EXP(-LN(2)/25))/(LN(2)/25)*Calculateur!DB25*Calculateur!DD25*VLOOKUP('Données projet'!$B$13,Paramètres!$A$1:$I$89,3,0)*0.475*44/12</f>
        <v>9.0042148573981446</v>
      </c>
      <c r="DH25" s="21">
        <f>EXP(-LN(2)/2)*DH24+(1-EXP(-LN(2)/2))/(LN(2)/2)*DB25*DE25*VLOOKUP('Données projet'!$B$13,Paramètres!$A$1:$I$89,3,0)*0.475*44/12</f>
        <v>6.7191179024499261</v>
      </c>
      <c r="DI25" s="22">
        <f t="shared" si="15"/>
        <v>19.81484064779913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65.747183523721333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65.747183523721333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65.747183523721333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65.747183523721333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65.747183523721333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1.25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4.583333333333333</v>
      </c>
      <c r="H26" s="67">
        <f t="shared" si="1"/>
        <v>238.33333333333334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65.820960381711501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</v>
      </c>
      <c r="N26" s="13">
        <f>IF('Données projet'!$A$36&gt;35,N25+M26-V25,IF(A26&lt;'Données projet'!$A$36,$K$205^A26,IF(A26='Données projet'!$A$36,'Données projet'!$B$36,N25+M26-V25)))</f>
        <v>91</v>
      </c>
      <c r="O26" s="13">
        <f>N26*VLOOKUP('Données projet'!$B$9,Paramètres!$A$1:$I$89,3,0)*VLOOKUP('Données projet'!$B$9,Paramètres!$A$1:$I$89,5,0)</f>
        <v>82.336799999999997</v>
      </c>
      <c r="P26" s="13">
        <f t="shared" si="33"/>
        <v>22.707582950885364</v>
      </c>
      <c r="Q26" s="20">
        <f t="shared" si="2"/>
        <v>182.95230030612535</v>
      </c>
      <c r="R26" s="59">
        <f t="shared" si="0"/>
        <v>452.40693281684526</v>
      </c>
      <c r="S26" s="59">
        <f ca="1">AVERAGE(OFFSET($R$3,0,0,'Données projet'!$E$9+1,1))-AVERAGE(OFFSET($H$3,0,0,'Données projet'!$E$9+1,1))</f>
        <v>467.10712490977266</v>
      </c>
      <c r="T26" s="59">
        <f t="shared" si="34"/>
        <v>282.99426855025968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65.820960381711501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55.954080000000005</v>
      </c>
      <c r="AK26" s="13">
        <f t="shared" si="35"/>
        <v>16.141214449356298</v>
      </c>
      <c r="AL26" s="20">
        <f t="shared" si="4"/>
        <v>125.56597116596221</v>
      </c>
      <c r="AM26" s="59">
        <f t="shared" si="5"/>
        <v>395.02060367668213</v>
      </c>
      <c r="AN26" s="59">
        <f ca="1">AVERAGE(OFFSET($AM$3,0,0,'Données projet'!$E$10+1,1))-AVERAGE(OFFSET($H$3,0,0,'Données projet'!$E$10+1,1))</f>
        <v>399.57236812003225</v>
      </c>
      <c r="AO26" s="59">
        <f t="shared" si="36"/>
        <v>245.95971136213691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65.820960381711501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20.2</v>
      </c>
      <c r="BD26" s="12">
        <f>IF('Données projet'!$A$88&gt;35,BD25+BC26-BL25,IF(A26&lt;'Données projet'!$A$88,$BA$205^A26,IF(A26='Données projet'!$A$88,'Données projet'!$B$88,BD25+BC26-BL25)))</f>
        <v>184.6</v>
      </c>
      <c r="BE26" s="13">
        <f>BD26*VLOOKUP('Données projet'!$B$11,Paramètres!$A$1:$I$89,3,0)*VLOOKUP('Données projet'!$B$11,Paramètres!$A$1:$I$89,5,0)</f>
        <v>110.3908</v>
      </c>
      <c r="BF26" s="13">
        <f t="shared" si="37"/>
        <v>29.423041087469858</v>
      </c>
      <c r="BG26" s="20">
        <f t="shared" si="7"/>
        <v>243.50910656067663</v>
      </c>
      <c r="BH26" s="59">
        <f t="shared" si="8"/>
        <v>512.9637390713965</v>
      </c>
      <c r="BI26" s="59">
        <f ca="1">AVERAGE(OFFSET($BH$3,0,0,'Données projet'!$E$11+1,1))-AVERAGE(OFFSET($H$3,0,0,'Données projet'!$E$11+1,1))</f>
        <v>352.88552266225872</v>
      </c>
      <c r="BJ26" s="59">
        <f t="shared" si="38"/>
        <v>403.29115295154782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4.0112759138417342</v>
      </c>
      <c r="BQ26" s="21">
        <f>EXP(-LN(2)/25)*BQ25+(1-EXP(-LN(2)/25))/(LN(2)/25)*Calculateur!BL26*Calculateur!BN26*VLOOKUP('Données projet'!$B$11,Paramètres!$A$1:$I$89,3,0)*0.475*44/12</f>
        <v>8.7579941286115126</v>
      </c>
      <c r="BR26" s="21">
        <f>EXP(-LN(2)/2)*BR25+(1-EXP(-LN(2)/2))/(LN(2)/2)*BL26*BO26*VLOOKUP('Données projet'!$B$11,Paramètres!$A$1:$I$89,3,0)*0.475*44/12</f>
        <v>4.7511338324142747</v>
      </c>
      <c r="BS26" s="22">
        <f t="shared" si="9"/>
        <v>17.520403874867522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65.820960381711501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25</v>
      </c>
      <c r="BY26" s="12">
        <f>IF('Données projet'!$A$114&gt;35,BY25+BX26-CG25,IF(A26&lt;'Données projet'!$A$114,$BV$205^A26,IF(A26='Données projet'!$A$114,'Données projet'!$B$114,BY25+BX26-CG25)))</f>
        <v>166</v>
      </c>
      <c r="BZ26" s="13">
        <f>BY26*VLOOKUP('Données projet'!$B$12,Paramètres!$A$1:$I$89,3,0)*VLOOKUP('Données projet'!$B$12,Paramètres!$A$1:$I$89,5,0)</f>
        <v>73.372000000000014</v>
      </c>
      <c r="CA26" s="13">
        <f t="shared" si="39"/>
        <v>20.508537381561172</v>
      </c>
      <c r="CB26" s="20">
        <f t="shared" si="10"/>
        <v>163.50860260621906</v>
      </c>
      <c r="CC26" s="59">
        <f t="shared" si="11"/>
        <v>432.96323511693902</v>
      </c>
      <c r="CD26" s="59">
        <f ca="1">AVERAGE(OFFSET($CC$3,0,0,'Données projet'!$E$12+1,1))-AVERAGE(OFFSET($H$3,0,0,'Données projet'!$E$12+1,1))</f>
        <v>297.1442218517625</v>
      </c>
      <c r="CE26" s="59">
        <f t="shared" si="40"/>
        <v>326.0112787126069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1.8233162165936492</v>
      </c>
      <c r="CL26" s="21">
        <f>EXP(-LN(2)/25)*CL25+(1-EXP(-LN(2)/25))/(LN(2)/25)*Calculateur!CG26*Calculateur!CI26*VLOOKUP('Données projet'!$B$12,Paramètres!$A$1:$I$89,3,0)*0.475*44/12</f>
        <v>3.9903420626592339</v>
      </c>
      <c r="CM26" s="21">
        <f>EXP(-LN(2)/2)*CM25+(1-EXP(-LN(2)/2))/(LN(2)/2)*CG26*CJ26*VLOOKUP('Données projet'!$B$12,Paramètres!$A$1:$I$89,3,0)*0.475*44/12</f>
        <v>1.8578134988335115</v>
      </c>
      <c r="CN26" s="22">
        <f t="shared" si="12"/>
        <v>7.6714717780863948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65.820960381711501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20.2</v>
      </c>
      <c r="CT26" s="12">
        <f>IF('Données projet'!$A$140&gt;35,CT25+CS26-DB25,IF(A26&lt;'Données projet'!$A$140,$CQ$205^A26,IF(A26='Données projet'!$A$140,'Données projet'!$B$140,CT25+CS26-DB25)))</f>
        <v>184.6</v>
      </c>
      <c r="CU26" s="17">
        <f>CT26*VLOOKUP('Données projet'!$B$13,Paramètres!$A$1:$I$89,3,0)*VLOOKUP('Données projet'!$B$13,Paramètres!$A$1:$I$89,5,0)</f>
        <v>110.3908</v>
      </c>
      <c r="CV26" s="13">
        <f t="shared" si="41"/>
        <v>29.423041087469858</v>
      </c>
      <c r="CW26" s="20">
        <f t="shared" si="13"/>
        <v>243.50910656067663</v>
      </c>
      <c r="CX26" s="59">
        <f t="shared" si="14"/>
        <v>512.9637390713965</v>
      </c>
      <c r="CY26" s="59">
        <f ca="1">AVERAGE(OFFSET($CX$3,0,0,'Données projet'!$E$13+1,1))-AVERAGE(OFFSET($H$3,0,0,'Données projet'!$E$13+1,1))</f>
        <v>352.88552266225872</v>
      </c>
      <c r="CZ26" s="59">
        <f t="shared" si="42"/>
        <v>403.29115295154782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4.0112759138417342</v>
      </c>
      <c r="DG26" s="21">
        <f>EXP(-LN(2)/25)*DG25+(1-EXP(-LN(2)/25))/(LN(2)/25)*Calculateur!DB26*Calculateur!DD26*VLOOKUP('Données projet'!$B$13,Paramètres!$A$1:$I$89,3,0)*0.475*44/12</f>
        <v>8.7579941286115126</v>
      </c>
      <c r="DH26" s="21">
        <f>EXP(-LN(2)/2)*DH25+(1-EXP(-LN(2)/2))/(LN(2)/2)*DB26*DE26*VLOOKUP('Données projet'!$B$13,Paramètres!$A$1:$I$89,3,0)*0.475*44/12</f>
        <v>4.7511338324142747</v>
      </c>
      <c r="DI26" s="22">
        <f t="shared" si="15"/>
        <v>17.520403874867522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65.820960381711501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65.820960381711501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65.820960381711501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65.820960381711501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65.820960381711501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1.25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4.583333333333333</v>
      </c>
      <c r="H27" s="67">
        <f t="shared" si="1"/>
        <v>238.33333333333334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65.893457376155894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</v>
      </c>
      <c r="N27" s="13">
        <f>IF('Données projet'!$A$36&gt;35,N26+M27-V26,IF(A27&lt;'Données projet'!$A$36,$K$205^A27,IF(A27='Données projet'!$A$36,'Données projet'!$B$36,N26+M27-V26)))</f>
        <v>97</v>
      </c>
      <c r="O27" s="13">
        <f>N27*VLOOKUP('Données projet'!$B$9,Paramètres!$A$1:$I$89,3,0)*VLOOKUP('Données projet'!$B$9,Paramètres!$A$1:$I$89,5,0)</f>
        <v>87.765600000000006</v>
      </c>
      <c r="P27" s="13">
        <f t="shared" si="33"/>
        <v>24.025555589247954</v>
      </c>
      <c r="Q27" s="20">
        <f t="shared" si="2"/>
        <v>194.7029293179402</v>
      </c>
      <c r="R27" s="59">
        <f t="shared" si="0"/>
        <v>465.6456063638451</v>
      </c>
      <c r="S27" s="59">
        <f ca="1">AVERAGE(OFFSET($R$3,0,0,'Données projet'!$E$9+1,1))-AVERAGE(OFFSET($H$3,0,0,'Données projet'!$E$9+1,1))</f>
        <v>467.10712490977266</v>
      </c>
      <c r="T27" s="59">
        <f t="shared" si="34"/>
        <v>282.99426855025968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65.893457376155894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61.283040000000014</v>
      </c>
      <c r="AK27" s="13">
        <f t="shared" si="35"/>
        <v>17.492261234067353</v>
      </c>
      <c r="AL27" s="20">
        <f t="shared" si="4"/>
        <v>137.20031631600065</v>
      </c>
      <c r="AM27" s="59">
        <f t="shared" si="5"/>
        <v>408.14299336190561</v>
      </c>
      <c r="AN27" s="59">
        <f ca="1">AVERAGE(OFFSET($AM$3,0,0,'Données projet'!$E$10+1,1))-AVERAGE(OFFSET($H$3,0,0,'Données projet'!$E$10+1,1))</f>
        <v>399.57236812003225</v>
      </c>
      <c r="AO27" s="59">
        <f t="shared" si="36"/>
        <v>245.95971136213691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65.893457376155894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20.2</v>
      </c>
      <c r="BD27" s="12">
        <f>IF('Données projet'!$A$88&gt;35,BD26+BC27-BL26,IF(A27&lt;'Données projet'!$A$88,$BA$205^A27,IF(A27='Données projet'!$A$88,'Données projet'!$B$88,BD26+BC27-BL26)))</f>
        <v>204.79999999999998</v>
      </c>
      <c r="BE27" s="13">
        <f>BD27*VLOOKUP('Données projet'!$B$11,Paramètres!$A$1:$I$89,3,0)*VLOOKUP('Données projet'!$B$11,Paramètres!$A$1:$I$89,5,0)</f>
        <v>122.4704</v>
      </c>
      <c r="BF27" s="13">
        <f t="shared" si="37"/>
        <v>32.250494410521227</v>
      </c>
      <c r="BG27" s="20">
        <f t="shared" si="7"/>
        <v>269.47222443165776</v>
      </c>
      <c r="BH27" s="59">
        <f t="shared" si="8"/>
        <v>540.41490147756269</v>
      </c>
      <c r="BI27" s="59">
        <f ca="1">AVERAGE(OFFSET($BH$3,0,0,'Données projet'!$E$11+1,1))-AVERAGE(OFFSET($H$3,0,0,'Données projet'!$E$11+1,1))</f>
        <v>352.88552266225872</v>
      </c>
      <c r="BJ27" s="59">
        <f t="shared" si="38"/>
        <v>403.29115295154782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3.9326172398080201</v>
      </c>
      <c r="BQ27" s="21">
        <f>EXP(-LN(2)/25)*BQ26+(1-EXP(-LN(2)/25))/(LN(2)/25)*Calculateur!BL27*Calculateur!BN27*VLOOKUP('Données projet'!$B$11,Paramètres!$A$1:$I$89,3,0)*0.475*44/12</f>
        <v>8.5185063186017356</v>
      </c>
      <c r="BR27" s="21">
        <f>EXP(-LN(2)/2)*BR26+(1-EXP(-LN(2)/2))/(LN(2)/2)*BL27*BO27*VLOOKUP('Données projet'!$B$11,Paramètres!$A$1:$I$89,3,0)*0.475*44/12</f>
        <v>3.3595589512249635</v>
      </c>
      <c r="BS27" s="22">
        <f t="shared" si="9"/>
        <v>15.810682509634718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65.893457376155894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25</v>
      </c>
      <c r="BY27" s="12">
        <f>IF('Données projet'!$A$114&gt;35,BY26+BX27-CG26,IF(A27&lt;'Données projet'!$A$114,$BV$205^A27,IF(A27='Données projet'!$A$114,'Données projet'!$B$114,BY26+BX27-CG26)))</f>
        <v>191</v>
      </c>
      <c r="BZ27" s="13">
        <f>BY27*VLOOKUP('Données projet'!$B$12,Paramètres!$A$1:$I$89,3,0)*VLOOKUP('Données projet'!$B$12,Paramètres!$A$1:$I$89,5,0)</f>
        <v>84.421999999999997</v>
      </c>
      <c r="CA27" s="13">
        <f t="shared" si="39"/>
        <v>23.214977408225906</v>
      </c>
      <c r="CB27" s="20">
        <f t="shared" si="10"/>
        <v>187.46773565266008</v>
      </c>
      <c r="CC27" s="59">
        <f t="shared" si="11"/>
        <v>458.41041269856498</v>
      </c>
      <c r="CD27" s="59">
        <f ca="1">AVERAGE(OFFSET($CC$3,0,0,'Données projet'!$E$12+1,1))-AVERAGE(OFFSET($H$3,0,0,'Données projet'!$E$12+1,1))</f>
        <v>297.1442218517625</v>
      </c>
      <c r="CE27" s="59">
        <f t="shared" si="40"/>
        <v>326.0112787126069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1.7875620976993278</v>
      </c>
      <c r="CL27" s="21">
        <f>EXP(-LN(2)/25)*CL26+(1-EXP(-LN(2)/25))/(LN(2)/25)*Calculateur!CG27*Calculateur!CI27*VLOOKUP('Données projet'!$B$12,Paramètres!$A$1:$I$89,3,0)*0.475*44/12</f>
        <v>3.881225949112848</v>
      </c>
      <c r="CM27" s="21">
        <f>EXP(-LN(2)/2)*CM26+(1-EXP(-LN(2)/2))/(LN(2)/2)*CG27*CJ27*VLOOKUP('Données projet'!$B$12,Paramètres!$A$1:$I$89,3,0)*0.475*44/12</f>
        <v>1.3136725232050821</v>
      </c>
      <c r="CN27" s="22">
        <f t="shared" si="12"/>
        <v>6.982460570017258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65.893457376155894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20.2</v>
      </c>
      <c r="CT27" s="12">
        <f>IF('Données projet'!$A$140&gt;35,CT26+CS27-DB26,IF(A27&lt;'Données projet'!$A$140,$CQ$205^A27,IF(A27='Données projet'!$A$140,'Données projet'!$B$140,CT26+CS27-DB26)))</f>
        <v>204.79999999999998</v>
      </c>
      <c r="CU27" s="17">
        <f>CT27*VLOOKUP('Données projet'!$B$13,Paramètres!$A$1:$I$89,3,0)*VLOOKUP('Données projet'!$B$13,Paramètres!$A$1:$I$89,5,0)</f>
        <v>122.4704</v>
      </c>
      <c r="CV27" s="13">
        <f t="shared" si="41"/>
        <v>32.250494410521227</v>
      </c>
      <c r="CW27" s="20">
        <f t="shared" si="13"/>
        <v>269.47222443165776</v>
      </c>
      <c r="CX27" s="59">
        <f t="shared" si="14"/>
        <v>540.41490147756269</v>
      </c>
      <c r="CY27" s="59">
        <f ca="1">AVERAGE(OFFSET($CX$3,0,0,'Données projet'!$E$13+1,1))-AVERAGE(OFFSET($H$3,0,0,'Données projet'!$E$13+1,1))</f>
        <v>352.88552266225872</v>
      </c>
      <c r="CZ27" s="59">
        <f t="shared" si="42"/>
        <v>403.29115295154782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3.9326172398080201</v>
      </c>
      <c r="DG27" s="21">
        <f>EXP(-LN(2)/25)*DG26+(1-EXP(-LN(2)/25))/(LN(2)/25)*Calculateur!DB27*Calculateur!DD27*VLOOKUP('Données projet'!$B$13,Paramètres!$A$1:$I$89,3,0)*0.475*44/12</f>
        <v>8.5185063186017356</v>
      </c>
      <c r="DH27" s="21">
        <f>EXP(-LN(2)/2)*DH26+(1-EXP(-LN(2)/2))/(LN(2)/2)*DB27*DE27*VLOOKUP('Données projet'!$B$13,Paramètres!$A$1:$I$89,3,0)*0.475*44/12</f>
        <v>3.3595589512249635</v>
      </c>
      <c r="DI27" s="22">
        <f t="shared" si="15"/>
        <v>15.810682509634718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65.893457376155894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65.893457376155894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65.893457376155894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65.893457376155894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65.893457376155894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1.25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4.583333333333333</v>
      </c>
      <c r="H28" s="67">
        <f t="shared" si="1"/>
        <v>238.33333333333334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65.964696709825674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6</v>
      </c>
      <c r="M28" s="12">
        <f t="array" ref="M28">INDEX(L:L,MIN(IF(ISNUMBER(L28:L224),ROW(L28:L224),"")))</f>
        <v>6</v>
      </c>
      <c r="N28" s="13">
        <f>IF('Données projet'!$A$36&gt;35,N27+M28-V27,IF(A28&lt;'Données projet'!$A$36,$K$205^A28,IF(A28='Données projet'!$A$36,'Données projet'!$B$36,N27+M28-V27)))</f>
        <v>103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478.86318937671047</v>
      </c>
      <c r="S28" s="59">
        <f ca="1">AVERAGE(OFFSET($R$3,0,0,'Données projet'!$E$9+1,1))-AVERAGE(OFFSET($H$3,0,0,'Données projet'!$E$9+1,1))</f>
        <v>467.10712490977266</v>
      </c>
      <c r="T28" s="59">
        <f t="shared" si="34"/>
        <v>282.99426855025968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65.964696709825674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66.611999999999995</v>
      </c>
      <c r="AK28" s="13">
        <f t="shared" si="35"/>
        <v>18.829683939536395</v>
      </c>
      <c r="AL28" s="20">
        <f t="shared" si="4"/>
        <v>148.81093286135922</v>
      </c>
      <c r="AM28" s="59">
        <f t="shared" si="5"/>
        <v>421.2370430196089</v>
      </c>
      <c r="AN28" s="59">
        <f ca="1">AVERAGE(OFFSET($AM$3,0,0,'Données projet'!$E$10+1,1))-AVERAGE(OFFSET($H$3,0,0,'Données projet'!$E$10+1,1))</f>
        <v>399.57236812003225</v>
      </c>
      <c r="AO28" s="59">
        <f t="shared" si="36"/>
        <v>245.95971136213691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65.964696709825674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225</v>
      </c>
      <c r="BB28" s="12">
        <f>VLOOKUP(A28,'Données projet'!$A$87:$I$107,9,0)</f>
        <v>20.2</v>
      </c>
      <c r="BC28" s="12">
        <f t="array" ref="BC28">INDEX(BB:BB,MIN(IF(ISNUMBER(BB28:BB224),ROW(BB28:BB224),"")))</f>
        <v>20.2</v>
      </c>
      <c r="BD28" s="12">
        <f>IF('Données projet'!$A$88&gt;35,BD27+BC28-BL27,IF(A28&lt;'Données projet'!$A$88,$BA$205^A28,IF(A28='Données projet'!$A$88,'Données projet'!$B$88,BD27+BC28-BL27)))</f>
        <v>224.99999999999997</v>
      </c>
      <c r="BE28" s="13">
        <f>BD28*VLOOKUP('Données projet'!$B$11,Paramètres!$A$1:$I$89,3,0)*VLOOKUP('Données projet'!$B$11,Paramètres!$A$1:$I$89,5,0)</f>
        <v>134.54999999999998</v>
      </c>
      <c r="BF28" s="13">
        <f t="shared" si="37"/>
        <v>35.045616486142094</v>
      </c>
      <c r="BG28" s="20">
        <f t="shared" si="7"/>
        <v>295.37903204669743</v>
      </c>
      <c r="BH28" s="59">
        <f t="shared" si="8"/>
        <v>567.80514220494706</v>
      </c>
      <c r="BI28" s="59">
        <f ca="1">AVERAGE(OFFSET($BH$3,0,0,'Données projet'!$E$11+1,1))-AVERAGE(OFFSET($H$3,0,0,'Données projet'!$E$11+1,1))</f>
        <v>352.88552266225872</v>
      </c>
      <c r="BJ28" s="59">
        <f t="shared" si="38"/>
        <v>403.29115295154782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56</v>
      </c>
      <c r="BM28" s="16">
        <f>IF(ISNA(VLOOKUP(A28,'Données projet'!$A$87:$I$107,5,0)),0%,VLOOKUP(A28,'Données projet'!$A$87:$I$107,5,0)*VLOOKUP('Données projet'!$B$11,Paramètres!$A$1:$I$89,7,0))</f>
        <v>0.13500000000000001</v>
      </c>
      <c r="BN28" s="16">
        <f>IF(ISNA(VLOOKUP(A28,'Données projet'!$A$87:$I$107,6,0)),0%,VLOOKUP(A28,'Données projet'!$A$87:$I$107,6,0)*VLOOKUP('Données projet'!$B$11,Paramètres!$A$1:$I$89,7,0))</f>
        <v>0.17550000000000002</v>
      </c>
      <c r="BO28" s="16">
        <f>IF(ISNA(VLOOKUP(A28,'Données projet'!$A$87:$I$107,7,0)),0%,VLOOKUP(A28,'Données projet'!$A$87:$I$107,7,0))</f>
        <v>0.31</v>
      </c>
      <c r="BP28" s="21">
        <f>EXP(-LN(2)/35)*BP27+(1-EXP(-LN(2)/35))/(LN(2)/35)*BL28*BM28*VLOOKUP('Données projet'!$B$11,Paramètres!$A$1:$I$89,3,0)*0.475*44/12</f>
        <v>9.852739729702563</v>
      </c>
      <c r="BQ28" s="21">
        <f>EXP(-LN(2)/25)*BQ27+(1-EXP(-LN(2)/25))/(LN(2)/25)*Calculateur!BL28*Calculateur!BN28*VLOOKUP('Données projet'!$B$11,Paramètres!$A$1:$I$89,3,0)*0.475*44/12</f>
        <v>16.051280207116509</v>
      </c>
      <c r="BR28" s="21">
        <f>EXP(-LN(2)/2)*BR27+(1-EXP(-LN(2)/2))/(LN(2)/2)*BL28*BO28*VLOOKUP('Données projet'!$B$11,Paramètres!$A$1:$I$89,3,0)*0.475*44/12</f>
        <v>14.129587421872687</v>
      </c>
      <c r="BS28" s="22">
        <f t="shared" si="9"/>
        <v>40.033607358691761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65.964696709825674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216</v>
      </c>
      <c r="BW28" s="12">
        <f>VLOOKUP(A28,'Données projet'!$A$113:$I$133,9,0)</f>
        <v>25</v>
      </c>
      <c r="BX28" s="12">
        <f t="array" ref="BX28">INDEX(BW:BW,MIN(IF(ISNUMBER(BW28:BW224),ROW(BW28:BW224),"")))</f>
        <v>25</v>
      </c>
      <c r="BY28" s="12">
        <f>IF('Données projet'!$A$114&gt;35,BY27+BX28-CG27,IF(A28&lt;'Données projet'!$A$114,$BV$205^A28,IF(A28='Données projet'!$A$114,'Données projet'!$B$114,BY27+BX28-CG27)))</f>
        <v>216</v>
      </c>
      <c r="BZ28" s="13">
        <f>BY28*VLOOKUP('Données projet'!$B$12,Paramètres!$A$1:$I$89,3,0)*VLOOKUP('Données projet'!$B$12,Paramètres!$A$1:$I$89,5,0)</f>
        <v>95.472000000000023</v>
      </c>
      <c r="CA28" s="13">
        <f t="shared" si="39"/>
        <v>25.880372123231169</v>
      </c>
      <c r="CB28" s="20">
        <f t="shared" si="10"/>
        <v>211.35538144796101</v>
      </c>
      <c r="CC28" s="59">
        <f t="shared" si="11"/>
        <v>483.78149160621069</v>
      </c>
      <c r="CD28" s="59">
        <f ca="1">AVERAGE(OFFSET($CC$3,0,0,'Données projet'!$E$12+1,1))-AVERAGE(OFFSET($H$3,0,0,'Données projet'!$E$12+1,1))</f>
        <v>297.1442218517625</v>
      </c>
      <c r="CE28" s="59">
        <f t="shared" si="40"/>
        <v>326.0112787126069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63</v>
      </c>
      <c r="CH28" s="16">
        <f>IF(ISNA(VLOOKUP(A28,'Données projet'!$A$113:$I$133,5,0)),0%,VLOOKUP(A28,'Données projet'!$A$113:$I$133,5,0)*VLOOKUP('Données projet'!$B$12,Paramètres!$A$1:$I$89,7,0))</f>
        <v>0.16500000000000001</v>
      </c>
      <c r="CI28" s="16">
        <f>IF(ISNA(VLOOKUP(A28,'Données projet'!$A$113:$I$133,6,0)),0%,VLOOKUP(A28,'Données projet'!$A$113:$I$133,6,0)*VLOOKUP('Données projet'!$B$12,Paramètres!$A$1:$I$89,7,0))</f>
        <v>0.21450000000000002</v>
      </c>
      <c r="CJ28" s="16">
        <f>IF(ISNA(VLOOKUP(A28,'Données projet'!$A$113:$I$133,7,0)),0%,VLOOKUP(A28,'Données projet'!$A$113:$I$133,7,0))</f>
        <v>0.31</v>
      </c>
      <c r="CK28" s="21">
        <f>EXP(-LN(2)/35)*CK27+(1-EXP(-LN(2)/35))/(LN(2)/35)*CG28*CH28*VLOOKUP('Données projet'!$B$12,Paramètres!$A$1:$I$89,3,0)*0.475*44/12</f>
        <v>7.8475288765866225</v>
      </c>
      <c r="CL28" s="21">
        <f>EXP(-LN(2)/25)*CL27+(1-EXP(-LN(2)/25))/(LN(2)/25)*Calculateur!CG28*Calculateur!CI28*VLOOKUP('Données projet'!$B$12,Paramètres!$A$1:$I$89,3,0)*0.475*44/12</f>
        <v>11.667421397300146</v>
      </c>
      <c r="CM28" s="21">
        <f>EXP(-LN(2)/2)*CM27+(1-EXP(-LN(2)/2))/(LN(2)/2)*CG28*CJ28*VLOOKUP('Données projet'!$B$12,Paramètres!$A$1:$I$89,3,0)*0.475*44/12</f>
        <v>10.702630322062568</v>
      </c>
      <c r="CN28" s="22">
        <f t="shared" si="12"/>
        <v>30.217580595949336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65.964696709825674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225</v>
      </c>
      <c r="CR28" s="12">
        <f>VLOOKUP(A28,'Données projet'!$A$139:$I$159,9,0)</f>
        <v>20.2</v>
      </c>
      <c r="CS28" s="12">
        <f t="array" ref="CS28">INDEX(CR:CR,MIN(IF(ISNUMBER(CR28:CR224),ROW(CR28:CR224),"")))</f>
        <v>20.2</v>
      </c>
      <c r="CT28" s="12">
        <f>IF('Données projet'!$A$140&gt;35,CT27+CS28-DB27,IF(A28&lt;'Données projet'!$A$140,$CQ$205^A28,IF(A28='Données projet'!$A$140,'Données projet'!$B$140,CT27+CS28-DB27)))</f>
        <v>224.99999999999997</v>
      </c>
      <c r="CU28" s="17">
        <f>CT28*VLOOKUP('Données projet'!$B$13,Paramètres!$A$1:$I$89,3,0)*VLOOKUP('Données projet'!$B$13,Paramètres!$A$1:$I$89,5,0)</f>
        <v>134.54999999999998</v>
      </c>
      <c r="CV28" s="13">
        <f t="shared" si="41"/>
        <v>35.045616486142094</v>
      </c>
      <c r="CW28" s="20">
        <f t="shared" si="13"/>
        <v>295.37903204669743</v>
      </c>
      <c r="CX28" s="59">
        <f t="shared" si="14"/>
        <v>567.80514220494706</v>
      </c>
      <c r="CY28" s="59">
        <f ca="1">AVERAGE(OFFSET($CX$3,0,0,'Données projet'!$E$13+1,1))-AVERAGE(OFFSET($H$3,0,0,'Données projet'!$E$13+1,1))</f>
        <v>352.88552266225872</v>
      </c>
      <c r="CZ28" s="59">
        <f t="shared" si="42"/>
        <v>403.29115295154782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56</v>
      </c>
      <c r="DC28" s="16">
        <f>IF(ISNA(VLOOKUP(A28,'Données projet'!$A$139:$I$159,5,0)),0%,VLOOKUP(A28,'Données projet'!$A$139:$I$159,5,0)*VLOOKUP('Données projet'!$B$13,Paramètres!$A$1:$I$89,7,0))</f>
        <v>0.13500000000000001</v>
      </c>
      <c r="DD28" s="16">
        <f>IF(ISNA(VLOOKUP(A28,'Données projet'!$A$139:$I$159,6,0)),0%,VLOOKUP(A28,'Données projet'!$A$139:$I$159,6,0)*VLOOKUP('Données projet'!$B$13,Paramètres!$A$1:$I$89,7,0))</f>
        <v>0.17550000000000002</v>
      </c>
      <c r="DE28" s="16">
        <f>IF(ISNA(VLOOKUP(A28,'Données projet'!$A$139:$I$159,7,0)),0%,VLOOKUP(A28,'Données projet'!$A$139:$I$159,7,0))</f>
        <v>0.31</v>
      </c>
      <c r="DF28" s="21">
        <f>EXP(-LN(2)/35)*DF27+(1-EXP(-LN(2)/35))/(LN(2)/35)*DB28*DC28*VLOOKUP('Données projet'!$B$13,Paramètres!$A$1:$I$89,3,0)*0.475*44/12</f>
        <v>9.852739729702563</v>
      </c>
      <c r="DG28" s="21">
        <f>EXP(-LN(2)/25)*DG27+(1-EXP(-LN(2)/25))/(LN(2)/25)*Calculateur!DB28*Calculateur!DD28*VLOOKUP('Données projet'!$B$13,Paramètres!$A$1:$I$89,3,0)*0.475*44/12</f>
        <v>16.051280207116509</v>
      </c>
      <c r="DH28" s="21">
        <f>EXP(-LN(2)/2)*DH27+(1-EXP(-LN(2)/2))/(LN(2)/2)*DB28*DE28*VLOOKUP('Données projet'!$B$13,Paramètres!$A$1:$I$89,3,0)*0.475*44/12</f>
        <v>14.129587421872687</v>
      </c>
      <c r="DI28" s="22">
        <f t="shared" si="15"/>
        <v>40.033607358691761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65.964696709825674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65.964696709825674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65.964696709825674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65.964696709825674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65.964696709825674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1.25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4.583333333333333</v>
      </c>
      <c r="H29" s="67">
        <f t="shared" si="1"/>
        <v>238.33333333333334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66.03470020032357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</v>
      </c>
      <c r="N29" s="13">
        <f>IF('Données projet'!$A$36&gt;35,N28+M29-V28,IF(A29&lt;'Données projet'!$A$36,$K$205^A29,IF(A29='Données projet'!$A$36,'Données projet'!$B$36,N28+M29-V28)))</f>
        <v>106.6</v>
      </c>
      <c r="O29" s="13">
        <f>N29*VLOOKUP('Données projet'!$B$9,Paramètres!$A$1:$I$89,3,0)*VLOOKUP('Données projet'!$B$9,Paramètres!$A$1:$I$89,5,0)</f>
        <v>96.451679999999996</v>
      </c>
      <c r="P29" s="13">
        <f t="shared" si="33"/>
        <v>26.114890017542621</v>
      </c>
      <c r="Q29" s="20">
        <f t="shared" si="2"/>
        <v>213.47010944722004</v>
      </c>
      <c r="R29" s="59">
        <f t="shared" si="0"/>
        <v>487.37512129285096</v>
      </c>
      <c r="S29" s="59">
        <f ca="1">AVERAGE(OFFSET($R$3,0,0,'Données projet'!$E$9+1,1))-AVERAGE(OFFSET($H$3,0,0,'Données projet'!$E$9+1,1))</f>
        <v>467.10712490977266</v>
      </c>
      <c r="T29" s="59">
        <f t="shared" si="34"/>
        <v>282.99426855025968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66.03470020032357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5.4</v>
      </c>
      <c r="AI29" s="13">
        <f>IF('Données projet'!$A$62&gt;35,AI28+AH29-AQ28,IF(A29&lt;'Données projet'!$A$62,$AF$205^A29,IF(A29='Données projet'!$A$62,'Données projet'!$B$62,AI28+AH29-AQ28)))</f>
        <v>75.400000000000006</v>
      </c>
      <c r="AJ29" s="13">
        <f>AI29*VLOOKUP('Données projet'!$B$10,Paramètres!$A$1:$I$89,3,0)*VLOOKUP('Données projet'!$B$10,Paramètres!$A$1:$I$89,5,0)</f>
        <v>71.750640000000004</v>
      </c>
      <c r="AK29" s="13">
        <f t="shared" si="35"/>
        <v>20.107576209927593</v>
      </c>
      <c r="AL29" s="20">
        <f t="shared" si="4"/>
        <v>159.98639323229057</v>
      </c>
      <c r="AM29" s="59">
        <f t="shared" si="5"/>
        <v>433.89140507792149</v>
      </c>
      <c r="AN29" s="59">
        <f ca="1">AVERAGE(OFFSET($AM$3,0,0,'Données projet'!$E$10+1,1))-AVERAGE(OFFSET($H$3,0,0,'Données projet'!$E$10+1,1))</f>
        <v>399.57236812003225</v>
      </c>
      <c r="AO29" s="59">
        <f t="shared" si="36"/>
        <v>245.95971136213691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66.03470020032357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21.6</v>
      </c>
      <c r="BD29" s="12">
        <f>IF('Données projet'!$A$88&gt;35,BD28+BC29-BL28,IF(A29&lt;'Données projet'!$A$88,$BA$205^A29,IF(A29='Données projet'!$A$88,'Données projet'!$B$88,BD28+BC29-BL28)))</f>
        <v>190.59999999999997</v>
      </c>
      <c r="BE29" s="13">
        <f>BD29*VLOOKUP('Données projet'!$B$11,Paramètres!$A$1:$I$89,3,0)*VLOOKUP('Données projet'!$B$11,Paramètres!$A$1:$I$89,5,0)</f>
        <v>113.97879999999999</v>
      </c>
      <c r="BF29" s="13">
        <f t="shared" si="37"/>
        <v>30.266473511018898</v>
      </c>
      <c r="BG29" s="20">
        <f t="shared" si="7"/>
        <v>251.22718469835789</v>
      </c>
      <c r="BH29" s="59">
        <f t="shared" si="8"/>
        <v>525.13219654398881</v>
      </c>
      <c r="BI29" s="59">
        <f ca="1">AVERAGE(OFFSET($BH$3,0,0,'Données projet'!$E$11+1,1))-AVERAGE(OFFSET($H$3,0,0,'Données projet'!$E$11+1,1))</f>
        <v>352.88552266225872</v>
      </c>
      <c r="BJ29" s="59">
        <f t="shared" si="38"/>
        <v>403.29115295154782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9.6595335131809339</v>
      </c>
      <c r="BQ29" s="21">
        <f>EXP(-LN(2)/25)*BQ28+(1-EXP(-LN(2)/25))/(LN(2)/25)*Calculateur!BL29*Calculateur!BN29*VLOOKUP('Données projet'!$B$11,Paramètres!$A$1:$I$89,3,0)*0.475*44/12</f>
        <v>15.612357105752768</v>
      </c>
      <c r="BR29" s="21">
        <f>EXP(-LN(2)/2)*BR28+(1-EXP(-LN(2)/2))/(LN(2)/2)*BL29*BO29*VLOOKUP('Données projet'!$B$11,Paramètres!$A$1:$I$89,3,0)*0.475*44/12</f>
        <v>9.9911270813743247</v>
      </c>
      <c r="BS29" s="22">
        <f t="shared" si="9"/>
        <v>35.263017700308026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66.03470020032357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28</v>
      </c>
      <c r="BY29" s="12">
        <f>IF('Données projet'!$A$114&gt;35,BY28+BX29-CG28,IF(A29&lt;'Données projet'!$A$114,$BV$205^A29,IF(A29='Données projet'!$A$114,'Données projet'!$B$114,BY28+BX29-CG28)))</f>
        <v>181</v>
      </c>
      <c r="BZ29" s="13">
        <f>BY29*VLOOKUP('Données projet'!$B$12,Paramètres!$A$1:$I$89,3,0)*VLOOKUP('Données projet'!$B$12,Paramètres!$A$1:$I$89,5,0)</f>
        <v>80.00200000000001</v>
      </c>
      <c r="CA29" s="13">
        <f t="shared" si="39"/>
        <v>22.137673138347246</v>
      </c>
      <c r="CB29" s="20">
        <f t="shared" si="10"/>
        <v>177.89326404928815</v>
      </c>
      <c r="CC29" s="59">
        <f t="shared" si="11"/>
        <v>451.79827589491902</v>
      </c>
      <c r="CD29" s="59">
        <f ca="1">AVERAGE(OFFSET($CC$3,0,0,'Données projet'!$E$12+1,1))-AVERAGE(OFFSET($H$3,0,0,'Données projet'!$E$12+1,1))</f>
        <v>297.1442218517625</v>
      </c>
      <c r="CE29" s="59">
        <f t="shared" si="40"/>
        <v>326.0112787126069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7.6936436218367437</v>
      </c>
      <c r="CL29" s="21">
        <f>EXP(-LN(2)/25)*CL28+(1-EXP(-LN(2)/25))/(LN(2)/25)*Calculateur!CG29*Calculateur!CI29*VLOOKUP('Données projet'!$B$12,Paramètres!$A$1:$I$89,3,0)*0.475*44/12</f>
        <v>11.348375145627948</v>
      </c>
      <c r="CM29" s="21">
        <f>EXP(-LN(2)/2)*CM28+(1-EXP(-LN(2)/2))/(LN(2)/2)*CG29*CJ29*VLOOKUP('Données projet'!$B$12,Paramètres!$A$1:$I$89,3,0)*0.475*44/12</f>
        <v>7.5679024772632051</v>
      </c>
      <c r="CN29" s="22">
        <f t="shared" si="12"/>
        <v>26.609921244727893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66.03470020032357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21.6</v>
      </c>
      <c r="CT29" s="12">
        <f>IF('Données projet'!$A$140&gt;35,CT28+CS29-DB28,IF(A29&lt;'Données projet'!$A$140,$CQ$205^A29,IF(A29='Données projet'!$A$140,'Données projet'!$B$140,CT28+CS29-DB28)))</f>
        <v>190.59999999999997</v>
      </c>
      <c r="CU29" s="17">
        <f>CT29*VLOOKUP('Données projet'!$B$13,Paramètres!$A$1:$I$89,3,0)*VLOOKUP('Données projet'!$B$13,Paramètres!$A$1:$I$89,5,0)</f>
        <v>113.97879999999999</v>
      </c>
      <c r="CV29" s="13">
        <f t="shared" si="41"/>
        <v>30.266473511018898</v>
      </c>
      <c r="CW29" s="20">
        <f t="shared" si="13"/>
        <v>251.22718469835789</v>
      </c>
      <c r="CX29" s="59">
        <f t="shared" si="14"/>
        <v>525.13219654398881</v>
      </c>
      <c r="CY29" s="59">
        <f ca="1">AVERAGE(OFFSET($CX$3,0,0,'Données projet'!$E$13+1,1))-AVERAGE(OFFSET($H$3,0,0,'Données projet'!$E$13+1,1))</f>
        <v>352.88552266225872</v>
      </c>
      <c r="CZ29" s="59">
        <f t="shared" si="42"/>
        <v>403.29115295154782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9.6595335131809339</v>
      </c>
      <c r="DG29" s="21">
        <f>EXP(-LN(2)/25)*DG28+(1-EXP(-LN(2)/25))/(LN(2)/25)*Calculateur!DB29*Calculateur!DD29*VLOOKUP('Données projet'!$B$13,Paramètres!$A$1:$I$89,3,0)*0.475*44/12</f>
        <v>15.612357105752768</v>
      </c>
      <c r="DH29" s="21">
        <f>EXP(-LN(2)/2)*DH28+(1-EXP(-LN(2)/2))/(LN(2)/2)*DB29*DE29*VLOOKUP('Données projet'!$B$13,Paramètres!$A$1:$I$89,3,0)*0.475*44/12</f>
        <v>9.9911270813743247</v>
      </c>
      <c r="DI29" s="22">
        <f t="shared" si="15"/>
        <v>35.263017700308026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66.03470020032357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66.03470020032357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66.03470020032357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66.03470020032357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66.03470020032357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1.25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4.583333333333333</v>
      </c>
      <c r="H30" s="67">
        <f t="shared" si="1"/>
        <v>238.33333333333334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66.103489286765694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</v>
      </c>
      <c r="N30" s="13">
        <f>IF('Données projet'!$A$36&gt;35,N29+M30-V29,IF(A30&lt;'Données projet'!$A$36,$K$205^A30,IF(A30='Données projet'!$A$36,'Données projet'!$B$36,N29+M30-V29)))</f>
        <v>110.19999999999999</v>
      </c>
      <c r="O30" s="13">
        <f>N30*VLOOKUP('Données projet'!$B$9,Paramètres!$A$1:$I$89,3,0)*VLOOKUP('Données projet'!$B$9,Paramètres!$A$1:$I$89,5,0)</f>
        <v>99.70895999999999</v>
      </c>
      <c r="P30" s="13">
        <f t="shared" si="33"/>
        <v>26.892649524411862</v>
      </c>
      <c r="Q30" s="20">
        <f t="shared" si="2"/>
        <v>220.49780325501729</v>
      </c>
      <c r="R30" s="59">
        <f t="shared" si="0"/>
        <v>495.87726397315816</v>
      </c>
      <c r="S30" s="59">
        <f ca="1">AVERAGE(OFFSET($R$3,0,0,'Données projet'!$E$9+1,1))-AVERAGE(OFFSET($H$3,0,0,'Données projet'!$E$9+1,1))</f>
        <v>467.10712490977266</v>
      </c>
      <c r="T30" s="59">
        <f t="shared" si="34"/>
        <v>282.99426855025968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66.103489286765694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5.4</v>
      </c>
      <c r="AI30" s="13">
        <f>IF('Données projet'!$A$62&gt;35,AI29+AH30-AQ29,IF(A30&lt;'Données projet'!$A$62,$AF$205^A30,IF(A30='Données projet'!$A$62,'Données projet'!$B$62,AI29+AH30-AQ29)))</f>
        <v>80.800000000000011</v>
      </c>
      <c r="AJ30" s="13">
        <f>AI30*VLOOKUP('Données projet'!$B$10,Paramètres!$A$1:$I$89,3,0)*VLOOKUP('Données projet'!$B$10,Paramètres!$A$1:$I$89,5,0)</f>
        <v>76.889280000000014</v>
      </c>
      <c r="AK30" s="13">
        <f t="shared" si="35"/>
        <v>21.3748502393221</v>
      </c>
      <c r="AL30" s="20">
        <f t="shared" si="4"/>
        <v>171.14336016681935</v>
      </c>
      <c r="AM30" s="59">
        <f t="shared" si="5"/>
        <v>446.5228208849602</v>
      </c>
      <c r="AN30" s="59">
        <f ca="1">AVERAGE(OFFSET($AM$3,0,0,'Données projet'!$E$10+1,1))-AVERAGE(OFFSET($H$3,0,0,'Données projet'!$E$10+1,1))</f>
        <v>399.57236812003225</v>
      </c>
      <c r="AO30" s="59">
        <f t="shared" si="36"/>
        <v>245.95971136213691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66.103489286765694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21.6</v>
      </c>
      <c r="BD30" s="12">
        <f>IF('Données projet'!$A$88&gt;35,BD29+BC30-BL29,IF(A30&lt;'Données projet'!$A$88,$BA$205^A30,IF(A30='Données projet'!$A$88,'Données projet'!$B$88,BD29+BC30-BL29)))</f>
        <v>212.19999999999996</v>
      </c>
      <c r="BE30" s="13">
        <f>BD30*VLOOKUP('Données projet'!$B$11,Paramètres!$A$1:$I$89,3,0)*VLOOKUP('Données projet'!$B$11,Paramètres!$A$1:$I$89,5,0)</f>
        <v>126.89559999999997</v>
      </c>
      <c r="BF30" s="13">
        <f t="shared" si="37"/>
        <v>33.278017701950297</v>
      </c>
      <c r="BG30" s="20">
        <f t="shared" si="7"/>
        <v>278.96905083089666</v>
      </c>
      <c r="BH30" s="59">
        <f t="shared" si="8"/>
        <v>554.34851154903754</v>
      </c>
      <c r="BI30" s="59">
        <f ca="1">AVERAGE(OFFSET($BH$3,0,0,'Données projet'!$E$11+1,1))-AVERAGE(OFFSET($H$3,0,0,'Données projet'!$E$11+1,1))</f>
        <v>352.88552266225872</v>
      </c>
      <c r="BJ30" s="59">
        <f t="shared" si="38"/>
        <v>403.29115295154782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9.4701159527211392</v>
      </c>
      <c r="BQ30" s="21">
        <f>EXP(-LN(2)/25)*BQ29+(1-EXP(-LN(2)/25))/(LN(2)/25)*Calculateur!BL30*Calculateur!BN30*VLOOKUP('Données projet'!$B$11,Paramètres!$A$1:$I$89,3,0)*0.475*44/12</f>
        <v>15.18543637967778</v>
      </c>
      <c r="BR30" s="21">
        <f>EXP(-LN(2)/2)*BR29+(1-EXP(-LN(2)/2))/(LN(2)/2)*BL30*BO30*VLOOKUP('Données projet'!$B$11,Paramètres!$A$1:$I$89,3,0)*0.475*44/12</f>
        <v>7.0647937109363443</v>
      </c>
      <c r="BS30" s="22">
        <f t="shared" si="9"/>
        <v>31.720346043335262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66.103489286765694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28</v>
      </c>
      <c r="BY30" s="12">
        <f>IF('Données projet'!$A$114&gt;35,BY29+BX30-CG29,IF(A30&lt;'Données projet'!$A$114,$BV$205^A30,IF(A30='Données projet'!$A$114,'Données projet'!$B$114,BY29+BX30-CG29)))</f>
        <v>209</v>
      </c>
      <c r="BZ30" s="13">
        <f>BY30*VLOOKUP('Données projet'!$B$12,Paramètres!$A$1:$I$89,3,0)*VLOOKUP('Données projet'!$B$12,Paramètres!$A$1:$I$89,5,0)</f>
        <v>92.378</v>
      </c>
      <c r="CA30" s="13">
        <f t="shared" si="39"/>
        <v>25.137867946126693</v>
      </c>
      <c r="CB30" s="20">
        <f t="shared" si="10"/>
        <v>204.67347000617065</v>
      </c>
      <c r="CC30" s="59">
        <f t="shared" si="11"/>
        <v>480.05293072431152</v>
      </c>
      <c r="CD30" s="59">
        <f ca="1">AVERAGE(OFFSET($CC$3,0,0,'Données projet'!$E$12+1,1))-AVERAGE(OFFSET($H$3,0,0,'Données projet'!$E$12+1,1))</f>
        <v>297.1442218517625</v>
      </c>
      <c r="CE30" s="59">
        <f t="shared" si="40"/>
        <v>326.0112787126069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7.5427759630717732</v>
      </c>
      <c r="CL30" s="21">
        <f>EXP(-LN(2)/25)*CL29+(1-EXP(-LN(2)/25))/(LN(2)/25)*Calculateur!CG30*Calculateur!CI30*VLOOKUP('Données projet'!$B$12,Paramètres!$A$1:$I$89,3,0)*0.475*44/12</f>
        <v>11.038053230485639</v>
      </c>
      <c r="CM30" s="21">
        <f>EXP(-LN(2)/2)*CM29+(1-EXP(-LN(2)/2))/(LN(2)/2)*CG30*CJ30*VLOOKUP('Données projet'!$B$12,Paramètres!$A$1:$I$89,3,0)*0.475*44/12</f>
        <v>5.3513151610312848</v>
      </c>
      <c r="CN30" s="22">
        <f t="shared" si="12"/>
        <v>23.932144354588697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66.103489286765694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21.6</v>
      </c>
      <c r="CT30" s="12">
        <f>IF('Données projet'!$A$140&gt;35,CT29+CS30-DB29,IF(A30&lt;'Données projet'!$A$140,$CQ$205^A30,IF(A30='Données projet'!$A$140,'Données projet'!$B$140,CT29+CS30-DB29)))</f>
        <v>212.19999999999996</v>
      </c>
      <c r="CU30" s="17">
        <f>CT30*VLOOKUP('Données projet'!$B$13,Paramètres!$A$1:$I$89,3,0)*VLOOKUP('Données projet'!$B$13,Paramètres!$A$1:$I$89,5,0)</f>
        <v>126.89559999999997</v>
      </c>
      <c r="CV30" s="13">
        <f t="shared" si="41"/>
        <v>33.278017701950297</v>
      </c>
      <c r="CW30" s="20">
        <f t="shared" si="13"/>
        <v>278.96905083089666</v>
      </c>
      <c r="CX30" s="59">
        <f t="shared" si="14"/>
        <v>554.34851154903754</v>
      </c>
      <c r="CY30" s="59">
        <f ca="1">AVERAGE(OFFSET($CX$3,0,0,'Données projet'!$E$13+1,1))-AVERAGE(OFFSET($H$3,0,0,'Données projet'!$E$13+1,1))</f>
        <v>352.88552266225872</v>
      </c>
      <c r="CZ30" s="59">
        <f t="shared" si="42"/>
        <v>403.29115295154782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9.4701159527211392</v>
      </c>
      <c r="DG30" s="21">
        <f>EXP(-LN(2)/25)*DG29+(1-EXP(-LN(2)/25))/(LN(2)/25)*Calculateur!DB30*Calculateur!DD30*VLOOKUP('Données projet'!$B$13,Paramètres!$A$1:$I$89,3,0)*0.475*44/12</f>
        <v>15.18543637967778</v>
      </c>
      <c r="DH30" s="21">
        <f>EXP(-LN(2)/2)*DH29+(1-EXP(-LN(2)/2))/(LN(2)/2)*DB30*DE30*VLOOKUP('Données projet'!$B$13,Paramètres!$A$1:$I$89,3,0)*0.475*44/12</f>
        <v>7.0647937109363443</v>
      </c>
      <c r="DI30" s="22">
        <f t="shared" si="15"/>
        <v>31.720346043335262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66.103489286765694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66.103489286765694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66.103489286765694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66.103489286765694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66.103489286765694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1.25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4.583333333333333</v>
      </c>
      <c r="H31" s="67">
        <f t="shared" si="1"/>
        <v>238.33333333333334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66.171085036347392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</v>
      </c>
      <c r="N31" s="13">
        <f>IF('Données projet'!$A$36&gt;35,N30+M31-V30,IF(A31&lt;'Données projet'!$A$36,$K$205^A31,IF(A31='Données projet'!$A$36,'Données projet'!$B$36,N30+M31-V30)))</f>
        <v>113.79999999999998</v>
      </c>
      <c r="O31" s="13">
        <f>N31*VLOOKUP('Données projet'!$B$9,Paramètres!$A$1:$I$89,3,0)*VLOOKUP('Données projet'!$B$9,Paramètres!$A$1:$I$89,5,0)</f>
        <v>102.96623999999998</v>
      </c>
      <c r="P31" s="13">
        <f t="shared" si="33"/>
        <v>27.6674566300326</v>
      </c>
      <c r="Q31" s="20">
        <f t="shared" si="2"/>
        <v>227.5203549639734</v>
      </c>
      <c r="R31" s="59">
        <f t="shared" si="0"/>
        <v>504.36988898613606</v>
      </c>
      <c r="S31" s="59">
        <f ca="1">AVERAGE(OFFSET($R$3,0,0,'Données projet'!$E$9+1,1))-AVERAGE(OFFSET($H$3,0,0,'Données projet'!$E$9+1,1))</f>
        <v>467.10712490977266</v>
      </c>
      <c r="T31" s="59">
        <f t="shared" si="34"/>
        <v>282.99426855025968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66.171085036347392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5.4</v>
      </c>
      <c r="AI31" s="13">
        <f>IF('Données projet'!$A$62&gt;35,AI30+AH31-AQ30,IF(A31&lt;'Données projet'!$A$62,$AF$205^A31,IF(A31='Données projet'!$A$62,'Données projet'!$B$62,AI30+AH31-AQ30)))</f>
        <v>86.200000000000017</v>
      </c>
      <c r="AJ31" s="13">
        <f>AI31*VLOOKUP('Données projet'!$B$10,Paramètres!$A$1:$I$89,3,0)*VLOOKUP('Données projet'!$B$10,Paramètres!$A$1:$I$89,5,0)</f>
        <v>82.027920000000009</v>
      </c>
      <c r="AK31" s="13">
        <f t="shared" si="35"/>
        <v>22.632296406471401</v>
      </c>
      <c r="AL31" s="20">
        <f t="shared" si="4"/>
        <v>182.28321024127104</v>
      </c>
      <c r="AM31" s="59">
        <f t="shared" si="5"/>
        <v>459.13274426343366</v>
      </c>
      <c r="AN31" s="59">
        <f ca="1">AVERAGE(OFFSET($AM$3,0,0,'Données projet'!$E$10+1,1))-AVERAGE(OFFSET($H$3,0,0,'Données projet'!$E$10+1,1))</f>
        <v>399.57236812003225</v>
      </c>
      <c r="AO31" s="59">
        <f t="shared" si="36"/>
        <v>245.95971136213691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66.171085036347392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21.6</v>
      </c>
      <c r="BD31" s="12">
        <f>IF('Données projet'!$A$88&gt;35,BD30+BC31-BL30,IF(A31&lt;'Données projet'!$A$88,$BA$205^A31,IF(A31='Données projet'!$A$88,'Données projet'!$B$88,BD30+BC31-BL30)))</f>
        <v>233.79999999999995</v>
      </c>
      <c r="BE31" s="13">
        <f>BD31*VLOOKUP('Données projet'!$B$11,Paramètres!$A$1:$I$89,3,0)*VLOOKUP('Données projet'!$B$11,Paramètres!$A$1:$I$89,5,0)</f>
        <v>139.8124</v>
      </c>
      <c r="BF31" s="13">
        <f t="shared" si="37"/>
        <v>36.254025616047976</v>
      </c>
      <c r="BG31" s="20">
        <f t="shared" si="7"/>
        <v>306.64902461461685</v>
      </c>
      <c r="BH31" s="59">
        <f t="shared" si="8"/>
        <v>583.49855863677953</v>
      </c>
      <c r="BI31" s="59">
        <f ca="1">AVERAGE(OFFSET($BH$3,0,0,'Données projet'!$E$11+1,1))-AVERAGE(OFFSET($H$3,0,0,'Données projet'!$E$11+1,1))</f>
        <v>352.88552266225872</v>
      </c>
      <c r="BJ31" s="59">
        <f t="shared" si="38"/>
        <v>403.29115295154782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9.2844127550886562</v>
      </c>
      <c r="BQ31" s="21">
        <f>EXP(-LN(2)/25)*BQ30+(1-EXP(-LN(2)/25))/(LN(2)/25)*Calculateur!BL31*Calculateur!BN31*VLOOKUP('Données projet'!$B$11,Paramètres!$A$1:$I$89,3,0)*0.475*44/12</f>
        <v>14.770189823308099</v>
      </c>
      <c r="BR31" s="21">
        <f>EXP(-LN(2)/2)*BR30+(1-EXP(-LN(2)/2))/(LN(2)/2)*BL31*BO31*VLOOKUP('Données projet'!$B$11,Paramètres!$A$1:$I$89,3,0)*0.475*44/12</f>
        <v>4.9955635406871632</v>
      </c>
      <c r="BS31" s="22">
        <f t="shared" si="9"/>
        <v>29.050166119083919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66.171085036347392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28</v>
      </c>
      <c r="BY31" s="12">
        <f>IF('Données projet'!$A$114&gt;35,BY30+BX31-CG30,IF(A31&lt;'Données projet'!$A$114,$BV$205^A31,IF(A31='Données projet'!$A$114,'Données projet'!$B$114,BY30+BX31-CG30)))</f>
        <v>237</v>
      </c>
      <c r="BZ31" s="13">
        <f>BY31*VLOOKUP('Données projet'!$B$12,Paramètres!$A$1:$I$89,3,0)*VLOOKUP('Données projet'!$B$12,Paramètres!$A$1:$I$89,5,0)</f>
        <v>104.75400000000002</v>
      </c>
      <c r="CA31" s="13">
        <f t="shared" si="39"/>
        <v>28.091492935702288</v>
      </c>
      <c r="CB31" s="20">
        <f t="shared" si="10"/>
        <v>231.37256686301484</v>
      </c>
      <c r="CC31" s="59">
        <f t="shared" si="11"/>
        <v>508.2221008851775</v>
      </c>
      <c r="CD31" s="59">
        <f ca="1">AVERAGE(OFFSET($CC$3,0,0,'Données projet'!$E$12+1,1))-AVERAGE(OFFSET($H$3,0,0,'Données projet'!$E$12+1,1))</f>
        <v>297.1442218517625</v>
      </c>
      <c r="CE31" s="59">
        <f t="shared" si="40"/>
        <v>326.0112787126069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7.3948667270749979</v>
      </c>
      <c r="CL31" s="21">
        <f>EXP(-LN(2)/25)*CL30+(1-EXP(-LN(2)/25))/(LN(2)/25)*Calculateur!CG31*Calculateur!CI31*VLOOKUP('Données projet'!$B$12,Paramètres!$A$1:$I$89,3,0)*0.475*44/12</f>
        <v>10.736217084432019</v>
      </c>
      <c r="CM31" s="21">
        <f>EXP(-LN(2)/2)*CM30+(1-EXP(-LN(2)/2))/(LN(2)/2)*CG31*CJ31*VLOOKUP('Données projet'!$B$12,Paramètres!$A$1:$I$89,3,0)*0.475*44/12</f>
        <v>3.7839512386316034</v>
      </c>
      <c r="CN31" s="22">
        <f t="shared" si="12"/>
        <v>21.91503505013862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66.171085036347392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21.6</v>
      </c>
      <c r="CT31" s="12">
        <f>IF('Données projet'!$A$140&gt;35,CT30+CS31-DB30,IF(A31&lt;'Données projet'!$A$140,$CQ$205^A31,IF(A31='Données projet'!$A$140,'Données projet'!$B$140,CT30+CS31-DB30)))</f>
        <v>233.79999999999995</v>
      </c>
      <c r="CU31" s="17">
        <f>CT31*VLOOKUP('Données projet'!$B$13,Paramètres!$A$1:$I$89,3,0)*VLOOKUP('Données projet'!$B$13,Paramètres!$A$1:$I$89,5,0)</f>
        <v>139.8124</v>
      </c>
      <c r="CV31" s="13">
        <f t="shared" si="41"/>
        <v>36.254025616047976</v>
      </c>
      <c r="CW31" s="20">
        <f t="shared" si="13"/>
        <v>306.64902461461685</v>
      </c>
      <c r="CX31" s="59">
        <f t="shared" si="14"/>
        <v>583.49855863677953</v>
      </c>
      <c r="CY31" s="59">
        <f ca="1">AVERAGE(OFFSET($CX$3,0,0,'Données projet'!$E$13+1,1))-AVERAGE(OFFSET($H$3,0,0,'Données projet'!$E$13+1,1))</f>
        <v>352.88552266225872</v>
      </c>
      <c r="CZ31" s="59">
        <f t="shared" si="42"/>
        <v>403.29115295154782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9.2844127550886562</v>
      </c>
      <c r="DG31" s="21">
        <f>EXP(-LN(2)/25)*DG30+(1-EXP(-LN(2)/25))/(LN(2)/25)*Calculateur!DB31*Calculateur!DD31*VLOOKUP('Données projet'!$B$13,Paramètres!$A$1:$I$89,3,0)*0.475*44/12</f>
        <v>14.770189823308099</v>
      </c>
      <c r="DH31" s="21">
        <f>EXP(-LN(2)/2)*DH30+(1-EXP(-LN(2)/2))/(LN(2)/2)*DB31*DE31*VLOOKUP('Données projet'!$B$13,Paramètres!$A$1:$I$89,3,0)*0.475*44/12</f>
        <v>4.9955635406871632</v>
      </c>
      <c r="DI31" s="22">
        <f t="shared" si="15"/>
        <v>29.050166119083919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66.171085036347392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66.171085036347392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66.171085036347392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66.171085036347392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66.171085036347392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1.25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4.583333333333333</v>
      </c>
      <c r="H32" s="67">
        <f t="shared" si="1"/>
        <v>238.33333333333334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66.237508150795321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</v>
      </c>
      <c r="N32" s="13">
        <f>IF('Données projet'!$A$36&gt;35,N31+M32-V31,IF(A32&lt;'Données projet'!$A$36,$K$205^A32,IF(A32='Données projet'!$A$36,'Données projet'!$B$36,N31+M32-V31)))</f>
        <v>117.39999999999998</v>
      </c>
      <c r="O32" s="13">
        <f>N32*VLOOKUP('Données projet'!$B$9,Paramètres!$A$1:$I$89,3,0)*VLOOKUP('Données projet'!$B$9,Paramètres!$A$1:$I$89,5,0)</f>
        <v>106.22351999999998</v>
      </c>
      <c r="P32" s="13">
        <f t="shared" si="33"/>
        <v>28.439415446966855</v>
      </c>
      <c r="Q32" s="20">
        <f t="shared" si="2"/>
        <v>234.5379459034672</v>
      </c>
      <c r="R32" s="59">
        <f t="shared" si="0"/>
        <v>512.85325356749456</v>
      </c>
      <c r="S32" s="59">
        <f ca="1">AVERAGE(OFFSET($R$3,0,0,'Données projet'!$E$9+1,1))-AVERAGE(OFFSET($H$3,0,0,'Données projet'!$E$9+1,1))</f>
        <v>467.10712490977266</v>
      </c>
      <c r="T32" s="59">
        <f t="shared" si="34"/>
        <v>282.99426855025968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66.237508150795321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5.4</v>
      </c>
      <c r="AI32" s="13">
        <f>IF('Données projet'!$A$62&gt;35,AI31+AH32-AQ31,IF(A32&lt;'Données projet'!$A$62,$AF$205^A32,IF(A32='Données projet'!$A$62,'Données projet'!$B$62,AI31+AH32-AQ31)))</f>
        <v>91.600000000000023</v>
      </c>
      <c r="AJ32" s="13">
        <f>AI32*VLOOKUP('Données projet'!$B$10,Paramètres!$A$1:$I$89,3,0)*VLOOKUP('Données projet'!$B$10,Paramètres!$A$1:$I$89,5,0)</f>
        <v>87.166560000000018</v>
      </c>
      <c r="AK32" s="13">
        <f t="shared" si="35"/>
        <v>23.880600466404793</v>
      </c>
      <c r="AL32" s="20">
        <f t="shared" si="4"/>
        <v>193.40713781232171</v>
      </c>
      <c r="AM32" s="59">
        <f t="shared" si="5"/>
        <v>471.72244547634904</v>
      </c>
      <c r="AN32" s="59">
        <f ca="1">AVERAGE(OFFSET($AM$3,0,0,'Données projet'!$E$10+1,1))-AVERAGE(OFFSET($H$3,0,0,'Données projet'!$E$10+1,1))</f>
        <v>399.57236812003225</v>
      </c>
      <c r="AO32" s="59">
        <f t="shared" si="36"/>
        <v>245.95971136213691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66.237508150795321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21.6</v>
      </c>
      <c r="BD32" s="12">
        <f>IF('Données projet'!$A$88&gt;35,BD31+BC32-BL31,IF(A32&lt;'Données projet'!$A$88,$BA$205^A32,IF(A32='Données projet'!$A$88,'Données projet'!$B$88,BD31+BC32-BL31)))</f>
        <v>255.39999999999995</v>
      </c>
      <c r="BE32" s="13">
        <f>BD32*VLOOKUP('Données projet'!$B$11,Paramètres!$A$1:$I$89,3,0)*VLOOKUP('Données projet'!$B$11,Paramètres!$A$1:$I$89,5,0)</f>
        <v>152.72919999999999</v>
      </c>
      <c r="BF32" s="13">
        <f t="shared" si="37"/>
        <v>39.198153748932519</v>
      </c>
      <c r="BG32" s="20">
        <f t="shared" si="7"/>
        <v>334.27347444605743</v>
      </c>
      <c r="BH32" s="59">
        <f t="shared" si="8"/>
        <v>612.58878211008482</v>
      </c>
      <c r="BI32" s="59">
        <f ca="1">AVERAGE(OFFSET($BH$3,0,0,'Données projet'!$E$11+1,1))-AVERAGE(OFFSET($H$3,0,0,'Données projet'!$E$11+1,1))</f>
        <v>352.88552266225872</v>
      </c>
      <c r="BJ32" s="59">
        <f t="shared" si="38"/>
        <v>403.29115295154782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9.1023510838939803</v>
      </c>
      <c r="BQ32" s="21">
        <f>EXP(-LN(2)/25)*BQ31+(1-EXP(-LN(2)/25))/(LN(2)/25)*Calculateur!BL32*Calculateur!BN32*VLOOKUP('Données projet'!$B$11,Paramètres!$A$1:$I$89,3,0)*0.475*44/12</f>
        <v>14.366298205859215</v>
      </c>
      <c r="BR32" s="21">
        <f>EXP(-LN(2)/2)*BR31+(1-EXP(-LN(2)/2))/(LN(2)/2)*BL32*BO32*VLOOKUP('Données projet'!$B$11,Paramètres!$A$1:$I$89,3,0)*0.475*44/12</f>
        <v>3.5323968554681726</v>
      </c>
      <c r="BS32" s="22">
        <f t="shared" si="9"/>
        <v>27.001046145221366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66.237508150795321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28</v>
      </c>
      <c r="BY32" s="12">
        <f>IF('Données projet'!$A$114&gt;35,BY31+BX32-CG31,IF(A32&lt;'Données projet'!$A$114,$BV$205^A32,IF(A32='Données projet'!$A$114,'Données projet'!$B$114,BY31+BX32-CG31)))</f>
        <v>265</v>
      </c>
      <c r="BZ32" s="13">
        <f>BY32*VLOOKUP('Données projet'!$B$12,Paramètres!$A$1:$I$89,3,0)*VLOOKUP('Données projet'!$B$12,Paramètres!$A$1:$I$89,5,0)</f>
        <v>117.13000000000001</v>
      </c>
      <c r="CA32" s="13">
        <f t="shared" si="39"/>
        <v>31.004678781642113</v>
      </c>
      <c r="CB32" s="20">
        <f t="shared" si="10"/>
        <v>258.00123221136005</v>
      </c>
      <c r="CC32" s="59">
        <f t="shared" si="11"/>
        <v>536.31653987538743</v>
      </c>
      <c r="CD32" s="59">
        <f ca="1">AVERAGE(OFFSET($CC$3,0,0,'Données projet'!$E$12+1,1))-AVERAGE(OFFSET($H$3,0,0,'Données projet'!$E$12+1,1))</f>
        <v>297.1442218517625</v>
      </c>
      <c r="CE32" s="59">
        <f t="shared" si="40"/>
        <v>326.0112787126069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7.2498579009803938</v>
      </c>
      <c r="CL32" s="21">
        <f>EXP(-LN(2)/25)*CL31+(1-EXP(-LN(2)/25))/(LN(2)/25)*Calculateur!CG32*Calculateur!CI32*VLOOKUP('Données projet'!$B$12,Paramètres!$A$1:$I$89,3,0)*0.475*44/12</f>
        <v>10.442634663665107</v>
      </c>
      <c r="CM32" s="21">
        <f>EXP(-LN(2)/2)*CM31+(1-EXP(-LN(2)/2))/(LN(2)/2)*CG32*CJ32*VLOOKUP('Données projet'!$B$12,Paramètres!$A$1:$I$89,3,0)*0.475*44/12</f>
        <v>2.6756575805156428</v>
      </c>
      <c r="CN32" s="22">
        <f t="shared" si="12"/>
        <v>20.368150145161145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66.237508150795321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21.6</v>
      </c>
      <c r="CT32" s="12">
        <f>IF('Données projet'!$A$140&gt;35,CT31+CS32-DB31,IF(A32&lt;'Données projet'!$A$140,$CQ$205^A32,IF(A32='Données projet'!$A$140,'Données projet'!$B$140,CT31+CS32-DB31)))</f>
        <v>255.39999999999995</v>
      </c>
      <c r="CU32" s="17">
        <f>CT32*VLOOKUP('Données projet'!$B$13,Paramètres!$A$1:$I$89,3,0)*VLOOKUP('Données projet'!$B$13,Paramètres!$A$1:$I$89,5,0)</f>
        <v>152.72919999999999</v>
      </c>
      <c r="CV32" s="13">
        <f t="shared" si="41"/>
        <v>39.198153748932519</v>
      </c>
      <c r="CW32" s="20">
        <f t="shared" si="13"/>
        <v>334.27347444605743</v>
      </c>
      <c r="CX32" s="59">
        <f t="shared" si="14"/>
        <v>612.58878211008482</v>
      </c>
      <c r="CY32" s="59">
        <f ca="1">AVERAGE(OFFSET($CX$3,0,0,'Données projet'!$E$13+1,1))-AVERAGE(OFFSET($H$3,0,0,'Données projet'!$E$13+1,1))</f>
        <v>352.88552266225872</v>
      </c>
      <c r="CZ32" s="59">
        <f t="shared" si="42"/>
        <v>403.29115295154782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9.1023510838939803</v>
      </c>
      <c r="DG32" s="21">
        <f>EXP(-LN(2)/25)*DG31+(1-EXP(-LN(2)/25))/(LN(2)/25)*Calculateur!DB32*Calculateur!DD32*VLOOKUP('Données projet'!$B$13,Paramètres!$A$1:$I$89,3,0)*0.475*44/12</f>
        <v>14.366298205859215</v>
      </c>
      <c r="DH32" s="21">
        <f>EXP(-LN(2)/2)*DH31+(1-EXP(-LN(2)/2))/(LN(2)/2)*DB32*DE32*VLOOKUP('Données projet'!$B$13,Paramètres!$A$1:$I$89,3,0)*0.475*44/12</f>
        <v>3.5323968554681726</v>
      </c>
      <c r="DI32" s="22">
        <f t="shared" si="15"/>
        <v>27.001046145221366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66.237508150795321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66.237508150795321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66.237508150795321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66.237508150795321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66.237508150795321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1.25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4.583333333333333</v>
      </c>
      <c r="H33" s="67">
        <f t="shared" si="1"/>
        <v>238.33333333333334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66.302778972707401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3.6</v>
      </c>
      <c r="M33" s="12">
        <f t="array" ref="M33">INDEX(L:L,MIN(IF(ISNUMBER(L33:L229),ROW(L33:L229),"")))</f>
        <v>3.6</v>
      </c>
      <c r="N33" s="13">
        <f>IF('Données projet'!$A$36&gt;35,N32+M33-V32,IF(A33&lt;'Données projet'!$A$36,$K$205^A33,IF(A33='Données projet'!$A$36,'Données projet'!$B$36,N32+M33-V32)))</f>
        <v>120.99999999999997</v>
      </c>
      <c r="O33" s="13">
        <f>N33*VLOOKUP('Données projet'!$B$9,Paramètres!$A$1:$I$89,3,0)*VLOOKUP('Données projet'!$B$9,Paramètres!$A$1:$I$89,5,0)</f>
        <v>109.48079999999997</v>
      </c>
      <c r="P33" s="13">
        <f t="shared" si="33"/>
        <v>29.208623339903898</v>
      </c>
      <c r="Q33" s="20">
        <f t="shared" si="2"/>
        <v>241.55074565033257</v>
      </c>
      <c r="R33" s="59">
        <f t="shared" si="0"/>
        <v>521.32760188359305</v>
      </c>
      <c r="S33" s="59">
        <f ca="1">AVERAGE(OFFSET($R$3,0,0,'Données projet'!$E$9+1,1))-AVERAGE(OFFSET($H$3,0,0,'Données projet'!$E$9+1,1))</f>
        <v>467.10712490977266</v>
      </c>
      <c r="T33" s="59">
        <f t="shared" si="34"/>
        <v>282.99426855025968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66.302778972707401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5.4</v>
      </c>
      <c r="AH33" s="12">
        <f t="array" ref="AH33">INDEX(AG:AG,MIN(IF(ISNUMBER(AG33:AG229),ROW(AG33:AG229),"")))</f>
        <v>5.4</v>
      </c>
      <c r="AI33" s="13">
        <f>IF('Données projet'!$A$62&gt;35,AI32+AH33-AQ32,IF(A33&lt;'Données projet'!$A$62,$AF$205^A33,IF(A33='Données projet'!$A$62,'Données projet'!$B$62,AI32+AH33-AQ32)))</f>
        <v>97.000000000000028</v>
      </c>
      <c r="AJ33" s="13">
        <f>AI33*VLOOKUP('Données projet'!$B$10,Paramètres!$A$1:$I$89,3,0)*VLOOKUP('Données projet'!$B$10,Paramètres!$A$1:$I$89,5,0)</f>
        <v>92.305200000000028</v>
      </c>
      <c r="AK33" s="13">
        <f t="shared" si="35"/>
        <v>25.12036275342183</v>
      </c>
      <c r="AL33" s="20">
        <f t="shared" si="4"/>
        <v>204.51618846220973</v>
      </c>
      <c r="AM33" s="59">
        <f t="shared" si="5"/>
        <v>484.29304469547026</v>
      </c>
      <c r="AN33" s="59">
        <f ca="1">AVERAGE(OFFSET($AM$3,0,0,'Données projet'!$E$10+1,1))-AVERAGE(OFFSET($H$3,0,0,'Données projet'!$E$10+1,1))</f>
        <v>399.57236812003225</v>
      </c>
      <c r="AO33" s="59">
        <f t="shared" si="36"/>
        <v>245.95971136213691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66.302778972707401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277</v>
      </c>
      <c r="BB33" s="12">
        <f>VLOOKUP(A33,'Données projet'!$A$87:$I$107,9,0)</f>
        <v>21.6</v>
      </c>
      <c r="BC33" s="12">
        <f t="array" ref="BC33">INDEX(BB:BB,MIN(IF(ISNUMBER(BB33:BB229),ROW(BB33:BB229),"")))</f>
        <v>21.6</v>
      </c>
      <c r="BD33" s="12">
        <f>IF('Données projet'!$A$88&gt;35,BD32+BC33-BL32,IF(A33&lt;'Données projet'!$A$88,$BA$205^A33,IF(A33='Données projet'!$A$88,'Données projet'!$B$88,BD32+BC33-BL32)))</f>
        <v>276.99999999999994</v>
      </c>
      <c r="BE33" s="13">
        <f>BD33*VLOOKUP('Données projet'!$B$11,Paramètres!$A$1:$I$89,3,0)*VLOOKUP('Données projet'!$B$11,Paramètres!$A$1:$I$89,5,0)</f>
        <v>165.64599999999996</v>
      </c>
      <c r="BF33" s="13">
        <f t="shared" si="37"/>
        <v>42.113404814327666</v>
      </c>
      <c r="BG33" s="20">
        <f t="shared" si="7"/>
        <v>361.84763005162063</v>
      </c>
      <c r="BH33" s="59">
        <f t="shared" si="8"/>
        <v>641.62448628488119</v>
      </c>
      <c r="BI33" s="59">
        <f ca="1">AVERAGE(OFFSET($BH$3,0,0,'Données projet'!$E$11+1,1))-AVERAGE(OFFSET($H$3,0,0,'Données projet'!$E$11+1,1))</f>
        <v>352.88552266225872</v>
      </c>
      <c r="BJ33" s="59">
        <f t="shared" si="38"/>
        <v>403.29115295154782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0.18000000000000002</v>
      </c>
      <c r="BN33" s="16">
        <f>IF(ISNA(VLOOKUP(A33,'Données projet'!$A$87:$I$107,6,0)),0%,VLOOKUP(A33,'Données projet'!$A$87:$I$107,6,0)*VLOOKUP('Données projet'!$B$11,Paramètres!$A$1:$I$89,7,0))</f>
        <v>0.15300000000000002</v>
      </c>
      <c r="BO33" s="16">
        <f>IF(ISNA(VLOOKUP(A33,'Données projet'!$A$87:$I$107,7,0)),0%,VLOOKUP(A33,'Données projet'!$A$87:$I$107,7,0))</f>
        <v>0.26</v>
      </c>
      <c r="BP33" s="21">
        <f>EXP(-LN(2)/35)*BP32+(1-EXP(-LN(2)/35))/(LN(2)/35)*BL33*BM33*VLOOKUP('Données projet'!$B$11,Paramètres!$A$1:$I$89,3,0)*0.475*44/12</f>
        <v>16.920177818101457</v>
      </c>
      <c r="BQ33" s="21">
        <f>EXP(-LN(2)/25)*BQ32+(1-EXP(-LN(2)/25))/(LN(2)/25)*Calculateur!BL33*Calculateur!BN33*VLOOKUP('Données projet'!$B$11,Paramètres!$A$1:$I$89,3,0)*0.475*44/12</f>
        <v>20.743559700801882</v>
      </c>
      <c r="BR33" s="21">
        <f>EXP(-LN(2)/2)*BR32+(1-EXP(-LN(2)/2))/(LN(2)/2)*BL33*BO33*VLOOKUP('Données projet'!$B$11,Paramètres!$A$1:$I$89,3,0)*0.475*44/12</f>
        <v>12.355992517030819</v>
      </c>
      <c r="BS33" s="22">
        <f t="shared" si="9"/>
        <v>50.01973003593416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66.302778972707401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293</v>
      </c>
      <c r="BW33" s="12">
        <f>VLOOKUP(A33,'Données projet'!$A$113:$I$133,9,0)</f>
        <v>28</v>
      </c>
      <c r="BX33" s="12">
        <f t="array" ref="BX33">INDEX(BW:BW,MIN(IF(ISNUMBER(BW33:BW229),ROW(BW33:BW229),"")))</f>
        <v>28</v>
      </c>
      <c r="BY33" s="12">
        <f>IF('Données projet'!$A$114&gt;35,BY32+BX33-CG32,IF(A33&lt;'Données projet'!$A$114,$BV$205^A33,IF(A33='Données projet'!$A$114,'Données projet'!$B$114,BY32+BX33-CG32)))</f>
        <v>293</v>
      </c>
      <c r="BZ33" s="13">
        <f>BY33*VLOOKUP('Données projet'!$B$12,Paramètres!$A$1:$I$89,3,0)*VLOOKUP('Données projet'!$B$12,Paramètres!$A$1:$I$89,5,0)</f>
        <v>129.506</v>
      </c>
      <c r="CA33" s="13">
        <f t="shared" si="39"/>
        <v>33.882185155605626</v>
      </c>
      <c r="CB33" s="20">
        <f t="shared" si="10"/>
        <v>284.56775581267976</v>
      </c>
      <c r="CC33" s="59">
        <f t="shared" si="11"/>
        <v>564.34461204594027</v>
      </c>
      <c r="CD33" s="59">
        <f ca="1">AVERAGE(OFFSET($CC$3,0,0,'Données projet'!$E$12+1,1))-AVERAGE(OFFSET($H$3,0,0,'Données projet'!$E$12+1,1))</f>
        <v>297.1442218517625</v>
      </c>
      <c r="CE33" s="59">
        <f t="shared" si="40"/>
        <v>326.0112787126069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63</v>
      </c>
      <c r="CH33" s="16">
        <f>IF(ISNA(VLOOKUP(A33,'Données projet'!$A$113:$I$133,5,0)),0%,VLOOKUP(A33,'Données projet'!$A$113:$I$133,5,0)*VLOOKUP('Données projet'!$B$12,Paramètres!$A$1:$I$89,7,0))</f>
        <v>0.22000000000000003</v>
      </c>
      <c r="CI33" s="16">
        <f>IF(ISNA(VLOOKUP(A33,'Données projet'!$A$113:$I$133,6,0)),0%,VLOOKUP(A33,'Données projet'!$A$113:$I$133,6,0)*VLOOKUP('Données projet'!$B$12,Paramètres!$A$1:$I$89,7,0))</f>
        <v>0.18700000000000003</v>
      </c>
      <c r="CJ33" s="16">
        <f>IF(ISNA(VLOOKUP(A33,'Données projet'!$A$113:$I$133,7,0)),0%,VLOOKUP(A33,'Données projet'!$A$113:$I$133,7,0))</f>
        <v>0.26</v>
      </c>
      <c r="CK33" s="21">
        <f>EXP(-LN(2)/35)*CK32+(1-EXP(-LN(2)/35))/(LN(2)/35)*CG33*CH33*VLOOKUP('Données projet'!$B$12,Paramètres!$A$1:$I$89,3,0)*0.475*44/12</f>
        <v>15.234385651276131</v>
      </c>
      <c r="CL33" s="21">
        <f>EXP(-LN(2)/25)*CL32+(1-EXP(-LN(2)/25))/(LN(2)/25)*Calculateur!CG33*Calculateur!CI33*VLOOKUP('Données projet'!$B$12,Paramètres!$A$1:$I$89,3,0)*0.475*44/12</f>
        <v>17.037571151161103</v>
      </c>
      <c r="CM33" s="21">
        <f>EXP(-LN(2)/2)*CM32+(1-EXP(-LN(2)/2))/(LN(2)/2)*CG33*CJ33*VLOOKUP('Données projet'!$B$12,Paramètres!$A$1:$I$89,3,0)*0.475*44/12</f>
        <v>10.089292164115514</v>
      </c>
      <c r="CN33" s="22">
        <f t="shared" si="12"/>
        <v>42.361248966552743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66.302778972707401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277</v>
      </c>
      <c r="CR33" s="12">
        <f>VLOOKUP(A33,'Données projet'!$A$139:$I$159,9,0)</f>
        <v>21.6</v>
      </c>
      <c r="CS33" s="12">
        <f t="array" ref="CS33">INDEX(CR:CR,MIN(IF(ISNUMBER(CR33:CR229),ROW(CR33:CR229),"")))</f>
        <v>21.6</v>
      </c>
      <c r="CT33" s="12">
        <f>IF('Données projet'!$A$140&gt;35,CT32+CS33-DB32,IF(A33&lt;'Données projet'!$A$140,$CQ$205^A33,IF(A33='Données projet'!$A$140,'Données projet'!$B$140,CT32+CS33-DB32)))</f>
        <v>276.99999999999994</v>
      </c>
      <c r="CU33" s="17">
        <f>CT33*VLOOKUP('Données projet'!$B$13,Paramètres!$A$1:$I$89,3,0)*VLOOKUP('Données projet'!$B$13,Paramètres!$A$1:$I$89,5,0)</f>
        <v>165.64599999999996</v>
      </c>
      <c r="CV33" s="13">
        <f t="shared" si="41"/>
        <v>42.113404814327666</v>
      </c>
      <c r="CW33" s="20">
        <f t="shared" si="13"/>
        <v>361.84763005162063</v>
      </c>
      <c r="CX33" s="59">
        <f t="shared" si="14"/>
        <v>641.62448628488119</v>
      </c>
      <c r="CY33" s="59">
        <f ca="1">AVERAGE(OFFSET($CX$3,0,0,'Données projet'!$E$13+1,1))-AVERAGE(OFFSET($H$3,0,0,'Données projet'!$E$13+1,1))</f>
        <v>352.88552266225872</v>
      </c>
      <c r="CZ33" s="59">
        <f t="shared" si="42"/>
        <v>403.29115295154782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56</v>
      </c>
      <c r="DC33" s="16">
        <f>IF(ISNA(VLOOKUP(A33,'Données projet'!$A$139:$I$159,5,0)),0%,VLOOKUP(A33,'Données projet'!$A$139:$I$159,5,0)*VLOOKUP('Données projet'!$B$13,Paramètres!$A$1:$I$89,7,0))</f>
        <v>0.18000000000000002</v>
      </c>
      <c r="DD33" s="16">
        <f>IF(ISNA(VLOOKUP(A33,'Données projet'!$A$139:$I$159,6,0)),0%,VLOOKUP(A33,'Données projet'!$A$139:$I$159,6,0)*VLOOKUP('Données projet'!$B$13,Paramètres!$A$1:$I$89,7,0))</f>
        <v>0.15300000000000002</v>
      </c>
      <c r="DE33" s="16">
        <f>IF(ISNA(VLOOKUP(A33,'Données projet'!$A$139:$I$159,7,0)),0%,VLOOKUP(A33,'Données projet'!$A$139:$I$159,7,0))</f>
        <v>0.26</v>
      </c>
      <c r="DF33" s="21">
        <f>EXP(-LN(2)/35)*DF32+(1-EXP(-LN(2)/35))/(LN(2)/35)*DB33*DC33*VLOOKUP('Données projet'!$B$13,Paramètres!$A$1:$I$89,3,0)*0.475*44/12</f>
        <v>16.920177818101457</v>
      </c>
      <c r="DG33" s="21">
        <f>EXP(-LN(2)/25)*DG32+(1-EXP(-LN(2)/25))/(LN(2)/25)*Calculateur!DB33*Calculateur!DD33*VLOOKUP('Données projet'!$B$13,Paramètres!$A$1:$I$89,3,0)*0.475*44/12</f>
        <v>20.743559700801882</v>
      </c>
      <c r="DH33" s="21">
        <f>EXP(-LN(2)/2)*DH32+(1-EXP(-LN(2)/2))/(LN(2)/2)*DB33*DE33*VLOOKUP('Données projet'!$B$13,Paramètres!$A$1:$I$89,3,0)*0.475*44/12</f>
        <v>12.355992517030819</v>
      </c>
      <c r="DI33" s="22">
        <f t="shared" si="15"/>
        <v>50.01973003593416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66.302778972707401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66.302778972707401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66.302778972707401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66.302778972707401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66.302778972707401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1.25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4.583333333333333</v>
      </c>
      <c r="H34" s="67">
        <f t="shared" si="1"/>
        <v>238.33333333333334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66.366917491783013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5.2</v>
      </c>
      <c r="N34" s="13">
        <f>IF('Données projet'!$A$36&gt;35,N33+M34-V33,IF(A34&lt;'Données projet'!$A$36,$K$205^A34,IF(A34='Données projet'!$A$36,'Données projet'!$B$36,N33+M34-V33)))</f>
        <v>126.19999999999997</v>
      </c>
      <c r="O34" s="13">
        <f>N34*VLOOKUP('Données projet'!$B$9,Paramètres!$A$1:$I$89,3,0)*VLOOKUP('Données projet'!$B$9,Paramètres!$A$1:$I$89,5,0)</f>
        <v>114.18575999999997</v>
      </c>
      <c r="P34" s="13">
        <f t="shared" si="33"/>
        <v>30.315028515433259</v>
      </c>
      <c r="Q34" s="20">
        <f t="shared" si="2"/>
        <v>251.67220666437959</v>
      </c>
      <c r="R34" s="59">
        <f t="shared" si="0"/>
        <v>531.6842374675839</v>
      </c>
      <c r="S34" s="59">
        <f ca="1">AVERAGE(OFFSET($R$3,0,0,'Données projet'!$E$9+1,1))-AVERAGE(OFFSET($H$3,0,0,'Données projet'!$E$9+1,1))</f>
        <v>467.10712490977266</v>
      </c>
      <c r="T34" s="59">
        <f t="shared" si="34"/>
        <v>282.99426855025968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66.366917491783013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</v>
      </c>
      <c r="AI34" s="13">
        <f>IF('Données projet'!$A$62&gt;35,AI33+AH34-AQ33,IF(A34&lt;'Données projet'!$A$62,$AF$205^A34,IF(A34='Données projet'!$A$62,'Données projet'!$B$62,AI33+AH34-AQ33)))</f>
        <v>100.80000000000003</v>
      </c>
      <c r="AJ34" s="13">
        <f>AI34*VLOOKUP('Données projet'!$B$10,Paramètres!$A$1:$I$89,3,0)*VLOOKUP('Données projet'!$B$10,Paramètres!$A$1:$I$89,5,0)</f>
        <v>95.921280000000024</v>
      </c>
      <c r="AK34" s="13">
        <f t="shared" si="35"/>
        <v>25.98795633328076</v>
      </c>
      <c r="AL34" s="20">
        <f t="shared" si="4"/>
        <v>212.32525328046404</v>
      </c>
      <c r="AM34" s="59">
        <f t="shared" si="5"/>
        <v>492.33728408366841</v>
      </c>
      <c r="AN34" s="59">
        <f ca="1">AVERAGE(OFFSET($AM$3,0,0,'Données projet'!$E$10+1,1))-AVERAGE(OFFSET($H$3,0,0,'Données projet'!$E$10+1,1))</f>
        <v>399.57236812003225</v>
      </c>
      <c r="AO34" s="59">
        <f t="shared" si="36"/>
        <v>245.95971136213691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66.366917491783013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21.8</v>
      </c>
      <c r="BD34" s="12">
        <f>IF('Données projet'!$A$88&gt;35,BD33+BC34-BL33,IF(A34&lt;'Données projet'!$A$88,$BA$205^A34,IF(A34='Données projet'!$A$88,'Données projet'!$B$88,BD33+BC34-BL33)))</f>
        <v>242.79999999999995</v>
      </c>
      <c r="BE34" s="13">
        <f>BD34*VLOOKUP('Données projet'!$B$11,Paramètres!$A$1:$I$89,3,0)*VLOOKUP('Données projet'!$B$11,Paramètres!$A$1:$I$89,5,0)</f>
        <v>145.1944</v>
      </c>
      <c r="BF34" s="13">
        <f t="shared" si="37"/>
        <v>37.484434798807726</v>
      </c>
      <c r="BG34" s="20">
        <f t="shared" si="7"/>
        <v>318.1656372745901</v>
      </c>
      <c r="BH34" s="59">
        <f t="shared" si="8"/>
        <v>598.17766807779446</v>
      </c>
      <c r="BI34" s="59">
        <f ca="1">AVERAGE(OFFSET($BH$3,0,0,'Données projet'!$E$11+1,1))-AVERAGE(OFFSET($H$3,0,0,'Données projet'!$E$11+1,1))</f>
        <v>352.88552266225872</v>
      </c>
      <c r="BJ34" s="59">
        <f t="shared" si="38"/>
        <v>403.29115295154782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16.588383451377911</v>
      </c>
      <c r="BQ34" s="21">
        <f>EXP(-LN(2)/25)*BQ33+(1-EXP(-LN(2)/25))/(LN(2)/25)*Calculateur!BL34*Calculateur!BN34*VLOOKUP('Données projet'!$B$11,Paramètres!$A$1:$I$89,3,0)*0.475*44/12</f>
        <v>20.17632596992706</v>
      </c>
      <c r="BR34" s="21">
        <f>EXP(-LN(2)/2)*BR33+(1-EXP(-LN(2)/2))/(LN(2)/2)*BL34*BO34*VLOOKUP('Données projet'!$B$11,Paramètres!$A$1:$I$89,3,0)*0.475*44/12</f>
        <v>8.7370060970827303</v>
      </c>
      <c r="BS34" s="22">
        <f t="shared" si="9"/>
        <v>45.501715518387698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66.366917491783013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28.4</v>
      </c>
      <c r="BY34" s="12">
        <f>IF('Données projet'!$A$114&gt;35,BY33+BX34-CG33,IF(A34&lt;'Données projet'!$A$114,$BV$205^A34,IF(A34='Données projet'!$A$114,'Données projet'!$B$114,BY33+BX34-CG33)))</f>
        <v>258.39999999999998</v>
      </c>
      <c r="BZ34" s="13">
        <f>BY34*VLOOKUP('Données projet'!$B$12,Paramètres!$A$1:$I$89,3,0)*VLOOKUP('Données projet'!$B$12,Paramètres!$A$1:$I$89,5,0)</f>
        <v>114.2128</v>
      </c>
      <c r="CA34" s="13">
        <f t="shared" si="39"/>
        <v>30.321371628366709</v>
      </c>
      <c r="CB34" s="20">
        <f t="shared" si="10"/>
        <v>251.73034891940537</v>
      </c>
      <c r="CC34" s="59">
        <f t="shared" si="11"/>
        <v>531.74237972260971</v>
      </c>
      <c r="CD34" s="59">
        <f ca="1">AVERAGE(OFFSET($CC$3,0,0,'Données projet'!$E$12+1,1))-AVERAGE(OFFSET($H$3,0,0,'Données projet'!$E$12+1,1))</f>
        <v>297.1442218517625</v>
      </c>
      <c r="CE34" s="59">
        <f t="shared" si="40"/>
        <v>326.0112787126069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14.935648640712339</v>
      </c>
      <c r="CL34" s="21">
        <f>EXP(-LN(2)/25)*CL33+(1-EXP(-LN(2)/25))/(LN(2)/25)*Calculateur!CG34*Calculateur!CI34*VLOOKUP('Données projet'!$B$12,Paramètres!$A$1:$I$89,3,0)*0.475*44/12</f>
        <v>16.571677872065674</v>
      </c>
      <c r="CM34" s="21">
        <f>EXP(-LN(2)/2)*CM33+(1-EXP(-LN(2)/2))/(LN(2)/2)*CG34*CJ34*VLOOKUP('Données projet'!$B$12,Paramètres!$A$1:$I$89,3,0)*0.475*44/12</f>
        <v>7.1342069066183784</v>
      </c>
      <c r="CN34" s="22">
        <f t="shared" si="12"/>
        <v>38.641533419396396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66.366917491783013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21.8</v>
      </c>
      <c r="CT34" s="12">
        <f>IF('Données projet'!$A$140&gt;35,CT33+CS34-DB33,IF(A34&lt;'Données projet'!$A$140,$CQ$205^A34,IF(A34='Données projet'!$A$140,'Données projet'!$B$140,CT33+CS34-DB33)))</f>
        <v>242.79999999999995</v>
      </c>
      <c r="CU34" s="17">
        <f>CT34*VLOOKUP('Données projet'!$B$13,Paramètres!$A$1:$I$89,3,0)*VLOOKUP('Données projet'!$B$13,Paramètres!$A$1:$I$89,5,0)</f>
        <v>145.1944</v>
      </c>
      <c r="CV34" s="13">
        <f t="shared" si="41"/>
        <v>37.484434798807726</v>
      </c>
      <c r="CW34" s="20">
        <f t="shared" si="13"/>
        <v>318.1656372745901</v>
      </c>
      <c r="CX34" s="59">
        <f t="shared" si="14"/>
        <v>598.17766807779446</v>
      </c>
      <c r="CY34" s="59">
        <f ca="1">AVERAGE(OFFSET($CX$3,0,0,'Données projet'!$E$13+1,1))-AVERAGE(OFFSET($H$3,0,0,'Données projet'!$E$13+1,1))</f>
        <v>352.88552266225872</v>
      </c>
      <c r="CZ34" s="59">
        <f t="shared" si="42"/>
        <v>403.29115295154782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16.588383451377911</v>
      </c>
      <c r="DG34" s="21">
        <f>EXP(-LN(2)/25)*DG33+(1-EXP(-LN(2)/25))/(LN(2)/25)*Calculateur!DB34*Calculateur!DD34*VLOOKUP('Données projet'!$B$13,Paramètres!$A$1:$I$89,3,0)*0.475*44/12</f>
        <v>20.17632596992706</v>
      </c>
      <c r="DH34" s="21">
        <f>EXP(-LN(2)/2)*DH33+(1-EXP(-LN(2)/2))/(LN(2)/2)*DB34*DE34*VLOOKUP('Données projet'!$B$13,Paramètres!$A$1:$I$89,3,0)*0.475*44/12</f>
        <v>8.7370060970827303</v>
      </c>
      <c r="DI34" s="22">
        <f t="shared" si="15"/>
        <v>45.501715518387698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66.366917491783013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66.366917491783013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66.366917491783013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66.366917491783013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66.366917491783013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1.25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4.583333333333333</v>
      </c>
      <c r="H35" s="67">
        <f t="shared" si="1"/>
        <v>238.33333333333334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66.42994335094491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5.2</v>
      </c>
      <c r="N35" s="13">
        <f>IF('Données projet'!$A$36&gt;35,N34+M35-V34,IF(A35&lt;'Données projet'!$A$36,$K$205^A35,IF(A35='Données projet'!$A$36,'Données projet'!$B$36,N34+M35-V34)))</f>
        <v>131.39999999999998</v>
      </c>
      <c r="O35" s="13">
        <f>N35*VLOOKUP('Données projet'!$B$9,Paramètres!$A$1:$I$89,3,0)*VLOOKUP('Données projet'!$B$9,Paramètres!$A$1:$I$89,5,0)</f>
        <v>118.89071999999996</v>
      </c>
      <c r="P35" s="13">
        <f t="shared" si="33"/>
        <v>31.416138277101783</v>
      </c>
      <c r="Q35" s="20">
        <f t="shared" ref="Q35:Q66" si="53">(O35+P35)*0.475*44/12</f>
        <v>261.78444483261882</v>
      </c>
      <c r="R35" s="59">
        <f t="shared" si="0"/>
        <v>542.02757045275018</v>
      </c>
      <c r="S35" s="59">
        <f ca="1">AVERAGE(OFFSET($R$3,0,0,'Données projet'!$E$9+1,1))-AVERAGE(OFFSET($H$3,0,0,'Données projet'!$E$9+1,1))</f>
        <v>467.10712490977266</v>
      </c>
      <c r="T35" s="59">
        <f t="shared" si="34"/>
        <v>282.99426855025968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66.42994335094491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</v>
      </c>
      <c r="AI35" s="13">
        <f>IF('Données projet'!$A$62&gt;35,AI34+AH35-AQ34,IF(A35&lt;'Données projet'!$A$62,$AF$205^A35,IF(A35='Données projet'!$A$62,'Données projet'!$B$62,AI34+AH35-AQ34)))</f>
        <v>104.60000000000002</v>
      </c>
      <c r="AJ35" s="13">
        <f>AI35*VLOOKUP('Données projet'!$B$10,Paramètres!$A$1:$I$89,3,0)*VLOOKUP('Données projet'!$B$10,Paramètres!$A$1:$I$89,5,0)</f>
        <v>99.537360000000021</v>
      </c>
      <c r="AK35" s="13">
        <f t="shared" si="35"/>
        <v>26.851750219979348</v>
      </c>
      <c r="AL35" s="20">
        <f t="shared" si="4"/>
        <v>220.1277002997974</v>
      </c>
      <c r="AM35" s="59">
        <f t="shared" si="5"/>
        <v>500.37082591992873</v>
      </c>
      <c r="AN35" s="59">
        <f ca="1">AVERAGE(OFFSET($AM$3,0,0,'Données projet'!$E$10+1,1))-AVERAGE(OFFSET($H$3,0,0,'Données projet'!$E$10+1,1))</f>
        <v>399.57236812003225</v>
      </c>
      <c r="AO35" s="59">
        <f t="shared" si="36"/>
        <v>245.95971136213691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66.42994335094491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21.8</v>
      </c>
      <c r="BD35" s="12">
        <f>IF('Données projet'!$A$88&gt;35,BD34+BC35-BL34,IF(A35&lt;'Données projet'!$A$88,$BA$205^A35,IF(A35='Données projet'!$A$88,'Données projet'!$B$88,BD34+BC35-BL34)))</f>
        <v>264.59999999999997</v>
      </c>
      <c r="BE35" s="13">
        <f>BD35*VLOOKUP('Données projet'!$B$11,Paramètres!$A$1:$I$89,3,0)*VLOOKUP('Données projet'!$B$11,Paramètres!$A$1:$I$89,5,0)</f>
        <v>158.23079999999999</v>
      </c>
      <c r="BF35" s="13">
        <f t="shared" si="37"/>
        <v>40.443209539379019</v>
      </c>
      <c r="BG35" s="20">
        <f t="shared" si="7"/>
        <v>346.02389994775172</v>
      </c>
      <c r="BH35" s="59">
        <f t="shared" si="8"/>
        <v>626.26702556788314</v>
      </c>
      <c r="BI35" s="59">
        <f ca="1">AVERAGE(OFFSET($BH$3,0,0,'Données projet'!$E$11+1,1))-AVERAGE(OFFSET($H$3,0,0,'Données projet'!$E$11+1,1))</f>
        <v>352.88552266225872</v>
      </c>
      <c r="BJ35" s="59">
        <f t="shared" si="38"/>
        <v>403.29115295154782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16.263095369811236</v>
      </c>
      <c r="BQ35" s="21">
        <f>EXP(-LN(2)/25)*BQ34+(1-EXP(-LN(2)/25))/(LN(2)/25)*Calculateur!BL35*Calculateur!BN35*VLOOKUP('Données projet'!$B$11,Paramètres!$A$1:$I$89,3,0)*0.475*44/12</f>
        <v>19.624603275252536</v>
      </c>
      <c r="BR35" s="21">
        <f>EXP(-LN(2)/2)*BR34+(1-EXP(-LN(2)/2))/(LN(2)/2)*BL35*BO35*VLOOKUP('Données projet'!$B$11,Paramètres!$A$1:$I$89,3,0)*0.475*44/12</f>
        <v>6.1779962585154102</v>
      </c>
      <c r="BS35" s="22">
        <f t="shared" si="9"/>
        <v>42.065694903579185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66.42994335094491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28.4</v>
      </c>
      <c r="BY35" s="12">
        <f>IF('Données projet'!$A$114&gt;35,BY34+BX35-CG34,IF(A35&lt;'Données projet'!$A$114,$BV$205^A35,IF(A35='Données projet'!$A$114,'Données projet'!$B$114,BY34+BX35-CG34)))</f>
        <v>286.79999999999995</v>
      </c>
      <c r="BZ35" s="13">
        <f>BY35*VLOOKUP('Données projet'!$B$12,Paramètres!$A$1:$I$89,3,0)*VLOOKUP('Données projet'!$B$12,Paramètres!$A$1:$I$89,5,0)</f>
        <v>126.76559999999999</v>
      </c>
      <c r="CA35" s="13">
        <f t="shared" si="39"/>
        <v>33.247892092070252</v>
      </c>
      <c r="CB35" s="20">
        <f t="shared" si="10"/>
        <v>278.69016539368897</v>
      </c>
      <c r="CC35" s="59">
        <f t="shared" si="11"/>
        <v>558.93329101382028</v>
      </c>
      <c r="CD35" s="59">
        <f ca="1">AVERAGE(OFFSET($CC$3,0,0,'Données projet'!$E$12+1,1))-AVERAGE(OFFSET($H$3,0,0,'Données projet'!$E$12+1,1))</f>
        <v>297.1442218517625</v>
      </c>
      <c r="CE35" s="59">
        <f t="shared" si="40"/>
        <v>326.0112787126069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14.642769680714117</v>
      </c>
      <c r="CL35" s="21">
        <f>EXP(-LN(2)/25)*CL34+(1-EXP(-LN(2)/25))/(LN(2)/25)*Calculateur!CG35*Calculateur!CI35*VLOOKUP('Données projet'!$B$12,Paramètres!$A$1:$I$89,3,0)*0.475*44/12</f>
        <v>16.118524469187374</v>
      </c>
      <c r="CM35" s="21">
        <f>EXP(-LN(2)/2)*CM34+(1-EXP(-LN(2)/2))/(LN(2)/2)*CG35*CJ35*VLOOKUP('Données projet'!$B$12,Paramètres!$A$1:$I$89,3,0)*0.475*44/12</f>
        <v>5.0446460820577581</v>
      </c>
      <c r="CN35" s="22">
        <f t="shared" si="12"/>
        <v>35.805940231959248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66.42994335094491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21.8</v>
      </c>
      <c r="CT35" s="12">
        <f>IF('Données projet'!$A$140&gt;35,CT34+CS35-DB34,IF(A35&lt;'Données projet'!$A$140,$CQ$205^A35,IF(A35='Données projet'!$A$140,'Données projet'!$B$140,CT34+CS35-DB34)))</f>
        <v>264.59999999999997</v>
      </c>
      <c r="CU35" s="17">
        <f>CT35*VLOOKUP('Données projet'!$B$13,Paramètres!$A$1:$I$89,3,0)*VLOOKUP('Données projet'!$B$13,Paramètres!$A$1:$I$89,5,0)</f>
        <v>158.23079999999999</v>
      </c>
      <c r="CV35" s="13">
        <f t="shared" si="41"/>
        <v>40.443209539379019</v>
      </c>
      <c r="CW35" s="20">
        <f t="shared" si="13"/>
        <v>346.02389994775172</v>
      </c>
      <c r="CX35" s="59">
        <f t="shared" si="14"/>
        <v>626.26702556788314</v>
      </c>
      <c r="CY35" s="59">
        <f ca="1">AVERAGE(OFFSET($CX$3,0,0,'Données projet'!$E$13+1,1))-AVERAGE(OFFSET($H$3,0,0,'Données projet'!$E$13+1,1))</f>
        <v>352.88552266225872</v>
      </c>
      <c r="CZ35" s="59">
        <f t="shared" si="42"/>
        <v>403.29115295154782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16.263095369811236</v>
      </c>
      <c r="DG35" s="21">
        <f>EXP(-LN(2)/25)*DG34+(1-EXP(-LN(2)/25))/(LN(2)/25)*Calculateur!DB35*Calculateur!DD35*VLOOKUP('Données projet'!$B$13,Paramètres!$A$1:$I$89,3,0)*0.475*44/12</f>
        <v>19.624603275252536</v>
      </c>
      <c r="DH35" s="21">
        <f>EXP(-LN(2)/2)*DH34+(1-EXP(-LN(2)/2))/(LN(2)/2)*DB35*DE35*VLOOKUP('Données projet'!$B$13,Paramètres!$A$1:$I$89,3,0)*0.475*44/12</f>
        <v>6.1779962585154102</v>
      </c>
      <c r="DI35" s="22">
        <f t="shared" si="15"/>
        <v>42.065694903579185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66.42994335094491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66.42994335094491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66.42994335094491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66.42994335094491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66.42994335094491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1.25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4.583333333333333</v>
      </c>
      <c r="H36" s="67">
        <f t="shared" si="1"/>
        <v>238.33333333333334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66.491875852355051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5.2</v>
      </c>
      <c r="N36" s="13">
        <f>IF('Données projet'!$A$36&gt;35,N35+M36-V35,IF(A36&lt;'Données projet'!$A$36,$K$205^A36,IF(A36='Données projet'!$A$36,'Données projet'!$B$36,N35+M36-V35)))</f>
        <v>136.59999999999997</v>
      </c>
      <c r="O36" s="13">
        <f>N36*VLOOKUP('Données projet'!$B$9,Paramètres!$A$1:$I$89,3,0)*VLOOKUP('Données projet'!$B$9,Paramètres!$A$1:$I$89,5,0)</f>
        <v>123.59567999999997</v>
      </c>
      <c r="P36" s="13">
        <f t="shared" si="33"/>
        <v>32.512186163604952</v>
      </c>
      <c r="Q36" s="20">
        <f t="shared" si="53"/>
        <v>271.88786690161186</v>
      </c>
      <c r="R36" s="59">
        <f t="shared" si="0"/>
        <v>552.35807836024708</v>
      </c>
      <c r="S36" s="59">
        <f ca="1">AVERAGE(OFFSET($R$3,0,0,'Données projet'!$E$9+1,1))-AVERAGE(OFFSET($H$3,0,0,'Données projet'!$E$9+1,1))</f>
        <v>467.10712490977266</v>
      </c>
      <c r="T36" s="59">
        <f t="shared" si="34"/>
        <v>282.99426855025968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66.491875852355051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</v>
      </c>
      <c r="AI36" s="13">
        <f>IF('Données projet'!$A$62&gt;35,AI35+AH36-AQ35,IF(A36&lt;'Données projet'!$A$62,$AF$205^A36,IF(A36='Données projet'!$A$62,'Données projet'!$B$62,AI35+AH36-AQ35)))</f>
        <v>108.40000000000002</v>
      </c>
      <c r="AJ36" s="13">
        <f>AI36*VLOOKUP('Données projet'!$B$10,Paramètres!$A$1:$I$89,3,0)*VLOOKUP('Données projet'!$B$10,Paramètres!$A$1:$I$89,5,0)</f>
        <v>103.15344000000002</v>
      </c>
      <c r="AK36" s="13">
        <f t="shared" si="35"/>
        <v>27.711898263236939</v>
      </c>
      <c r="AL36" s="20">
        <f t="shared" si="4"/>
        <v>227.92379747513769</v>
      </c>
      <c r="AM36" s="59">
        <f t="shared" si="5"/>
        <v>508.39400893377291</v>
      </c>
      <c r="AN36" s="59">
        <f ca="1">AVERAGE(OFFSET($AM$3,0,0,'Données projet'!$E$10+1,1))-AVERAGE(OFFSET($H$3,0,0,'Données projet'!$E$10+1,1))</f>
        <v>399.57236812003225</v>
      </c>
      <c r="AO36" s="59">
        <f t="shared" si="36"/>
        <v>245.95971136213691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66.491875852355051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21.8</v>
      </c>
      <c r="BD36" s="12">
        <f>IF('Données projet'!$A$88&gt;35,BD35+BC36-BL35,IF(A36&lt;'Données projet'!$A$88,$BA$205^A36,IF(A36='Données projet'!$A$88,'Données projet'!$B$88,BD35+BC36-BL35)))</f>
        <v>286.39999999999998</v>
      </c>
      <c r="BE36" s="13">
        <f>BD36*VLOOKUP('Données projet'!$B$11,Paramètres!$A$1:$I$89,3,0)*VLOOKUP('Données projet'!$B$11,Paramètres!$A$1:$I$89,5,0)</f>
        <v>171.2672</v>
      </c>
      <c r="BF36" s="13">
        <f t="shared" si="37"/>
        <v>43.373711445811836</v>
      </c>
      <c r="BG36" s="20">
        <f t="shared" si="7"/>
        <v>373.83292076812228</v>
      </c>
      <c r="BH36" s="59">
        <f t="shared" si="8"/>
        <v>654.3031322267575</v>
      </c>
      <c r="BI36" s="59">
        <f ca="1">AVERAGE(OFFSET($BH$3,0,0,'Données projet'!$E$11+1,1))-AVERAGE(OFFSET($H$3,0,0,'Données projet'!$E$11+1,1))</f>
        <v>352.88552266225872</v>
      </c>
      <c r="BJ36" s="59">
        <f t="shared" si="38"/>
        <v>403.29115295154782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15.944185989117942</v>
      </c>
      <c r="BQ36" s="21">
        <f>EXP(-LN(2)/25)*BQ35+(1-EXP(-LN(2)/25))/(LN(2)/25)*Calculateur!BL36*Calculateur!BN36*VLOOKUP('Données projet'!$B$11,Paramètres!$A$1:$I$89,3,0)*0.475*44/12</f>
        <v>19.087967466677721</v>
      </c>
      <c r="BR36" s="21">
        <f>EXP(-LN(2)/2)*BR35+(1-EXP(-LN(2)/2))/(LN(2)/2)*BL36*BO36*VLOOKUP('Données projet'!$B$11,Paramètres!$A$1:$I$89,3,0)*0.475*44/12</f>
        <v>4.3685030485413661</v>
      </c>
      <c r="BS36" s="22">
        <f t="shared" si="9"/>
        <v>39.400656504337029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66.491875852355051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28.4</v>
      </c>
      <c r="BY36" s="12">
        <f>IF('Données projet'!$A$114&gt;35,BY35+BX36-CG35,IF(A36&lt;'Données projet'!$A$114,$BV$205^A36,IF(A36='Données projet'!$A$114,'Données projet'!$B$114,BY35+BX36-CG35)))</f>
        <v>315.19999999999993</v>
      </c>
      <c r="BZ36" s="13">
        <f>BY36*VLOOKUP('Données projet'!$B$12,Paramètres!$A$1:$I$89,3,0)*VLOOKUP('Données projet'!$B$12,Paramètres!$A$1:$I$89,5,0)</f>
        <v>139.31839999999997</v>
      </c>
      <c r="CA36" s="13">
        <f t="shared" si="39"/>
        <v>36.140816182167192</v>
      </c>
      <c r="CB36" s="20">
        <f t="shared" si="10"/>
        <v>305.59146818394112</v>
      </c>
      <c r="CC36" s="59">
        <f t="shared" si="11"/>
        <v>586.06167964257634</v>
      </c>
      <c r="CD36" s="59">
        <f ca="1">AVERAGE(OFFSET($CC$3,0,0,'Données projet'!$E$12+1,1))-AVERAGE(OFFSET($H$3,0,0,'Données projet'!$E$12+1,1))</f>
        <v>297.1442218517625</v>
      </c>
      <c r="CE36" s="59">
        <f t="shared" si="40"/>
        <v>326.0112787126069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14.355633898482935</v>
      </c>
      <c r="CL36" s="21">
        <f>EXP(-LN(2)/25)*CL35+(1-EXP(-LN(2)/25))/(LN(2)/25)*Calculateur!CG36*Calculateur!CI36*VLOOKUP('Données projet'!$B$12,Paramètres!$A$1:$I$89,3,0)*0.475*44/12</f>
        <v>15.677762569941082</v>
      </c>
      <c r="CM36" s="21">
        <f>EXP(-LN(2)/2)*CM35+(1-EXP(-LN(2)/2))/(LN(2)/2)*CG36*CJ36*VLOOKUP('Données projet'!$B$12,Paramètres!$A$1:$I$89,3,0)*0.475*44/12</f>
        <v>3.5671034533091897</v>
      </c>
      <c r="CN36" s="22">
        <f t="shared" si="12"/>
        <v>33.600499921733203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66.491875852355051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21.8</v>
      </c>
      <c r="CT36" s="12">
        <f>IF('Données projet'!$A$140&gt;35,CT35+CS36-DB35,IF(A36&lt;'Données projet'!$A$140,$CQ$205^A36,IF(A36='Données projet'!$A$140,'Données projet'!$B$140,CT35+CS36-DB35)))</f>
        <v>286.39999999999998</v>
      </c>
      <c r="CU36" s="17">
        <f>CT36*VLOOKUP('Données projet'!$B$13,Paramètres!$A$1:$I$89,3,0)*VLOOKUP('Données projet'!$B$13,Paramètres!$A$1:$I$89,5,0)</f>
        <v>171.2672</v>
      </c>
      <c r="CV36" s="13">
        <f t="shared" si="41"/>
        <v>43.373711445811836</v>
      </c>
      <c r="CW36" s="20">
        <f t="shared" si="13"/>
        <v>373.83292076812228</v>
      </c>
      <c r="CX36" s="59">
        <f t="shared" si="14"/>
        <v>654.3031322267575</v>
      </c>
      <c r="CY36" s="59">
        <f ca="1">AVERAGE(OFFSET($CX$3,0,0,'Données projet'!$E$13+1,1))-AVERAGE(OFFSET($H$3,0,0,'Données projet'!$E$13+1,1))</f>
        <v>352.88552266225872</v>
      </c>
      <c r="CZ36" s="59">
        <f t="shared" si="42"/>
        <v>403.29115295154782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15.944185989117942</v>
      </c>
      <c r="DG36" s="21">
        <f>EXP(-LN(2)/25)*DG35+(1-EXP(-LN(2)/25))/(LN(2)/25)*Calculateur!DB36*Calculateur!DD36*VLOOKUP('Données projet'!$B$13,Paramètres!$A$1:$I$89,3,0)*0.475*44/12</f>
        <v>19.087967466677721</v>
      </c>
      <c r="DH36" s="21">
        <f>EXP(-LN(2)/2)*DH35+(1-EXP(-LN(2)/2))/(LN(2)/2)*DB36*DE36*VLOOKUP('Données projet'!$B$13,Paramètres!$A$1:$I$89,3,0)*0.475*44/12</f>
        <v>4.3685030485413661</v>
      </c>
      <c r="DI36" s="22">
        <f t="shared" si="15"/>
        <v>39.400656504337029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66.491875852355051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66.491875852355051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66.491875852355051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66.491875852355051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66.491875852355051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1.25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4.583333333333333</v>
      </c>
      <c r="H37" s="67">
        <f t="shared" si="1"/>
        <v>238.33333333333334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66.552733963326062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5.2</v>
      </c>
      <c r="N37" s="13">
        <f>IF('Données projet'!$A$36&gt;35,N36+M37-V36,IF(A37&lt;'Données projet'!$A$36,$K$205^A37,IF(A37='Données projet'!$A$36,'Données projet'!$B$36,N36+M37-V36)))</f>
        <v>141.79999999999995</v>
      </c>
      <c r="O37" s="13">
        <f>N37*VLOOKUP('Données projet'!$B$9,Paramètres!$A$1:$I$89,3,0)*VLOOKUP('Données projet'!$B$9,Paramètres!$A$1:$I$89,5,0)</f>
        <v>128.30063999999996</v>
      </c>
      <c r="P37" s="13">
        <f t="shared" si="33"/>
        <v>33.603386926177379</v>
      </c>
      <c r="Q37" s="20">
        <f t="shared" si="53"/>
        <v>281.98284689642549</v>
      </c>
      <c r="R37" s="59">
        <f t="shared" si="0"/>
        <v>562.6762047619543</v>
      </c>
      <c r="S37" s="59">
        <f ca="1">AVERAGE(OFFSET($R$3,0,0,'Données projet'!$E$9+1,1))-AVERAGE(OFFSET($H$3,0,0,'Données projet'!$E$9+1,1))</f>
        <v>467.10712490977266</v>
      </c>
      <c r="T37" s="59">
        <f t="shared" si="34"/>
        <v>282.99426855025968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66.552733963326062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</v>
      </c>
      <c r="AI37" s="13">
        <f>IF('Données projet'!$A$62&gt;35,AI36+AH37-AQ36,IF(A37&lt;'Données projet'!$A$62,$AF$205^A37,IF(A37='Données projet'!$A$62,'Données projet'!$B$62,AI36+AH37-AQ36)))</f>
        <v>112.20000000000002</v>
      </c>
      <c r="AJ37" s="13">
        <f>AI37*VLOOKUP('Données projet'!$B$10,Paramètres!$A$1:$I$89,3,0)*VLOOKUP('Données projet'!$B$10,Paramètres!$A$1:$I$89,5,0)</f>
        <v>106.76952000000001</v>
      </c>
      <c r="AK37" s="13">
        <f t="shared" si="35"/>
        <v>28.568542914630711</v>
      </c>
      <c r="AL37" s="20">
        <f t="shared" si="4"/>
        <v>235.7137929096485</v>
      </c>
      <c r="AM37" s="59">
        <f t="shared" si="5"/>
        <v>516.40715077517734</v>
      </c>
      <c r="AN37" s="59">
        <f ca="1">AVERAGE(OFFSET($AM$3,0,0,'Données projet'!$E$10+1,1))-AVERAGE(OFFSET($H$3,0,0,'Données projet'!$E$10+1,1))</f>
        <v>399.57236812003225</v>
      </c>
      <c r="AO37" s="59">
        <f t="shared" si="36"/>
        <v>245.95971136213691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66.552733963326062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21.8</v>
      </c>
      <c r="BD37" s="12">
        <f>IF('Données projet'!$A$88&gt;35,BD36+BC37-BL36,IF(A37&lt;'Données projet'!$A$88,$BA$205^A37,IF(A37='Données projet'!$A$88,'Données projet'!$B$88,BD36+BC37-BL36)))</f>
        <v>308.2</v>
      </c>
      <c r="BE37" s="13">
        <f>BD37*VLOOKUP('Données projet'!$B$11,Paramètres!$A$1:$I$89,3,0)*VLOOKUP('Données projet'!$B$11,Paramètres!$A$1:$I$89,5,0)</f>
        <v>184.30359999999999</v>
      </c>
      <c r="BF37" s="13">
        <f t="shared" si="37"/>
        <v>46.27833726438655</v>
      </c>
      <c r="BG37" s="20">
        <f t="shared" si="7"/>
        <v>401.59687406880653</v>
      </c>
      <c r="BH37" s="59">
        <f t="shared" si="8"/>
        <v>682.29023193433545</v>
      </c>
      <c r="BI37" s="59">
        <f ca="1">AVERAGE(OFFSET($BH$3,0,0,'Données projet'!$E$11+1,1))-AVERAGE(OFFSET($H$3,0,0,'Données projet'!$E$11+1,1))</f>
        <v>352.88552266225872</v>
      </c>
      <c r="BJ37" s="59">
        <f t="shared" si="38"/>
        <v>403.29115295154782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15.631530226864529</v>
      </c>
      <c r="BQ37" s="21">
        <f>EXP(-LN(2)/25)*BQ36+(1-EXP(-LN(2)/25))/(LN(2)/25)*Calculateur!BL37*Calculateur!BN37*VLOOKUP('Données projet'!$B$11,Paramètres!$A$1:$I$89,3,0)*0.475*44/12</f>
        <v>18.566005992508835</v>
      </c>
      <c r="BR37" s="21">
        <f>EXP(-LN(2)/2)*BR36+(1-EXP(-LN(2)/2))/(LN(2)/2)*BL37*BO37*VLOOKUP('Données projet'!$B$11,Paramètres!$A$1:$I$89,3,0)*0.475*44/12</f>
        <v>3.0889981292577056</v>
      </c>
      <c r="BS37" s="22">
        <f t="shared" si="9"/>
        <v>37.286534348631065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66.552733963326062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28.4</v>
      </c>
      <c r="BY37" s="12">
        <f>IF('Données projet'!$A$114&gt;35,BY36+BX37-CG36,IF(A37&lt;'Données projet'!$A$114,$BV$205^A37,IF(A37='Données projet'!$A$114,'Données projet'!$B$114,BY36+BX37-CG36)))</f>
        <v>343.59999999999991</v>
      </c>
      <c r="BZ37" s="13">
        <f>BY37*VLOOKUP('Données projet'!$B$12,Paramètres!$A$1:$I$89,3,0)*VLOOKUP('Données projet'!$B$12,Paramètres!$A$1:$I$89,5,0)</f>
        <v>151.87119999999999</v>
      </c>
      <c r="CA37" s="13">
        <f t="shared" si="39"/>
        <v>39.003515226339346</v>
      </c>
      <c r="CB37" s="20">
        <f t="shared" si="10"/>
        <v>332.44012901920763</v>
      </c>
      <c r="CC37" s="59">
        <f t="shared" si="11"/>
        <v>613.1334868847365</v>
      </c>
      <c r="CD37" s="59">
        <f ca="1">AVERAGE(OFFSET($CC$3,0,0,'Données projet'!$E$12+1,1))-AVERAGE(OFFSET($H$3,0,0,'Données projet'!$E$12+1,1))</f>
        <v>297.1442218517625</v>
      </c>
      <c r="CE37" s="59">
        <f t="shared" si="40"/>
        <v>326.0112787126069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14.074128673805772</v>
      </c>
      <c r="CL37" s="21">
        <f>EXP(-LN(2)/25)*CL36+(1-EXP(-LN(2)/25))/(LN(2)/25)*Calculateur!CG37*Calculateur!CI37*VLOOKUP('Données projet'!$B$12,Paramètres!$A$1:$I$89,3,0)*0.475*44/12</f>
        <v>15.249053328008342</v>
      </c>
      <c r="CM37" s="21">
        <f>EXP(-LN(2)/2)*CM36+(1-EXP(-LN(2)/2))/(LN(2)/2)*CG37*CJ37*VLOOKUP('Données projet'!$B$12,Paramètres!$A$1:$I$89,3,0)*0.475*44/12</f>
        <v>2.5223230410288795</v>
      </c>
      <c r="CN37" s="22">
        <f t="shared" si="12"/>
        <v>31.845505042842994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66.552733963326062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21.8</v>
      </c>
      <c r="CT37" s="12">
        <f>IF('Données projet'!$A$140&gt;35,CT36+CS37-DB36,IF(A37&lt;'Données projet'!$A$140,$CQ$205^A37,IF(A37='Données projet'!$A$140,'Données projet'!$B$140,CT36+CS37-DB36)))</f>
        <v>308.2</v>
      </c>
      <c r="CU37" s="17">
        <f>CT37*VLOOKUP('Données projet'!$B$13,Paramètres!$A$1:$I$89,3,0)*VLOOKUP('Données projet'!$B$13,Paramètres!$A$1:$I$89,5,0)</f>
        <v>184.30359999999999</v>
      </c>
      <c r="CV37" s="13">
        <f t="shared" si="41"/>
        <v>46.27833726438655</v>
      </c>
      <c r="CW37" s="20">
        <f t="shared" si="13"/>
        <v>401.59687406880653</v>
      </c>
      <c r="CX37" s="59">
        <f t="shared" si="14"/>
        <v>682.29023193433545</v>
      </c>
      <c r="CY37" s="59">
        <f ca="1">AVERAGE(OFFSET($CX$3,0,0,'Données projet'!$E$13+1,1))-AVERAGE(OFFSET($H$3,0,0,'Données projet'!$E$13+1,1))</f>
        <v>352.88552266225872</v>
      </c>
      <c r="CZ37" s="59">
        <f t="shared" si="42"/>
        <v>403.29115295154782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15.631530226864529</v>
      </c>
      <c r="DG37" s="21">
        <f>EXP(-LN(2)/25)*DG36+(1-EXP(-LN(2)/25))/(LN(2)/25)*Calculateur!DB37*Calculateur!DD37*VLOOKUP('Données projet'!$B$13,Paramètres!$A$1:$I$89,3,0)*0.475*44/12</f>
        <v>18.566005992508835</v>
      </c>
      <c r="DH37" s="21">
        <f>EXP(-LN(2)/2)*DH36+(1-EXP(-LN(2)/2))/(LN(2)/2)*DB37*DE37*VLOOKUP('Données projet'!$B$13,Paramètres!$A$1:$I$89,3,0)*0.475*44/12</f>
        <v>3.0889981292577056</v>
      </c>
      <c r="DI37" s="22">
        <f t="shared" si="15"/>
        <v>37.286534348631065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66.552733963326062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66.552733963326062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66.552733963326062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66.552733963326062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66.552733963326062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1.25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4.583333333333333</v>
      </c>
      <c r="H38" s="67">
        <f t="shared" si="1"/>
        <v>238.33333333333334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66.612536322130083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5.2</v>
      </c>
      <c r="M38" s="12">
        <f t="array" ref="M38">INDEX(L:L,MIN(IF(ISNUMBER(L38:L234),ROW(L38:L234),"")))</f>
        <v>5.2</v>
      </c>
      <c r="N38" s="13">
        <f>IF('Données projet'!$A$36&gt;35,N37+M38-V37,IF(A38&lt;'Données projet'!$A$36,$K$205^A38,IF(A38='Données projet'!$A$36,'Données projet'!$B$36,N37+M38-V37)))</f>
        <v>146.99999999999994</v>
      </c>
      <c r="O38" s="13">
        <f>N38*VLOOKUP('Données projet'!$B$9,Paramètres!$A$1:$I$89,3,0)*VLOOKUP('Données projet'!$B$9,Paramètres!$A$1:$I$89,5,0)</f>
        <v>133.00559999999996</v>
      </c>
      <c r="P38" s="13">
        <f t="shared" si="33"/>
        <v>34.689938673073549</v>
      </c>
      <c r="Q38" s="20">
        <f t="shared" si="53"/>
        <v>292.06972985560304</v>
      </c>
      <c r="R38" s="59">
        <f t="shared" si="0"/>
        <v>572.98236303674662</v>
      </c>
      <c r="S38" s="59">
        <f ca="1">AVERAGE(OFFSET($R$3,0,0,'Données projet'!$E$9+1,1))-AVERAGE(OFFSET($H$3,0,0,'Données projet'!$E$9+1,1))</f>
        <v>467.10712490977266</v>
      </c>
      <c r="T38" s="59">
        <f t="shared" si="34"/>
        <v>282.99426855025968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66.612536322130083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3.8</v>
      </c>
      <c r="AH38" s="12">
        <f t="array" ref="AH38">INDEX(AG:AG,MIN(IF(ISNUMBER(AG38:AG234),ROW(AG38:AG234),"")))</f>
        <v>3.8</v>
      </c>
      <c r="AI38" s="13">
        <f>IF('Données projet'!$A$62&gt;35,AI37+AH38-AQ37,IF(A38&lt;'Données projet'!$A$62,$AF$205^A38,IF(A38='Données projet'!$A$62,'Données projet'!$B$62,AI37+AH38-AQ37)))</f>
        <v>116.00000000000001</v>
      </c>
      <c r="AJ38" s="13">
        <f>AI38*VLOOKUP('Données projet'!$B$10,Paramètres!$A$1:$I$89,3,0)*VLOOKUP('Données projet'!$B$10,Paramètres!$A$1:$I$89,5,0)</f>
        <v>110.38560000000001</v>
      </c>
      <c r="AK38" s="13">
        <f t="shared" si="35"/>
        <v>29.421816429201407</v>
      </c>
      <c r="AL38" s="20">
        <f t="shared" si="4"/>
        <v>243.49791694752579</v>
      </c>
      <c r="AM38" s="59">
        <f t="shared" si="5"/>
        <v>524.41055012866946</v>
      </c>
      <c r="AN38" s="59">
        <f ca="1">AVERAGE(OFFSET($AM$3,0,0,'Données projet'!$E$10+1,1))-AVERAGE(OFFSET($H$3,0,0,'Données projet'!$E$10+1,1))</f>
        <v>399.57236812003225</v>
      </c>
      <c r="AO38" s="59">
        <f t="shared" si="36"/>
        <v>245.95971136213691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66.612536322130083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330</v>
      </c>
      <c r="BB38" s="12">
        <f>VLOOKUP(A38,'Données projet'!$A$87:$I$107,9,0)</f>
        <v>21.8</v>
      </c>
      <c r="BC38" s="12">
        <f t="array" ref="BC38">INDEX(BB:BB,MIN(IF(ISNUMBER(BB38:BB234),ROW(BB38:BB234),"")))</f>
        <v>21.8</v>
      </c>
      <c r="BD38" s="12">
        <f>IF('Données projet'!$A$88&gt;35,BD37+BC38-BL37,IF(A38&lt;'Données projet'!$A$88,$BA$205^A38,IF(A38='Données projet'!$A$88,'Données projet'!$B$88,BD37+BC38-BL37)))</f>
        <v>330</v>
      </c>
      <c r="BE38" s="13">
        <f>BD38*VLOOKUP('Données projet'!$B$11,Paramètres!$A$1:$I$89,3,0)*VLOOKUP('Données projet'!$B$11,Paramètres!$A$1:$I$89,5,0)</f>
        <v>197.34000000000003</v>
      </c>
      <c r="BF38" s="13">
        <f t="shared" si="37"/>
        <v>49.15912547427002</v>
      </c>
      <c r="BG38" s="20">
        <f t="shared" si="7"/>
        <v>429.3193102010203</v>
      </c>
      <c r="BH38" s="59">
        <f t="shared" si="8"/>
        <v>710.23194338216399</v>
      </c>
      <c r="BI38" s="59">
        <f ca="1">AVERAGE(OFFSET($BH$3,0,0,'Données projet'!$E$11+1,1))-AVERAGE(OFFSET($H$3,0,0,'Données projet'!$E$11+1,1))</f>
        <v>352.88552266225872</v>
      </c>
      <c r="BJ38" s="59">
        <f t="shared" si="38"/>
        <v>403.29115295154782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56</v>
      </c>
      <c r="BM38" s="16">
        <f>IF(ISNA(VLOOKUP(A38,'Données projet'!$A$87:$I$107,5,0)),0%,VLOOKUP(A38,'Données projet'!$A$87:$I$107,5,0)*VLOOKUP('Données projet'!$B$11,Paramètres!$A$1:$I$89,7,0))</f>
        <v>0.18000000000000002</v>
      </c>
      <c r="BN38" s="16">
        <f>IF(ISNA(VLOOKUP(A38,'Données projet'!$A$87:$I$107,6,0)),0%,VLOOKUP(A38,'Données projet'!$A$87:$I$107,6,0)*VLOOKUP('Données projet'!$B$11,Paramètres!$A$1:$I$89,7,0))</f>
        <v>0.15300000000000002</v>
      </c>
      <c r="BO38" s="16">
        <f>IF(ISNA(VLOOKUP(A38,'Données projet'!$A$87:$I$107,7,0)),0%,VLOOKUP(A38,'Données projet'!$A$87:$I$107,7,0))</f>
        <v>0.26</v>
      </c>
      <c r="BP38" s="21">
        <f>EXP(-LN(2)/35)*BP37+(1-EXP(-LN(2)/35))/(LN(2)/35)*BL38*BM38*VLOOKUP('Données projet'!$B$11,Paramètres!$A$1:$I$89,3,0)*0.475*44/12</f>
        <v>23.321323740484402</v>
      </c>
      <c r="BQ38" s="21">
        <f>EXP(-LN(2)/25)*BQ37+(1-EXP(-LN(2)/25))/(LN(2)/25)*Calculateur!BL38*Calculateur!BN38*VLOOKUP('Données projet'!$B$11,Paramètres!$A$1:$I$89,3,0)*0.475*44/12</f>
        <v>24.828426257172534</v>
      </c>
      <c r="BR38" s="21">
        <f>EXP(-LN(2)/2)*BR37+(1-EXP(-LN(2)/2))/(LN(2)/2)*BL38*BO38*VLOOKUP('Données projet'!$B$11,Paramètres!$A$1:$I$89,3,0)*0.475*44/12</f>
        <v>12.04246227095792</v>
      </c>
      <c r="BS38" s="22">
        <f t="shared" si="9"/>
        <v>60.19221226861486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66.612536322130083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372</v>
      </c>
      <c r="BW38" s="12">
        <f>VLOOKUP(A38,'Données projet'!$A$113:$I$133,9,0)</f>
        <v>28.4</v>
      </c>
      <c r="BX38" s="12">
        <f t="array" ref="BX38">INDEX(BW:BW,MIN(IF(ISNUMBER(BW38:BW234),ROW(BW38:BW234),"")))</f>
        <v>28.4</v>
      </c>
      <c r="BY38" s="12">
        <f>IF('Données projet'!$A$114&gt;35,BY37+BX38-CG37,IF(A38&lt;'Données projet'!$A$114,$BV$205^A38,IF(A38='Données projet'!$A$114,'Données projet'!$B$114,BY37+BX38-CG37)))</f>
        <v>371.99999999999989</v>
      </c>
      <c r="BZ38" s="13">
        <f>BY38*VLOOKUP('Données projet'!$B$12,Paramètres!$A$1:$I$89,3,0)*VLOOKUP('Données projet'!$B$12,Paramètres!$A$1:$I$89,5,0)</f>
        <v>164.42399999999998</v>
      </c>
      <c r="CA38" s="13">
        <f t="shared" si="39"/>
        <v>41.838771477410191</v>
      </c>
      <c r="CB38" s="20">
        <f t="shared" si="10"/>
        <v>359.24099365648937</v>
      </c>
      <c r="CC38" s="59">
        <f t="shared" si="11"/>
        <v>640.15362683763306</v>
      </c>
      <c r="CD38" s="59">
        <f ca="1">AVERAGE(OFFSET($CC$3,0,0,'Données projet'!$E$12+1,1))-AVERAGE(OFFSET($H$3,0,0,'Données projet'!$E$12+1,1))</f>
        <v>297.1442218517625</v>
      </c>
      <c r="CE38" s="59">
        <f t="shared" si="40"/>
        <v>326.0112787126069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63</v>
      </c>
      <c r="CH38" s="16">
        <f>IF(ISNA(VLOOKUP(A38,'Données projet'!$A$113:$I$133,5,0)),0%,VLOOKUP(A38,'Données projet'!$A$113:$I$133,5,0)*VLOOKUP('Données projet'!$B$12,Paramètres!$A$1:$I$89,7,0))</f>
        <v>0.22000000000000003</v>
      </c>
      <c r="CI38" s="16">
        <f>IF(ISNA(VLOOKUP(A38,'Données projet'!$A$113:$I$133,6,0)),0%,VLOOKUP(A38,'Données projet'!$A$113:$I$133,6,0)*VLOOKUP('Données projet'!$B$12,Paramètres!$A$1:$I$89,7,0))</f>
        <v>0.18700000000000003</v>
      </c>
      <c r="CJ38" s="16">
        <f>IF(ISNA(VLOOKUP(A38,'Données projet'!$A$113:$I$133,7,0)),0%,VLOOKUP(A38,'Données projet'!$A$113:$I$133,7,0))</f>
        <v>0.26</v>
      </c>
      <c r="CK38" s="21">
        <f>EXP(-LN(2)/35)*CK37+(1-EXP(-LN(2)/35))/(LN(2)/35)*CG38*CH38*VLOOKUP('Données projet'!$B$12,Paramètres!$A$1:$I$89,3,0)*0.475*44/12</f>
        <v>21.924836636640574</v>
      </c>
      <c r="CL38" s="21">
        <f>EXP(-LN(2)/25)*CL37+(1-EXP(-LN(2)/25))/(LN(2)/25)*Calculateur!CG38*Calculateur!CI38*VLOOKUP('Données projet'!$B$12,Paramètres!$A$1:$I$89,3,0)*0.475*44/12</f>
        <v>21.712558044369299</v>
      </c>
      <c r="CM38" s="21">
        <f>EXP(-LN(2)/2)*CM37+(1-EXP(-LN(2)/2))/(LN(2)/2)*CG38*CJ38*VLOOKUP('Données projet'!$B$12,Paramètres!$A$1:$I$89,3,0)*0.475*44/12</f>
        <v>9.9808682714543071</v>
      </c>
      <c r="CN38" s="22">
        <f t="shared" si="12"/>
        <v>53.618262952464178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66.612536322130083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330</v>
      </c>
      <c r="CR38" s="12">
        <f>VLOOKUP(A38,'Données projet'!$A$139:$I$159,9,0)</f>
        <v>21.8</v>
      </c>
      <c r="CS38" s="12">
        <f t="array" ref="CS38">INDEX(CR:CR,MIN(IF(ISNUMBER(CR38:CR234),ROW(CR38:CR234),"")))</f>
        <v>21.8</v>
      </c>
      <c r="CT38" s="12">
        <f>IF('Données projet'!$A$140&gt;35,CT37+CS38-DB37,IF(A38&lt;'Données projet'!$A$140,$CQ$205^A38,IF(A38='Données projet'!$A$140,'Données projet'!$B$140,CT37+CS38-DB37)))</f>
        <v>330</v>
      </c>
      <c r="CU38" s="17">
        <f>CT38*VLOOKUP('Données projet'!$B$13,Paramètres!$A$1:$I$89,3,0)*VLOOKUP('Données projet'!$B$13,Paramètres!$A$1:$I$89,5,0)</f>
        <v>197.34000000000003</v>
      </c>
      <c r="CV38" s="13">
        <f t="shared" si="41"/>
        <v>49.15912547427002</v>
      </c>
      <c r="CW38" s="20">
        <f t="shared" si="13"/>
        <v>429.3193102010203</v>
      </c>
      <c r="CX38" s="59">
        <f t="shared" si="14"/>
        <v>710.23194338216399</v>
      </c>
      <c r="CY38" s="59">
        <f ca="1">AVERAGE(OFFSET($CX$3,0,0,'Données projet'!$E$13+1,1))-AVERAGE(OFFSET($H$3,0,0,'Données projet'!$E$13+1,1))</f>
        <v>352.88552266225872</v>
      </c>
      <c r="CZ38" s="59">
        <f t="shared" si="42"/>
        <v>403.29115295154782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56</v>
      </c>
      <c r="DC38" s="16">
        <f>IF(ISNA(VLOOKUP(A38,'Données projet'!$A$139:$I$159,5,0)),0%,VLOOKUP(A38,'Données projet'!$A$139:$I$159,5,0)*VLOOKUP('Données projet'!$B$13,Paramètres!$A$1:$I$89,7,0))</f>
        <v>0.18000000000000002</v>
      </c>
      <c r="DD38" s="16">
        <f>IF(ISNA(VLOOKUP(A38,'Données projet'!$A$139:$I$159,6,0)),0%,VLOOKUP(A38,'Données projet'!$A$139:$I$159,6,0)*VLOOKUP('Données projet'!$B$13,Paramètres!$A$1:$I$89,7,0))</f>
        <v>0.15300000000000002</v>
      </c>
      <c r="DE38" s="16">
        <f>IF(ISNA(VLOOKUP(A38,'Données projet'!$A$139:$I$159,7,0)),0%,VLOOKUP(A38,'Données projet'!$A$139:$I$159,7,0))</f>
        <v>0.26</v>
      </c>
      <c r="DF38" s="21">
        <f>EXP(-LN(2)/35)*DF37+(1-EXP(-LN(2)/35))/(LN(2)/35)*DB38*DC38*VLOOKUP('Données projet'!$B$13,Paramètres!$A$1:$I$89,3,0)*0.475*44/12</f>
        <v>23.321323740484402</v>
      </c>
      <c r="DG38" s="21">
        <f>EXP(-LN(2)/25)*DG37+(1-EXP(-LN(2)/25))/(LN(2)/25)*Calculateur!DB38*Calculateur!DD38*VLOOKUP('Données projet'!$B$13,Paramètres!$A$1:$I$89,3,0)*0.475*44/12</f>
        <v>24.828426257172534</v>
      </c>
      <c r="DH38" s="21">
        <f>EXP(-LN(2)/2)*DH37+(1-EXP(-LN(2)/2))/(LN(2)/2)*DB38*DE38*VLOOKUP('Données projet'!$B$13,Paramètres!$A$1:$I$89,3,0)*0.475*44/12</f>
        <v>12.04246227095792</v>
      </c>
      <c r="DI38" s="22">
        <f t="shared" si="15"/>
        <v>60.19221226861486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66.612536322130083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66.612536322130083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66.612536322130083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66.612536322130083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66.612536322130083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1.25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4.583333333333333</v>
      </c>
      <c r="H39" s="67">
        <f t="shared" si="1"/>
        <v>238.33333333333334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66.671301243706893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130.19999999999993</v>
      </c>
      <c r="O39" s="13">
        <f>N39*VLOOKUP('Données projet'!$B$9,Paramètres!$A$1:$I$89,3,0)*VLOOKUP('Données projet'!$B$9,Paramètres!$A$1:$I$89,5,0)</f>
        <v>117.80495999999992</v>
      </c>
      <c r="P39" s="13">
        <f t="shared" si="33"/>
        <v>31.162493487829565</v>
      </c>
      <c r="Q39" s="20">
        <f t="shared" si="53"/>
        <v>259.45164815796966</v>
      </c>
      <c r="R39" s="59">
        <f t="shared" si="0"/>
        <v>540.57975271822829</v>
      </c>
      <c r="S39" s="59">
        <f ca="1">AVERAGE(OFFSET($R$3,0,0,'Données projet'!$E$9+1,1))-AVERAGE(OFFSET($H$3,0,0,'Données projet'!$E$9+1,1))</f>
        <v>467.10712490977266</v>
      </c>
      <c r="T39" s="59">
        <f t="shared" si="34"/>
        <v>282.99426855025968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66.671301243706893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103.40000000000002</v>
      </c>
      <c r="AJ39" s="13">
        <f>AI39*VLOOKUP('Données projet'!$B$10,Paramètres!$A$1:$I$89,3,0)*VLOOKUP('Données projet'!$B$10,Paramètres!$A$1:$I$89,5,0)</f>
        <v>98.395440000000022</v>
      </c>
      <c r="AK39" s="13">
        <f t="shared" si="35"/>
        <v>26.57937412584554</v>
      </c>
      <c r="AL39" s="20">
        <f t="shared" si="4"/>
        <v>217.66446793584771</v>
      </c>
      <c r="AM39" s="59">
        <f t="shared" si="5"/>
        <v>498.79257249610629</v>
      </c>
      <c r="AN39" s="59">
        <f ca="1">AVERAGE(OFFSET($AM$3,0,0,'Données projet'!$E$10+1,1))-AVERAGE(OFFSET($H$3,0,0,'Données projet'!$E$10+1,1))</f>
        <v>399.57236812003225</v>
      </c>
      <c r="AO39" s="59">
        <f t="shared" si="36"/>
        <v>245.95971136213691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66.671301243706893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21</v>
      </c>
      <c r="BD39" s="12">
        <f>IF('Données projet'!$A$88&gt;35,BD38+BC39-BL38,IF(A39&lt;'Données projet'!$A$88,$BA$205^A39,IF(A39='Données projet'!$A$88,'Données projet'!$B$88,BD38+BC39-BL38)))</f>
        <v>295</v>
      </c>
      <c r="BE39" s="13">
        <f>BD39*VLOOKUP('Données projet'!$B$11,Paramètres!$A$1:$I$89,3,0)*VLOOKUP('Données projet'!$B$11,Paramètres!$A$1:$I$89,5,0)</f>
        <v>176.41000000000003</v>
      </c>
      <c r="BF39" s="13">
        <f t="shared" si="37"/>
        <v>44.522543239204609</v>
      </c>
      <c r="BG39" s="20">
        <f t="shared" si="7"/>
        <v>384.79084614161474</v>
      </c>
      <c r="BH39" s="59">
        <f t="shared" si="8"/>
        <v>665.91895070187331</v>
      </c>
      <c r="BI39" s="59">
        <f ca="1">AVERAGE(OFFSET($BH$3,0,0,'Données projet'!$E$11+1,1))-AVERAGE(OFFSET($H$3,0,0,'Données projet'!$E$11+1,1))</f>
        <v>352.88552266225872</v>
      </c>
      <c r="BJ39" s="59">
        <f t="shared" si="38"/>
        <v>403.29115295154782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22.864006806536423</v>
      </c>
      <c r="BQ39" s="21">
        <f>EXP(-LN(2)/25)*BQ38+(1-EXP(-LN(2)/25))/(LN(2)/25)*Calculateur!BL39*Calculateur!BN39*VLOOKUP('Données projet'!$B$11,Paramètres!$A$1:$I$89,3,0)*0.475*44/12</f>
        <v>24.14949163549996</v>
      </c>
      <c r="BR39" s="21">
        <f>EXP(-LN(2)/2)*BR38+(1-EXP(-LN(2)/2))/(LN(2)/2)*BL39*BO39*VLOOKUP('Données projet'!$B$11,Paramètres!$A$1:$I$89,3,0)*0.475*44/12</f>
        <v>8.5153067339774964</v>
      </c>
      <c r="BS39" s="22">
        <f t="shared" si="9"/>
        <v>55.528805176013876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66.671301243706893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27</v>
      </c>
      <c r="BY39" s="12">
        <f>IF('Données projet'!$A$114&gt;35,BY38+BX39-CG38,IF(A39&lt;'Données projet'!$A$114,$BV$205^A39,IF(A39='Données projet'!$A$114,'Données projet'!$B$114,BY38+BX39-CG38)))</f>
        <v>335.99999999999989</v>
      </c>
      <c r="BZ39" s="13">
        <f>BY39*VLOOKUP('Données projet'!$B$12,Paramètres!$A$1:$I$89,3,0)*VLOOKUP('Données projet'!$B$12,Paramètres!$A$1:$I$89,5,0)</f>
        <v>148.51199999999997</v>
      </c>
      <c r="CA39" s="13">
        <f t="shared" si="39"/>
        <v>38.240236326053513</v>
      </c>
      <c r="CB39" s="20">
        <f t="shared" si="10"/>
        <v>325.26014493454312</v>
      </c>
      <c r="CC39" s="59">
        <f t="shared" si="11"/>
        <v>606.3882494948017</v>
      </c>
      <c r="CD39" s="59">
        <f ca="1">AVERAGE(OFFSET($CC$3,0,0,'Données projet'!$E$12+1,1))-AVERAGE(OFFSET($H$3,0,0,'Données projet'!$E$12+1,1))</f>
        <v>297.1442218517625</v>
      </c>
      <c r="CE39" s="59">
        <f t="shared" si="40"/>
        <v>326.0112787126069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21.494903963025944</v>
      </c>
      <c r="CL39" s="21">
        <f>EXP(-LN(2)/25)*CL38+(1-EXP(-LN(2)/25))/(LN(2)/25)*Calculateur!CG39*Calculateur!CI39*VLOOKUP('Données projet'!$B$12,Paramètres!$A$1:$I$89,3,0)*0.475*44/12</f>
        <v>21.118827002832219</v>
      </c>
      <c r="CM39" s="21">
        <f>EXP(-LN(2)/2)*CM38+(1-EXP(-LN(2)/2))/(LN(2)/2)*CG39*CJ39*VLOOKUP('Données projet'!$B$12,Paramètres!$A$1:$I$89,3,0)*0.475*44/12</f>
        <v>7.0575396368749956</v>
      </c>
      <c r="CN39" s="22">
        <f t="shared" si="12"/>
        <v>49.671270602733159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66.671301243706893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21</v>
      </c>
      <c r="CT39" s="12">
        <f>IF('Données projet'!$A$140&gt;35,CT38+CS39-DB38,IF(A39&lt;'Données projet'!$A$140,$CQ$205^A39,IF(A39='Données projet'!$A$140,'Données projet'!$B$140,CT38+CS39-DB38)))</f>
        <v>295</v>
      </c>
      <c r="CU39" s="17">
        <f>CT39*VLOOKUP('Données projet'!$B$13,Paramètres!$A$1:$I$89,3,0)*VLOOKUP('Données projet'!$B$13,Paramètres!$A$1:$I$89,5,0)</f>
        <v>176.41000000000003</v>
      </c>
      <c r="CV39" s="13">
        <f t="shared" si="41"/>
        <v>44.522543239204609</v>
      </c>
      <c r="CW39" s="20">
        <f t="shared" si="13"/>
        <v>384.79084614161474</v>
      </c>
      <c r="CX39" s="59">
        <f t="shared" si="14"/>
        <v>665.91895070187331</v>
      </c>
      <c r="CY39" s="59">
        <f ca="1">AVERAGE(OFFSET($CX$3,0,0,'Données projet'!$E$13+1,1))-AVERAGE(OFFSET($H$3,0,0,'Données projet'!$E$13+1,1))</f>
        <v>352.88552266225872</v>
      </c>
      <c r="CZ39" s="59">
        <f t="shared" si="42"/>
        <v>403.29115295154782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22.864006806536423</v>
      </c>
      <c r="DG39" s="21">
        <f>EXP(-LN(2)/25)*DG38+(1-EXP(-LN(2)/25))/(LN(2)/25)*Calculateur!DB39*Calculateur!DD39*VLOOKUP('Données projet'!$B$13,Paramètres!$A$1:$I$89,3,0)*0.475*44/12</f>
        <v>24.14949163549996</v>
      </c>
      <c r="DH39" s="21">
        <f>EXP(-LN(2)/2)*DH38+(1-EXP(-LN(2)/2))/(LN(2)/2)*DB39*DE39*VLOOKUP('Données projet'!$B$13,Paramètres!$A$1:$I$89,3,0)*0.475*44/12</f>
        <v>8.5153067339774964</v>
      </c>
      <c r="DI39" s="22">
        <f t="shared" si="15"/>
        <v>55.528805176013876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66.671301243706893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66.671301243706893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66.671301243706893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66.671301243706893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66.671301243706893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1.25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4.583333333333333</v>
      </c>
      <c r="H40" s="67">
        <f t="shared" si="1"/>
        <v>238.33333333333334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66.729046725273037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141.39999999999992</v>
      </c>
      <c r="O40" s="13">
        <f>N40*VLOOKUP('Données projet'!$B$9,Paramètres!$A$1:$I$89,3,0)*VLOOKUP('Données projet'!$B$9,Paramètres!$A$1:$I$89,5,0)</f>
        <v>127.93871999999992</v>
      </c>
      <c r="P40" s="13">
        <f t="shared" si="33"/>
        <v>33.519615889545612</v>
      </c>
      <c r="Q40" s="20">
        <f t="shared" si="53"/>
        <v>281.20660167429179</v>
      </c>
      <c r="R40" s="59">
        <f t="shared" si="0"/>
        <v>562.5464396669596</v>
      </c>
      <c r="S40" s="59">
        <f ca="1">AVERAGE(OFFSET($R$3,0,0,'Données projet'!$E$9+1,1))-AVERAGE(OFFSET($H$3,0,0,'Données projet'!$E$9+1,1))</f>
        <v>467.10712490977266</v>
      </c>
      <c r="T40" s="59">
        <f t="shared" si="34"/>
        <v>282.99426855025968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66.729046725273037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111.80000000000003</v>
      </c>
      <c r="AJ40" s="13">
        <f>AI40*VLOOKUP('Données projet'!$B$10,Paramètres!$A$1:$I$89,3,0)*VLOOKUP('Données projet'!$B$10,Paramètres!$A$1:$I$89,5,0)</f>
        <v>106.38888000000001</v>
      </c>
      <c r="AK40" s="13">
        <f t="shared" si="35"/>
        <v>28.478530760975403</v>
      </c>
      <c r="AL40" s="20">
        <f t="shared" si="4"/>
        <v>234.89407374203219</v>
      </c>
      <c r="AM40" s="59">
        <f t="shared" si="5"/>
        <v>516.23391173469997</v>
      </c>
      <c r="AN40" s="59">
        <f ca="1">AVERAGE(OFFSET($AM$3,0,0,'Données projet'!$E$10+1,1))-AVERAGE(OFFSET($H$3,0,0,'Données projet'!$E$10+1,1))</f>
        <v>399.57236812003225</v>
      </c>
      <c r="AO40" s="59">
        <f t="shared" si="36"/>
        <v>245.95971136213691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66.729046725273037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21</v>
      </c>
      <c r="BD40" s="12">
        <f>IF('Données projet'!$A$88&gt;35,BD39+BC40-BL39,IF(A40&lt;'Données projet'!$A$88,$BA$205^A40,IF(A40='Données projet'!$A$88,'Données projet'!$B$88,BD39+BC40-BL39)))</f>
        <v>316</v>
      </c>
      <c r="BE40" s="13">
        <f>BD40*VLOOKUP('Données projet'!$B$11,Paramètres!$A$1:$I$89,3,0)*VLOOKUP('Données projet'!$B$11,Paramètres!$A$1:$I$89,5,0)</f>
        <v>188.96800000000002</v>
      </c>
      <c r="BF40" s="13">
        <f t="shared" si="37"/>
        <v>47.311720031947068</v>
      </c>
      <c r="BG40" s="20">
        <f t="shared" si="7"/>
        <v>411.52051238897451</v>
      </c>
      <c r="BH40" s="59">
        <f t="shared" si="8"/>
        <v>692.86035038164232</v>
      </c>
      <c r="BI40" s="59">
        <f ca="1">AVERAGE(OFFSET($BH$3,0,0,'Données projet'!$E$11+1,1))-AVERAGE(OFFSET($H$3,0,0,'Données projet'!$E$11+1,1))</f>
        <v>352.88552266225872</v>
      </c>
      <c r="BJ40" s="59">
        <f t="shared" si="38"/>
        <v>403.29115295154782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22.415657578727377</v>
      </c>
      <c r="BQ40" s="21">
        <f>EXP(-LN(2)/25)*BQ39+(1-EXP(-LN(2)/25))/(LN(2)/25)*Calculateur!BL40*Calculateur!BN40*VLOOKUP('Données projet'!$B$11,Paramètres!$A$1:$I$89,3,0)*0.475*44/12</f>
        <v>23.489122516760641</v>
      </c>
      <c r="BR40" s="21">
        <f>EXP(-LN(2)/2)*BR39+(1-EXP(-LN(2)/2))/(LN(2)/2)*BL40*BO40*VLOOKUP('Données projet'!$B$11,Paramètres!$A$1:$I$89,3,0)*0.475*44/12</f>
        <v>6.0212311354789607</v>
      </c>
      <c r="BS40" s="22">
        <f t="shared" si="9"/>
        <v>51.926011230966985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66.729046725273037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27</v>
      </c>
      <c r="BY40" s="12">
        <f>IF('Données projet'!$A$114&gt;35,BY39+BX40-CG39,IF(A40&lt;'Données projet'!$A$114,$BV$205^A40,IF(A40='Données projet'!$A$114,'Données projet'!$B$114,BY39+BX40-CG39)))</f>
        <v>362.99999999999989</v>
      </c>
      <c r="BZ40" s="13">
        <f>BY40*VLOOKUP('Données projet'!$B$12,Paramètres!$A$1:$I$89,3,0)*VLOOKUP('Données projet'!$B$12,Paramètres!$A$1:$I$89,5,0)</f>
        <v>160.44599999999997</v>
      </c>
      <c r="CA40" s="13">
        <f t="shared" si="39"/>
        <v>40.943095648505754</v>
      </c>
      <c r="CB40" s="20">
        <f t="shared" si="10"/>
        <v>350.7526749211475</v>
      </c>
      <c r="CC40" s="59">
        <f t="shared" si="11"/>
        <v>632.09251291381531</v>
      </c>
      <c r="CD40" s="59">
        <f ca="1">AVERAGE(OFFSET($CC$3,0,0,'Données projet'!$E$12+1,1))-AVERAGE(OFFSET($H$3,0,0,'Données projet'!$E$12+1,1))</f>
        <v>297.1442218517625</v>
      </c>
      <c r="CE40" s="59">
        <f t="shared" si="40"/>
        <v>326.0112787126069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21.073402006907859</v>
      </c>
      <c r="CL40" s="21">
        <f>EXP(-LN(2)/25)*CL39+(1-EXP(-LN(2)/25))/(LN(2)/25)*Calculateur!CG40*Calculateur!CI40*VLOOKUP('Données projet'!$B$12,Paramètres!$A$1:$I$89,3,0)*0.475*44/12</f>
        <v>20.541331567848928</v>
      </c>
      <c r="CM40" s="21">
        <f>EXP(-LN(2)/2)*CM39+(1-EXP(-LN(2)/2))/(LN(2)/2)*CG40*CJ40*VLOOKUP('Données projet'!$B$12,Paramètres!$A$1:$I$89,3,0)*0.475*44/12</f>
        <v>4.9904341357271536</v>
      </c>
      <c r="CN40" s="22">
        <f t="shared" si="12"/>
        <v>46.60516771048394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66.729046725273037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21</v>
      </c>
      <c r="CT40" s="12">
        <f>IF('Données projet'!$A$140&gt;35,CT39+CS40-DB39,IF(A40&lt;'Données projet'!$A$140,$CQ$205^A40,IF(A40='Données projet'!$A$140,'Données projet'!$B$140,CT39+CS40-DB39)))</f>
        <v>316</v>
      </c>
      <c r="CU40" s="17">
        <f>CT40*VLOOKUP('Données projet'!$B$13,Paramètres!$A$1:$I$89,3,0)*VLOOKUP('Données projet'!$B$13,Paramètres!$A$1:$I$89,5,0)</f>
        <v>188.96800000000002</v>
      </c>
      <c r="CV40" s="13">
        <f t="shared" si="41"/>
        <v>47.311720031947068</v>
      </c>
      <c r="CW40" s="20">
        <f t="shared" si="13"/>
        <v>411.52051238897451</v>
      </c>
      <c r="CX40" s="59">
        <f t="shared" si="14"/>
        <v>692.86035038164232</v>
      </c>
      <c r="CY40" s="59">
        <f ca="1">AVERAGE(OFFSET($CX$3,0,0,'Données projet'!$E$13+1,1))-AVERAGE(OFFSET($H$3,0,0,'Données projet'!$E$13+1,1))</f>
        <v>352.88552266225872</v>
      </c>
      <c r="CZ40" s="59">
        <f t="shared" si="42"/>
        <v>403.29115295154782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22.415657578727377</v>
      </c>
      <c r="DG40" s="21">
        <f>EXP(-LN(2)/25)*DG39+(1-EXP(-LN(2)/25))/(LN(2)/25)*Calculateur!DB40*Calculateur!DD40*VLOOKUP('Données projet'!$B$13,Paramètres!$A$1:$I$89,3,0)*0.475*44/12</f>
        <v>23.489122516760641</v>
      </c>
      <c r="DH40" s="21">
        <f>EXP(-LN(2)/2)*DH39+(1-EXP(-LN(2)/2))/(LN(2)/2)*DB40*DE40*VLOOKUP('Données projet'!$B$13,Paramètres!$A$1:$I$89,3,0)*0.475*44/12</f>
        <v>6.0212311354789607</v>
      </c>
      <c r="DI40" s="22">
        <f t="shared" si="15"/>
        <v>51.926011230966985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66.729046725273037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66.729046725273037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66.729046725273037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66.729046725273037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66.729046725273037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1.25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4.583333333333333</v>
      </c>
      <c r="H41" s="67">
        <f t="shared" si="1"/>
        <v>238.33333333333334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66.785790451833549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152.59999999999991</v>
      </c>
      <c r="O41" s="13">
        <f>N41*VLOOKUP('Données projet'!$B$9,Paramètres!$A$1:$I$89,3,0)*VLOOKUP('Données projet'!$B$9,Paramètres!$A$1:$I$89,5,0)</f>
        <v>138.0724799999999</v>
      </c>
      <c r="P41" s="13">
        <f t="shared" si="33"/>
        <v>35.855082076777961</v>
      </c>
      <c r="Q41" s="20">
        <f t="shared" si="53"/>
        <v>302.92383728372141</v>
      </c>
      <c r="R41" s="59">
        <f t="shared" si="0"/>
        <v>584.4717356071111</v>
      </c>
      <c r="S41" s="59">
        <f ca="1">AVERAGE(OFFSET($R$3,0,0,'Données projet'!$E$9+1,1))-AVERAGE(OFFSET($H$3,0,0,'Données projet'!$E$9+1,1))</f>
        <v>467.10712490977266</v>
      </c>
      <c r="T41" s="59">
        <f t="shared" si="34"/>
        <v>282.99426855025968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66.785790451833549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120.20000000000003</v>
      </c>
      <c r="AJ41" s="13">
        <f>AI41*VLOOKUP('Données projet'!$B$10,Paramètres!$A$1:$I$89,3,0)*VLOOKUP('Données projet'!$B$10,Paramètres!$A$1:$I$89,5,0)</f>
        <v>114.38232000000004</v>
      </c>
      <c r="AK41" s="13">
        <f t="shared" si="35"/>
        <v>30.361134085955022</v>
      </c>
      <c r="AL41" s="20">
        <f t="shared" si="4"/>
        <v>252.09484919970501</v>
      </c>
      <c r="AM41" s="59">
        <f t="shared" si="5"/>
        <v>533.64274752309473</v>
      </c>
      <c r="AN41" s="59">
        <f ca="1">AVERAGE(OFFSET($AM$3,0,0,'Données projet'!$E$10+1,1))-AVERAGE(OFFSET($H$3,0,0,'Données projet'!$E$10+1,1))</f>
        <v>399.57236812003225</v>
      </c>
      <c r="AO41" s="59">
        <f t="shared" si="36"/>
        <v>245.95971136213691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66.785790451833549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21</v>
      </c>
      <c r="BD41" s="12">
        <f>IF('Données projet'!$A$88&gt;35,BD40+BC41-BL40,IF(A41&lt;'Données projet'!$A$88,$BA$205^A41,IF(A41='Données projet'!$A$88,'Données projet'!$B$88,BD40+BC41-BL40)))</f>
        <v>337</v>
      </c>
      <c r="BE41" s="13">
        <f>BD41*VLOOKUP('Données projet'!$B$11,Paramètres!$A$1:$I$89,3,0)*VLOOKUP('Données projet'!$B$11,Paramètres!$A$1:$I$89,5,0)</f>
        <v>201.52600000000001</v>
      </c>
      <c r="BF41" s="13">
        <f t="shared" si="37"/>
        <v>50.079387833316794</v>
      </c>
      <c r="BG41" s="20">
        <f t="shared" si="7"/>
        <v>438.21271714302679</v>
      </c>
      <c r="BH41" s="59">
        <f t="shared" si="8"/>
        <v>719.76061546641654</v>
      </c>
      <c r="BI41" s="59">
        <f ca="1">AVERAGE(OFFSET($BH$3,0,0,'Données projet'!$E$11+1,1))-AVERAGE(OFFSET($H$3,0,0,'Données projet'!$E$11+1,1))</f>
        <v>352.88552266225872</v>
      </c>
      <c r="BJ41" s="59">
        <f t="shared" si="38"/>
        <v>403.29115295154782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21.976100205809637</v>
      </c>
      <c r="BQ41" s="21">
        <f>EXP(-LN(2)/25)*BQ40+(1-EXP(-LN(2)/25))/(LN(2)/25)*Calculateur!BL41*Calculateur!BN41*VLOOKUP('Données projet'!$B$11,Paramètres!$A$1:$I$89,3,0)*0.475*44/12</f>
        <v>22.846811226300552</v>
      </c>
      <c r="BR41" s="21">
        <f>EXP(-LN(2)/2)*BR40+(1-EXP(-LN(2)/2))/(LN(2)/2)*BL41*BO41*VLOOKUP('Données projet'!$B$11,Paramètres!$A$1:$I$89,3,0)*0.475*44/12</f>
        <v>4.2576533669887491</v>
      </c>
      <c r="BS41" s="22">
        <f t="shared" si="9"/>
        <v>49.080564799098937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66.785790451833549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27</v>
      </c>
      <c r="BY41" s="12">
        <f>IF('Données projet'!$A$114&gt;35,BY40+BX41-CG40,IF(A41&lt;'Données projet'!$A$114,$BV$205^A41,IF(A41='Données projet'!$A$114,'Données projet'!$B$114,BY40+BX41-CG40)))</f>
        <v>389.99999999999989</v>
      </c>
      <c r="BZ41" s="13">
        <f>BY41*VLOOKUP('Données projet'!$B$12,Paramètres!$A$1:$I$89,3,0)*VLOOKUP('Données projet'!$B$12,Paramètres!$A$1:$I$89,5,0)</f>
        <v>172.37999999999997</v>
      </c>
      <c r="CA41" s="13">
        <f t="shared" si="39"/>
        <v>43.622632337547088</v>
      </c>
      <c r="CB41" s="20">
        <f t="shared" si="10"/>
        <v>376.20458465456113</v>
      </c>
      <c r="CC41" s="59">
        <f t="shared" si="11"/>
        <v>657.75248297795088</v>
      </c>
      <c r="CD41" s="59">
        <f ca="1">AVERAGE(OFFSET($CC$3,0,0,'Données projet'!$E$12+1,1))-AVERAGE(OFFSET($H$3,0,0,'Données projet'!$E$12+1,1))</f>
        <v>297.1442218517625</v>
      </c>
      <c r="CE41" s="59">
        <f t="shared" si="40"/>
        <v>326.0112787126069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20.660165447058443</v>
      </c>
      <c r="CL41" s="21">
        <f>EXP(-LN(2)/25)*CL40+(1-EXP(-LN(2)/25))/(LN(2)/25)*Calculateur!CG41*Calculateur!CI41*VLOOKUP('Données projet'!$B$12,Paramètres!$A$1:$I$89,3,0)*0.475*44/12</f>
        <v>19.979627775904419</v>
      </c>
      <c r="CM41" s="21">
        <f>EXP(-LN(2)/2)*CM40+(1-EXP(-LN(2)/2))/(LN(2)/2)*CG41*CJ41*VLOOKUP('Données projet'!$B$12,Paramètres!$A$1:$I$89,3,0)*0.475*44/12</f>
        <v>3.5287698184374978</v>
      </c>
      <c r="CN41" s="22">
        <f t="shared" si="12"/>
        <v>44.168563041400361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66.785790451833549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21</v>
      </c>
      <c r="CT41" s="12">
        <f>IF('Données projet'!$A$140&gt;35,CT40+CS41-DB40,IF(A41&lt;'Données projet'!$A$140,$CQ$205^A41,IF(A41='Données projet'!$A$140,'Données projet'!$B$140,CT40+CS41-DB40)))</f>
        <v>337</v>
      </c>
      <c r="CU41" s="17">
        <f>CT41*VLOOKUP('Données projet'!$B$13,Paramètres!$A$1:$I$89,3,0)*VLOOKUP('Données projet'!$B$13,Paramètres!$A$1:$I$89,5,0)</f>
        <v>201.52600000000001</v>
      </c>
      <c r="CV41" s="13">
        <f t="shared" si="41"/>
        <v>50.079387833316794</v>
      </c>
      <c r="CW41" s="20">
        <f t="shared" si="13"/>
        <v>438.21271714302679</v>
      </c>
      <c r="CX41" s="59">
        <f t="shared" si="14"/>
        <v>719.76061546641654</v>
      </c>
      <c r="CY41" s="59">
        <f ca="1">AVERAGE(OFFSET($CX$3,0,0,'Données projet'!$E$13+1,1))-AVERAGE(OFFSET($H$3,0,0,'Données projet'!$E$13+1,1))</f>
        <v>352.88552266225872</v>
      </c>
      <c r="CZ41" s="59">
        <f t="shared" si="42"/>
        <v>403.29115295154782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21.976100205809637</v>
      </c>
      <c r="DG41" s="21">
        <f>EXP(-LN(2)/25)*DG40+(1-EXP(-LN(2)/25))/(LN(2)/25)*Calculateur!DB41*Calculateur!DD41*VLOOKUP('Données projet'!$B$13,Paramètres!$A$1:$I$89,3,0)*0.475*44/12</f>
        <v>22.846811226300552</v>
      </c>
      <c r="DH41" s="21">
        <f>EXP(-LN(2)/2)*DH40+(1-EXP(-LN(2)/2))/(LN(2)/2)*DB41*DE41*VLOOKUP('Données projet'!$B$13,Paramètres!$A$1:$I$89,3,0)*0.475*44/12</f>
        <v>4.2576533669887491</v>
      </c>
      <c r="DI41" s="22">
        <f t="shared" si="15"/>
        <v>49.080564799098937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66.785790451833549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66.785790451833549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66.785790451833549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66.785790451833549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66.785790451833549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1.25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4.583333333333333</v>
      </c>
      <c r="H42" s="67">
        <f t="shared" si="1"/>
        <v>238.33333333333334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66.841549801598219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163.7999999999999</v>
      </c>
      <c r="O42" s="13">
        <f>N42*VLOOKUP('Données projet'!$B$9,Paramètres!$A$1:$I$89,3,0)*VLOOKUP('Données projet'!$B$9,Paramètres!$A$1:$I$89,5,0)</f>
        <v>148.20623999999989</v>
      </c>
      <c r="P42" s="13">
        <f t="shared" si="33"/>
        <v>38.170662245893759</v>
      </c>
      <c r="Q42" s="20">
        <f t="shared" si="53"/>
        <v>324.60643807826477</v>
      </c>
      <c r="R42" s="59">
        <f t="shared" si="0"/>
        <v>606.35878735079154</v>
      </c>
      <c r="S42" s="59">
        <f ca="1">AVERAGE(OFFSET($R$3,0,0,'Données projet'!$E$9+1,1))-AVERAGE(OFFSET($H$3,0,0,'Données projet'!$E$9+1,1))</f>
        <v>467.10712490977266</v>
      </c>
      <c r="T42" s="59">
        <f t="shared" si="34"/>
        <v>282.99426855025968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66.841549801598219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122.37576000000003</v>
      </c>
      <c r="AK42" s="13">
        <f t="shared" si="35"/>
        <v>32.22847248868726</v>
      </c>
      <c r="AL42" s="20">
        <f t="shared" si="4"/>
        <v>269.26903825113033</v>
      </c>
      <c r="AM42" s="59">
        <f t="shared" si="5"/>
        <v>551.02138752365715</v>
      </c>
      <c r="AN42" s="59">
        <f ca="1">AVERAGE(OFFSET($AM$3,0,0,'Données projet'!$E$10+1,1))-AVERAGE(OFFSET($H$3,0,0,'Données projet'!$E$10+1,1))</f>
        <v>399.57236812003225</v>
      </c>
      <c r="AO42" s="59">
        <f t="shared" si="36"/>
        <v>245.95971136213691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66.841549801598219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21</v>
      </c>
      <c r="BD42" s="12">
        <f>IF('Données projet'!$A$88&gt;35,BD41+BC42-BL41,IF(A42&lt;'Données projet'!$A$88,$BA$205^A42,IF(A42='Données projet'!$A$88,'Données projet'!$B$88,BD41+BC42-BL41)))</f>
        <v>358</v>
      </c>
      <c r="BE42" s="13">
        <f>BD42*VLOOKUP('Données projet'!$B$11,Paramètres!$A$1:$I$89,3,0)*VLOOKUP('Données projet'!$B$11,Paramètres!$A$1:$I$89,5,0)</f>
        <v>214.084</v>
      </c>
      <c r="BF42" s="13">
        <f t="shared" si="37"/>
        <v>52.827039557879814</v>
      </c>
      <c r="BG42" s="20">
        <f t="shared" si="7"/>
        <v>464.87006056330733</v>
      </c>
      <c r="BH42" s="59">
        <f t="shared" si="8"/>
        <v>746.62240983583411</v>
      </c>
      <c r="BI42" s="59">
        <f ca="1">AVERAGE(OFFSET($BH$3,0,0,'Données projet'!$E$11+1,1))-AVERAGE(OFFSET($H$3,0,0,'Données projet'!$E$11+1,1))</f>
        <v>352.88552266225872</v>
      </c>
      <c r="BJ42" s="59">
        <f t="shared" si="38"/>
        <v>403.29115295154782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21.545162284871292</v>
      </c>
      <c r="BQ42" s="21">
        <f>EXP(-LN(2)/25)*BQ41+(1-EXP(-LN(2)/25))/(LN(2)/25)*Calculateur!BL42*Calculateur!BN42*VLOOKUP('Données projet'!$B$11,Paramètres!$A$1:$I$89,3,0)*0.475*44/12</f>
        <v>22.222063971855778</v>
      </c>
      <c r="BR42" s="21">
        <f>EXP(-LN(2)/2)*BR41+(1-EXP(-LN(2)/2))/(LN(2)/2)*BL42*BO42*VLOOKUP('Données projet'!$B$11,Paramètres!$A$1:$I$89,3,0)*0.475*44/12</f>
        <v>3.0106155677394808</v>
      </c>
      <c r="BS42" s="22">
        <f t="shared" si="9"/>
        <v>46.777841824466549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66.841549801598219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27</v>
      </c>
      <c r="BY42" s="12">
        <f>IF('Données projet'!$A$114&gt;35,BY41+BX42-CG41,IF(A42&lt;'Données projet'!$A$114,$BV$205^A42,IF(A42='Données projet'!$A$114,'Données projet'!$B$114,BY41+BX42-CG41)))</f>
        <v>416.99999999999989</v>
      </c>
      <c r="BZ42" s="13">
        <f>BY42*VLOOKUP('Données projet'!$B$12,Paramètres!$A$1:$I$89,3,0)*VLOOKUP('Données projet'!$B$12,Paramètres!$A$1:$I$89,5,0)</f>
        <v>184.31399999999996</v>
      </c>
      <c r="CA42" s="13">
        <f t="shared" si="39"/>
        <v>46.280644710399315</v>
      </c>
      <c r="CB42" s="20">
        <f t="shared" si="10"/>
        <v>401.61900620394539</v>
      </c>
      <c r="CC42" s="59">
        <f t="shared" si="11"/>
        <v>683.37135547647222</v>
      </c>
      <c r="CD42" s="59">
        <f ca="1">AVERAGE(OFFSET($CC$3,0,0,'Données projet'!$E$12+1,1))-AVERAGE(OFFSET($H$3,0,0,'Données projet'!$E$12+1,1))</f>
        <v>297.1442218517625</v>
      </c>
      <c r="CE42" s="59">
        <f t="shared" si="40"/>
        <v>326.0112787126069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20.25503220409826</v>
      </c>
      <c r="CL42" s="21">
        <f>EXP(-LN(2)/25)*CL41+(1-EXP(-LN(2)/25))/(LN(2)/25)*Calculateur!CG42*Calculateur!CI42*VLOOKUP('Données projet'!$B$12,Paramètres!$A$1:$I$89,3,0)*0.475*44/12</f>
        <v>19.433283803689353</v>
      </c>
      <c r="CM42" s="21">
        <f>EXP(-LN(2)/2)*CM41+(1-EXP(-LN(2)/2))/(LN(2)/2)*CG42*CJ42*VLOOKUP('Données projet'!$B$12,Paramètres!$A$1:$I$89,3,0)*0.475*44/12</f>
        <v>2.4952170678635768</v>
      </c>
      <c r="CN42" s="22">
        <f t="shared" si="12"/>
        <v>42.183533075651191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66.841549801598219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21</v>
      </c>
      <c r="CT42" s="12">
        <f>IF('Données projet'!$A$140&gt;35,CT41+CS42-DB41,IF(A42&lt;'Données projet'!$A$140,$CQ$205^A42,IF(A42='Données projet'!$A$140,'Données projet'!$B$140,CT41+CS42-DB41)))</f>
        <v>358</v>
      </c>
      <c r="CU42" s="17">
        <f>CT42*VLOOKUP('Données projet'!$B$13,Paramètres!$A$1:$I$89,3,0)*VLOOKUP('Données projet'!$B$13,Paramètres!$A$1:$I$89,5,0)</f>
        <v>214.084</v>
      </c>
      <c r="CV42" s="13">
        <f t="shared" si="41"/>
        <v>52.827039557879814</v>
      </c>
      <c r="CW42" s="20">
        <f t="shared" si="13"/>
        <v>464.87006056330733</v>
      </c>
      <c r="CX42" s="59">
        <f t="shared" si="14"/>
        <v>746.62240983583411</v>
      </c>
      <c r="CY42" s="59">
        <f ca="1">AVERAGE(OFFSET($CX$3,0,0,'Données projet'!$E$13+1,1))-AVERAGE(OFFSET($H$3,0,0,'Données projet'!$E$13+1,1))</f>
        <v>352.88552266225872</v>
      </c>
      <c r="CZ42" s="59">
        <f t="shared" si="42"/>
        <v>403.29115295154782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21.545162284871292</v>
      </c>
      <c r="DG42" s="21">
        <f>EXP(-LN(2)/25)*DG41+(1-EXP(-LN(2)/25))/(LN(2)/25)*Calculateur!DB42*Calculateur!DD42*VLOOKUP('Données projet'!$B$13,Paramètres!$A$1:$I$89,3,0)*0.475*44/12</f>
        <v>22.222063971855778</v>
      </c>
      <c r="DH42" s="21">
        <f>EXP(-LN(2)/2)*DH41+(1-EXP(-LN(2)/2))/(LN(2)/2)*DB42*DE42*VLOOKUP('Données projet'!$B$13,Paramètres!$A$1:$I$89,3,0)*0.475*44/12</f>
        <v>3.0106155677394808</v>
      </c>
      <c r="DI42" s="22">
        <f t="shared" si="15"/>
        <v>46.777841824466549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66.841549801598219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66.841549801598219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66.841549801598219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66.841549801598219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66.841549801598219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1.25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4.583333333333333</v>
      </c>
      <c r="H43" s="67">
        <f t="shared" si="1"/>
        <v>238.33333333333334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66.896341851303688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174.99999999999989</v>
      </c>
      <c r="O43" s="13">
        <f>N43*VLOOKUP('Données projet'!$B$9,Paramètres!$A$1:$I$89,3,0)*VLOOKUP('Données projet'!$B$9,Paramètres!$A$1:$I$89,5,0)</f>
        <v>158.33999999999989</v>
      </c>
      <c r="P43" s="13">
        <f t="shared" si="33"/>
        <v>40.467870812652784</v>
      </c>
      <c r="Q43" s="20">
        <f t="shared" si="53"/>
        <v>346.25704166537008</v>
      </c>
      <c r="R43" s="59">
        <f t="shared" si="0"/>
        <v>628.21029512015025</v>
      </c>
      <c r="S43" s="59">
        <f ca="1">AVERAGE(OFFSET($R$3,0,0,'Données projet'!$E$9+1,1))-AVERAGE(OFFSET($H$3,0,0,'Données projet'!$E$9+1,1))</f>
        <v>467.10712490977266</v>
      </c>
      <c r="T43" s="59">
        <f t="shared" si="34"/>
        <v>282.99426855025968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2.4085528753586032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2.4085528753586032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66.896341851303688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130.36920000000003</v>
      </c>
      <c r="AK43" s="13">
        <f t="shared" si="35"/>
        <v>34.081656526320486</v>
      </c>
      <c r="AL43" s="20">
        <f t="shared" si="4"/>
        <v>286.4185751166749</v>
      </c>
      <c r="AM43" s="59">
        <f t="shared" si="5"/>
        <v>568.37182857145513</v>
      </c>
      <c r="AN43" s="59">
        <f ca="1">AVERAGE(OFFSET($AM$3,0,0,'Données projet'!$E$10+1,1))-AVERAGE(OFFSET($H$3,0,0,'Données projet'!$E$10+1,1))</f>
        <v>399.57236812003225</v>
      </c>
      <c r="AO43" s="59">
        <f t="shared" si="36"/>
        <v>245.95971136213691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1.8998498973733813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1.8998498973733813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66.896341851303688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379</v>
      </c>
      <c r="BB43" s="12">
        <f>VLOOKUP(A43,'Données projet'!$A$87:$I$107,9,0)</f>
        <v>21</v>
      </c>
      <c r="BC43" s="12">
        <f t="array" ref="BC43">INDEX(BB:BB,MIN(IF(ISNUMBER(BB43:BB239),ROW(BB43:BB239),"")))</f>
        <v>21</v>
      </c>
      <c r="BD43" s="12">
        <f>IF('Données projet'!$A$88&gt;35,BD42+BC43-BL42,IF(A43&lt;'Données projet'!$A$88,$BA$205^A43,IF(A43='Données projet'!$A$88,'Données projet'!$B$88,BD42+BC43-BL42)))</f>
        <v>379</v>
      </c>
      <c r="BE43" s="13">
        <f>BD43*VLOOKUP('Données projet'!$B$11,Paramètres!$A$1:$I$89,3,0)*VLOOKUP('Données projet'!$B$11,Paramètres!$A$1:$I$89,5,0)</f>
        <v>226.64200000000002</v>
      </c>
      <c r="BF43" s="13">
        <f t="shared" si="37"/>
        <v>55.555983079812862</v>
      </c>
      <c r="BG43" s="20">
        <f t="shared" si="7"/>
        <v>491.49482053067408</v>
      </c>
      <c r="BH43" s="59">
        <f t="shared" si="8"/>
        <v>773.44807398545424</v>
      </c>
      <c r="BI43" s="59">
        <f ca="1">AVERAGE(OFFSET($BH$3,0,0,'Données projet'!$E$11+1,1))-AVERAGE(OFFSET($H$3,0,0,'Données projet'!$E$11+1,1))</f>
        <v>352.88552266225872</v>
      </c>
      <c r="BJ43" s="59">
        <f t="shared" si="38"/>
        <v>403.29115295154782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0.22500000000000001</v>
      </c>
      <c r="BN43" s="16">
        <f>IF(ISNA(VLOOKUP(A43,'Données projet'!$A$87:$I$107,6,0)),0%,VLOOKUP(A43,'Données projet'!$A$87:$I$107,6,0)*VLOOKUP('Données projet'!$B$11,Paramètres!$A$1:$I$89,7,0))</f>
        <v>0.12600000000000003</v>
      </c>
      <c r="BO43" s="16">
        <f>IF(ISNA(VLOOKUP(A43,'Données projet'!$A$87:$I$107,7,0)),0%,VLOOKUP(A43,'Données projet'!$A$87:$I$107,7,0))</f>
        <v>0.22</v>
      </c>
      <c r="BP43" s="21">
        <f>EXP(-LN(2)/35)*BP42+(1-EXP(-LN(2)/35))/(LN(2)/35)*BL43*BM43*VLOOKUP('Données projet'!$B$11,Paramètres!$A$1:$I$89,3,0)*0.475*44/12</f>
        <v>31.118072652562219</v>
      </c>
      <c r="BQ43" s="21">
        <f>EXP(-LN(2)/25)*BQ42+(1-EXP(-LN(2)/25))/(LN(2)/25)*Calculateur!BL43*Calculateur!BN43*VLOOKUP('Données projet'!$B$11,Paramètres!$A$1:$I$89,3,0)*0.475*44/12</f>
        <v>27.189784078538853</v>
      </c>
      <c r="BR43" s="21">
        <f>EXP(-LN(2)/2)*BR42+(1-EXP(-LN(2)/2))/(LN(2)/2)*BL43*BO43*VLOOKUP('Données projet'!$B$11,Paramètres!$A$1:$I$89,3,0)*0.475*44/12</f>
        <v>10.470389622998958</v>
      </c>
      <c r="BS43" s="22">
        <f t="shared" si="9"/>
        <v>68.77824635410002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66.896341851303688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444</v>
      </c>
      <c r="BW43" s="12">
        <f>VLOOKUP(A43,'Données projet'!$A$113:$I$133,9,0)</f>
        <v>27</v>
      </c>
      <c r="BX43" s="12">
        <f t="array" ref="BX43">INDEX(BW:BW,MIN(IF(ISNUMBER(BW43:BW239),ROW(BW43:BW239),"")))</f>
        <v>27</v>
      </c>
      <c r="BY43" s="12">
        <f>IF('Données projet'!$A$114&gt;35,BY42+BX43-CG42,IF(A43&lt;'Données projet'!$A$114,$BV$205^A43,IF(A43='Données projet'!$A$114,'Données projet'!$B$114,BY42+BX43-CG42)))</f>
        <v>443.99999999999989</v>
      </c>
      <c r="BZ43" s="13">
        <f>BY43*VLOOKUP('Données projet'!$B$12,Paramètres!$A$1:$I$89,3,0)*VLOOKUP('Données projet'!$B$12,Paramètres!$A$1:$I$89,5,0)</f>
        <v>196.24799999999999</v>
      </c>
      <c r="CA43" s="13">
        <f t="shared" si="39"/>
        <v>48.918685040313548</v>
      </c>
      <c r="CB43" s="20">
        <f t="shared" si="10"/>
        <v>426.9986431118794</v>
      </c>
      <c r="CC43" s="59">
        <f t="shared" si="11"/>
        <v>708.95189656665957</v>
      </c>
      <c r="CD43" s="59">
        <f ca="1">AVERAGE(OFFSET($CC$3,0,0,'Données projet'!$E$12+1,1))-AVERAGE(OFFSET($H$3,0,0,'Données projet'!$E$12+1,1))</f>
        <v>297.1442218517625</v>
      </c>
      <c r="CE43" s="59">
        <f t="shared" si="40"/>
        <v>326.0112787126069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63</v>
      </c>
      <c r="CH43" s="16">
        <f>IF(ISNA(VLOOKUP(A43,'Données projet'!$A$113:$I$133,5,0)),0%,VLOOKUP(A43,'Données projet'!$A$113:$I$133,5,0)*VLOOKUP('Données projet'!$B$12,Paramètres!$A$1:$I$89,7,0))</f>
        <v>0.27500000000000002</v>
      </c>
      <c r="CI43" s="16">
        <f>IF(ISNA(VLOOKUP(A43,'Données projet'!$A$113:$I$133,6,0)),0%,VLOOKUP(A43,'Données projet'!$A$113:$I$133,6,0)*VLOOKUP('Données projet'!$B$12,Paramètres!$A$1:$I$89,7,0))</f>
        <v>0.15400000000000003</v>
      </c>
      <c r="CJ43" s="16">
        <f>IF(ISNA(VLOOKUP(A43,'Données projet'!$A$113:$I$133,7,0)),0%,VLOOKUP(A43,'Données projet'!$A$113:$I$133,7,0))</f>
        <v>0.22</v>
      </c>
      <c r="CK43" s="21">
        <f>EXP(-LN(2)/35)*CK42+(1-EXP(-LN(2)/35))/(LN(2)/35)*CG43*CH43*VLOOKUP('Données projet'!$B$12,Paramètres!$A$1:$I$89,3,0)*0.475*44/12</f>
        <v>30.016209679122241</v>
      </c>
      <c r="CL43" s="21">
        <f>EXP(-LN(2)/25)*CL42+(1-EXP(-LN(2)/25))/(LN(2)/25)*Calculateur!CG43*Calculateur!CI43*VLOOKUP('Données projet'!$B$12,Paramètres!$A$1:$I$89,3,0)*0.475*44/12</f>
        <v>24.568166244442835</v>
      </c>
      <c r="CM43" s="21">
        <f>EXP(-LN(2)/2)*CM42+(1-EXP(-LN(2)/2))/(LN(2)/2)*CG43*CJ43*VLOOKUP('Données projet'!$B$12,Paramètres!$A$1:$I$89,3,0)*0.475*44/12</f>
        <v>8.7005758317415811</v>
      </c>
      <c r="CN43" s="22">
        <f t="shared" si="12"/>
        <v>63.284951755306658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66.896341851303688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379</v>
      </c>
      <c r="CR43" s="12">
        <f>VLOOKUP(A43,'Données projet'!$A$139:$I$159,9,0)</f>
        <v>21</v>
      </c>
      <c r="CS43" s="12">
        <f t="array" ref="CS43">INDEX(CR:CR,MIN(IF(ISNUMBER(CR43:CR239),ROW(CR43:CR239),"")))</f>
        <v>21</v>
      </c>
      <c r="CT43" s="12">
        <f>IF('Données projet'!$A$140&gt;35,CT42+CS43-DB42,IF(A43&lt;'Données projet'!$A$140,$CQ$205^A43,IF(A43='Données projet'!$A$140,'Données projet'!$B$140,CT42+CS43-DB42)))</f>
        <v>379</v>
      </c>
      <c r="CU43" s="17">
        <f>CT43*VLOOKUP('Données projet'!$B$13,Paramètres!$A$1:$I$89,3,0)*VLOOKUP('Données projet'!$B$13,Paramètres!$A$1:$I$89,5,0)</f>
        <v>226.64200000000002</v>
      </c>
      <c r="CV43" s="13">
        <f t="shared" si="41"/>
        <v>55.555983079812862</v>
      </c>
      <c r="CW43" s="20">
        <f t="shared" si="13"/>
        <v>491.49482053067408</v>
      </c>
      <c r="CX43" s="59">
        <f t="shared" si="14"/>
        <v>773.44807398545424</v>
      </c>
      <c r="CY43" s="59">
        <f ca="1">AVERAGE(OFFSET($CX$3,0,0,'Données projet'!$E$13+1,1))-AVERAGE(OFFSET($H$3,0,0,'Données projet'!$E$13+1,1))</f>
        <v>352.88552266225872</v>
      </c>
      <c r="CZ43" s="59">
        <f t="shared" si="42"/>
        <v>403.29115295154782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0.22500000000000001</v>
      </c>
      <c r="DD43" s="16">
        <f>IF(ISNA(VLOOKUP(A43,'Données projet'!$A$139:$I$159,6,0)),0%,VLOOKUP(A43,'Données projet'!$A$139:$I$159,6,0)*VLOOKUP('Données projet'!$B$13,Paramètres!$A$1:$I$89,7,0))</f>
        <v>0.12600000000000003</v>
      </c>
      <c r="DE43" s="16">
        <f>IF(ISNA(VLOOKUP(A43,'Données projet'!$A$139:$I$159,7,0)),0%,VLOOKUP(A43,'Données projet'!$A$139:$I$159,7,0))</f>
        <v>0.22</v>
      </c>
      <c r="DF43" s="21">
        <f>EXP(-LN(2)/35)*DF42+(1-EXP(-LN(2)/35))/(LN(2)/35)*DB43*DC43*VLOOKUP('Données projet'!$B$13,Paramètres!$A$1:$I$89,3,0)*0.475*44/12</f>
        <v>31.118072652562219</v>
      </c>
      <c r="DG43" s="21">
        <f>EXP(-LN(2)/25)*DG42+(1-EXP(-LN(2)/25))/(LN(2)/25)*Calculateur!DB43*Calculateur!DD43*VLOOKUP('Données projet'!$B$13,Paramètres!$A$1:$I$89,3,0)*0.475*44/12</f>
        <v>27.189784078538853</v>
      </c>
      <c r="DH43" s="21">
        <f>EXP(-LN(2)/2)*DH42+(1-EXP(-LN(2)/2))/(LN(2)/2)*DB43*DE43*VLOOKUP('Données projet'!$B$13,Paramètres!$A$1:$I$89,3,0)*0.475*44/12</f>
        <v>10.470389622998958</v>
      </c>
      <c r="DI43" s="22">
        <f t="shared" si="15"/>
        <v>68.77824635410002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66.896341851303688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66.896341851303688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66.896341851303688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66.896341851303688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66.896341851303688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1.25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4.583333333333333</v>
      </c>
      <c r="H44" s="67">
        <f t="shared" si="1"/>
        <v>238.33333333333334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66.950183381443452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158.39999999999989</v>
      </c>
      <c r="O44" s="13">
        <f>N44*VLOOKUP('Données projet'!$B$9,Paramètres!$A$1:$I$89,3,0)*VLOOKUP('Données projet'!$B$9,Paramètres!$A$1:$I$89,5,0)</f>
        <v>143.3203199999999</v>
      </c>
      <c r="P44" s="13">
        <f t="shared" si="33"/>
        <v>37.056603420232314</v>
      </c>
      <c r="Q44" s="20">
        <f t="shared" si="53"/>
        <v>314.15647495690439</v>
      </c>
      <c r="R44" s="59">
        <f t="shared" si="0"/>
        <v>596.30714735553033</v>
      </c>
      <c r="S44" s="59">
        <f ca="1">AVERAGE(OFFSET($R$3,0,0,'Données projet'!$E$9+1,1))-AVERAGE(OFFSET($H$3,0,0,'Données projet'!$E$9+1,1))</f>
        <v>467.10712490977266</v>
      </c>
      <c r="T44" s="59">
        <f t="shared" si="34"/>
        <v>282.99426855025968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2.3613226225450159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2.3613226225450159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66.950183381443452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118.37904000000003</v>
      </c>
      <c r="AK44" s="13">
        <f t="shared" si="35"/>
        <v>31.296638268907181</v>
      </c>
      <c r="AL44" s="20">
        <f t="shared" si="4"/>
        <v>260.68513965168</v>
      </c>
      <c r="AM44" s="59">
        <f t="shared" si="5"/>
        <v>542.835812050306</v>
      </c>
      <c r="AN44" s="59">
        <f ca="1">AVERAGE(OFFSET($AM$3,0,0,'Données projet'!$E$10+1,1))-AVERAGE(OFFSET($H$3,0,0,'Données projet'!$E$10+1,1))</f>
        <v>399.57236812003225</v>
      </c>
      <c r="AO44" s="59">
        <f t="shared" si="36"/>
        <v>245.95971136213691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1.8625949996799052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1.8625949996799052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66.950183381443452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19.600000000000001</v>
      </c>
      <c r="BD44" s="12">
        <f>IF('Données projet'!$A$88&gt;35,BD43+BC44-BL43,IF(A44&lt;'Données projet'!$A$88,$BA$205^A44,IF(A44='Données projet'!$A$88,'Données projet'!$B$88,BD43+BC44-BL43)))</f>
        <v>342.6</v>
      </c>
      <c r="BE44" s="13">
        <f>BD44*VLOOKUP('Données projet'!$B$11,Paramètres!$A$1:$I$89,3,0)*VLOOKUP('Données projet'!$B$11,Paramètres!$A$1:$I$89,5,0)</f>
        <v>204.87480000000002</v>
      </c>
      <c r="BF44" s="13">
        <f t="shared" si="37"/>
        <v>50.813995071401308</v>
      </c>
      <c r="BG44" s="20">
        <f t="shared" si="7"/>
        <v>445.32465141602398</v>
      </c>
      <c r="BH44" s="59">
        <f t="shared" si="8"/>
        <v>727.47532381464998</v>
      </c>
      <c r="BI44" s="59">
        <f ca="1">AVERAGE(OFFSET($BH$3,0,0,'Données projet'!$E$11+1,1))-AVERAGE(OFFSET($H$3,0,0,'Données projet'!$E$11+1,1))</f>
        <v>352.88552266225872</v>
      </c>
      <c r="BJ44" s="59">
        <f t="shared" si="38"/>
        <v>403.29115295154782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30.50786622799566</v>
      </c>
      <c r="BQ44" s="21">
        <f>EXP(-LN(2)/25)*BQ43+(1-EXP(-LN(2)/25))/(LN(2)/25)*Calculateur!BL44*Calculateur!BN44*VLOOKUP('Données projet'!$B$11,Paramètres!$A$1:$I$89,3,0)*0.475*44/12</f>
        <v>26.446278003062606</v>
      </c>
      <c r="BR44" s="21">
        <f>EXP(-LN(2)/2)*BR43+(1-EXP(-LN(2)/2))/(LN(2)/2)*BL44*BO44*VLOOKUP('Données projet'!$B$11,Paramètres!$A$1:$I$89,3,0)*0.475*44/12</f>
        <v>7.4036835040878231</v>
      </c>
      <c r="BS44" s="22">
        <f t="shared" si="9"/>
        <v>64.357827735146088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66.950183381443452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24.2</v>
      </c>
      <c r="BY44" s="12">
        <f>IF('Données projet'!$A$114&gt;35,BY43+BX44-CG43,IF(A44&lt;'Données projet'!$A$114,$BV$205^A44,IF(A44='Données projet'!$A$114,'Données projet'!$B$114,BY43+BX44-CG43)))</f>
        <v>405.19999999999987</v>
      </c>
      <c r="BZ44" s="13">
        <f>BY44*VLOOKUP('Données projet'!$B$12,Paramètres!$A$1:$I$89,3,0)*VLOOKUP('Données projet'!$B$12,Paramètres!$A$1:$I$89,5,0)</f>
        <v>179.09839999999997</v>
      </c>
      <c r="CA44" s="13">
        <f t="shared" si="39"/>
        <v>45.121538192988382</v>
      </c>
      <c r="CB44" s="20">
        <f t="shared" si="10"/>
        <v>390.51639235278805</v>
      </c>
      <c r="CC44" s="59">
        <f t="shared" si="11"/>
        <v>672.66706475141405</v>
      </c>
      <c r="CD44" s="59">
        <f ca="1">AVERAGE(OFFSET($CC$3,0,0,'Données projet'!$E$12+1,1))-AVERAGE(OFFSET($H$3,0,0,'Données projet'!$E$12+1,1))</f>
        <v>297.1442218517625</v>
      </c>
      <c r="CE44" s="59">
        <f t="shared" si="40"/>
        <v>326.0112787126069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29.427610115394785</v>
      </c>
      <c r="CL44" s="21">
        <f>EXP(-LN(2)/25)*CL43+(1-EXP(-LN(2)/25))/(LN(2)/25)*Calculateur!CG44*Calculateur!CI44*VLOOKUP('Données projet'!$B$12,Paramètres!$A$1:$I$89,3,0)*0.475*44/12</f>
        <v>23.896348446504835</v>
      </c>
      <c r="CM44" s="21">
        <f>EXP(-LN(2)/2)*CM43+(1-EXP(-LN(2)/2))/(LN(2)/2)*CG44*CJ44*VLOOKUP('Données projet'!$B$12,Paramètres!$A$1:$I$89,3,0)*0.475*44/12</f>
        <v>6.1522361708522579</v>
      </c>
      <c r="CN44" s="22">
        <f t="shared" si="12"/>
        <v>59.476194732751871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66.950183381443452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19.600000000000001</v>
      </c>
      <c r="CT44" s="12">
        <f>IF('Données projet'!$A$140&gt;35,CT43+CS44-DB43,IF(A44&lt;'Données projet'!$A$140,$CQ$205^A44,IF(A44='Données projet'!$A$140,'Données projet'!$B$140,CT43+CS44-DB43)))</f>
        <v>342.6</v>
      </c>
      <c r="CU44" s="17">
        <f>CT44*VLOOKUP('Données projet'!$B$13,Paramètres!$A$1:$I$89,3,0)*VLOOKUP('Données projet'!$B$13,Paramètres!$A$1:$I$89,5,0)</f>
        <v>204.87480000000002</v>
      </c>
      <c r="CV44" s="13">
        <f t="shared" si="41"/>
        <v>50.813995071401308</v>
      </c>
      <c r="CW44" s="20">
        <f t="shared" si="13"/>
        <v>445.32465141602398</v>
      </c>
      <c r="CX44" s="59">
        <f t="shared" si="14"/>
        <v>727.47532381464998</v>
      </c>
      <c r="CY44" s="59">
        <f ca="1">AVERAGE(OFFSET($CX$3,0,0,'Données projet'!$E$13+1,1))-AVERAGE(OFFSET($H$3,0,0,'Données projet'!$E$13+1,1))</f>
        <v>352.88552266225872</v>
      </c>
      <c r="CZ44" s="59">
        <f t="shared" si="42"/>
        <v>403.29115295154782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30.50786622799566</v>
      </c>
      <c r="DG44" s="21">
        <f>EXP(-LN(2)/25)*DG43+(1-EXP(-LN(2)/25))/(LN(2)/25)*Calculateur!DB44*Calculateur!DD44*VLOOKUP('Données projet'!$B$13,Paramètres!$A$1:$I$89,3,0)*0.475*44/12</f>
        <v>26.446278003062606</v>
      </c>
      <c r="DH44" s="21">
        <f>EXP(-LN(2)/2)*DH43+(1-EXP(-LN(2)/2))/(LN(2)/2)*DB44*DE44*VLOOKUP('Données projet'!$B$13,Paramètres!$A$1:$I$89,3,0)*0.475*44/12</f>
        <v>7.4036835040878231</v>
      </c>
      <c r="DI44" s="22">
        <f t="shared" si="15"/>
        <v>64.357827735146088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66.950183381443452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66.950183381443452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66.950183381443452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66.950183381443452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66.950183381443452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1.25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4.583333333333333</v>
      </c>
      <c r="H45" s="67">
        <f t="shared" si="1"/>
        <v>238.33333333333334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67.003090881406905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169.7999999999999</v>
      </c>
      <c r="O45" s="13">
        <f>N45*VLOOKUP('Données projet'!$B$9,Paramètres!$A$1:$I$89,3,0)*VLOOKUP('Données projet'!$B$9,Paramètres!$A$1:$I$89,5,0)</f>
        <v>153.63503999999992</v>
      </c>
      <c r="P45" s="13">
        <f t="shared" si="33"/>
        <v>39.403506785222632</v>
      </c>
      <c r="Q45" s="20">
        <f t="shared" si="53"/>
        <v>336.20880231759588</v>
      </c>
      <c r="R45" s="59">
        <f t="shared" si="0"/>
        <v>618.55346888275449</v>
      </c>
      <c r="S45" s="59">
        <f ca="1">AVERAGE(OFFSET($R$3,0,0,'Données projet'!$E$9+1,1))-AVERAGE(OFFSET($H$3,0,0,'Données projet'!$E$9+1,1))</f>
        <v>467.10712490977266</v>
      </c>
      <c r="T45" s="59">
        <f t="shared" si="34"/>
        <v>282.99426855025968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2.3150185261814937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2.3150185261814937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67.003090881406905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126.37248000000004</v>
      </c>
      <c r="AK45" s="13">
        <f t="shared" si="35"/>
        <v>33.156770349896121</v>
      </c>
      <c r="AL45" s="20">
        <f t="shared" si="4"/>
        <v>277.84677769273577</v>
      </c>
      <c r="AM45" s="59">
        <f t="shared" si="5"/>
        <v>560.19144425789443</v>
      </c>
      <c r="AN45" s="59">
        <f ca="1">AVERAGE(OFFSET($AM$3,0,0,'Données projet'!$E$10+1,1))-AVERAGE(OFFSET($H$3,0,0,'Données projet'!$E$10+1,1))</f>
        <v>399.57236812003225</v>
      </c>
      <c r="AO45" s="59">
        <f t="shared" si="36"/>
        <v>245.95971136213691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1.8260706478069544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1.8260706478069544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67.003090881406905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19.600000000000001</v>
      </c>
      <c r="BD45" s="12">
        <f>IF('Données projet'!$A$88&gt;35,BD44+BC45-BL44,IF(A45&lt;'Données projet'!$A$88,$BA$205^A45,IF(A45='Données projet'!$A$88,'Données projet'!$B$88,BD44+BC45-BL44)))</f>
        <v>362.20000000000005</v>
      </c>
      <c r="BE45" s="13">
        <f>BD45*VLOOKUP('Données projet'!$B$11,Paramètres!$A$1:$I$89,3,0)*VLOOKUP('Données projet'!$B$11,Paramètres!$A$1:$I$89,5,0)</f>
        <v>216.59560000000005</v>
      </c>
      <c r="BF45" s="13">
        <f t="shared" si="37"/>
        <v>53.374285937607603</v>
      </c>
      <c r="BG45" s="20">
        <f t="shared" si="7"/>
        <v>470.19755134133334</v>
      </c>
      <c r="BH45" s="59">
        <f t="shared" si="8"/>
        <v>752.54221790649194</v>
      </c>
      <c r="BI45" s="59">
        <f ca="1">AVERAGE(OFFSET($BH$3,0,0,'Données projet'!$E$11+1,1))-AVERAGE(OFFSET($H$3,0,0,'Données projet'!$E$11+1,1))</f>
        <v>352.88552266225872</v>
      </c>
      <c r="BJ45" s="59">
        <f t="shared" si="38"/>
        <v>403.29115295154782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29.909625579225679</v>
      </c>
      <c r="BQ45" s="21">
        <f>EXP(-LN(2)/25)*BQ44+(1-EXP(-LN(2)/25))/(LN(2)/25)*Calculateur!BL45*Calculateur!BN45*VLOOKUP('Données projet'!$B$11,Paramètres!$A$1:$I$89,3,0)*0.475*44/12</f>
        <v>25.723103140319541</v>
      </c>
      <c r="BR45" s="21">
        <f>EXP(-LN(2)/2)*BR44+(1-EXP(-LN(2)/2))/(LN(2)/2)*BL45*BO45*VLOOKUP('Données projet'!$B$11,Paramètres!$A$1:$I$89,3,0)*0.475*44/12</f>
        <v>5.23519481149948</v>
      </c>
      <c r="BS45" s="22">
        <f t="shared" si="9"/>
        <v>60.867923531044703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67.003090881406905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24.2</v>
      </c>
      <c r="BY45" s="12">
        <f>IF('Données projet'!$A$114&gt;35,BY44+BX45-CG44,IF(A45&lt;'Données projet'!$A$114,$BV$205^A45,IF(A45='Données projet'!$A$114,'Données projet'!$B$114,BY44+BX45-CG44)))</f>
        <v>429.39999999999986</v>
      </c>
      <c r="BZ45" s="13">
        <f>BY45*VLOOKUP('Données projet'!$B$12,Paramètres!$A$1:$I$89,3,0)*VLOOKUP('Données projet'!$B$12,Paramètres!$A$1:$I$89,5,0)</f>
        <v>189.79479999999995</v>
      </c>
      <c r="CA45" s="13">
        <f t="shared" si="39"/>
        <v>47.49458319197884</v>
      </c>
      <c r="CB45" s="20">
        <f t="shared" si="10"/>
        <v>413.27900905936309</v>
      </c>
      <c r="CC45" s="59">
        <f t="shared" si="11"/>
        <v>695.62367562452175</v>
      </c>
      <c r="CD45" s="59">
        <f ca="1">AVERAGE(OFFSET($CC$3,0,0,'Données projet'!$E$12+1,1))-AVERAGE(OFFSET($H$3,0,0,'Données projet'!$E$12+1,1))</f>
        <v>297.1442218517625</v>
      </c>
      <c r="CE45" s="59">
        <f t="shared" si="40"/>
        <v>326.0112787126069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28.850552630101742</v>
      </c>
      <c r="CL45" s="21">
        <f>EXP(-LN(2)/25)*CL44+(1-EXP(-LN(2)/25))/(LN(2)/25)*Calculateur!CG45*Calculateur!CI45*VLOOKUP('Données projet'!$B$12,Paramètres!$A$1:$I$89,3,0)*0.475*44/12</f>
        <v>23.24290154158081</v>
      </c>
      <c r="CM45" s="21">
        <f>EXP(-LN(2)/2)*CM44+(1-EXP(-LN(2)/2))/(LN(2)/2)*CG45*CJ45*VLOOKUP('Données projet'!$B$12,Paramètres!$A$1:$I$89,3,0)*0.475*44/12</f>
        <v>4.3502879158707906</v>
      </c>
      <c r="CN45" s="22">
        <f t="shared" si="12"/>
        <v>56.443742087553346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67.003090881406905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19.600000000000001</v>
      </c>
      <c r="CT45" s="12">
        <f>IF('Données projet'!$A$140&gt;35,CT44+CS45-DB44,IF(A45&lt;'Données projet'!$A$140,$CQ$205^A45,IF(A45='Données projet'!$A$140,'Données projet'!$B$140,CT44+CS45-DB44)))</f>
        <v>362.20000000000005</v>
      </c>
      <c r="CU45" s="17">
        <f>CT45*VLOOKUP('Données projet'!$B$13,Paramètres!$A$1:$I$89,3,0)*VLOOKUP('Données projet'!$B$13,Paramètres!$A$1:$I$89,5,0)</f>
        <v>216.59560000000005</v>
      </c>
      <c r="CV45" s="13">
        <f t="shared" si="41"/>
        <v>53.374285937607603</v>
      </c>
      <c r="CW45" s="20">
        <f t="shared" si="13"/>
        <v>470.19755134133334</v>
      </c>
      <c r="CX45" s="59">
        <f t="shared" si="14"/>
        <v>752.54221790649194</v>
      </c>
      <c r="CY45" s="59">
        <f ca="1">AVERAGE(OFFSET($CX$3,0,0,'Données projet'!$E$13+1,1))-AVERAGE(OFFSET($H$3,0,0,'Données projet'!$E$13+1,1))</f>
        <v>352.88552266225872</v>
      </c>
      <c r="CZ45" s="59">
        <f t="shared" si="42"/>
        <v>403.29115295154782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29.909625579225679</v>
      </c>
      <c r="DG45" s="21">
        <f>EXP(-LN(2)/25)*DG44+(1-EXP(-LN(2)/25))/(LN(2)/25)*Calculateur!DB45*Calculateur!DD45*VLOOKUP('Données projet'!$B$13,Paramètres!$A$1:$I$89,3,0)*0.475*44/12</f>
        <v>25.723103140319541</v>
      </c>
      <c r="DH45" s="21">
        <f>EXP(-LN(2)/2)*DH44+(1-EXP(-LN(2)/2))/(LN(2)/2)*DB45*DE45*VLOOKUP('Données projet'!$B$13,Paramètres!$A$1:$I$89,3,0)*0.475*44/12</f>
        <v>5.23519481149948</v>
      </c>
      <c r="DI45" s="22">
        <f t="shared" si="15"/>
        <v>60.867923531044703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67.003090881406905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67.003090881406905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67.003090881406905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67.003090881406905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67.003090881406905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1.25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4.583333333333333</v>
      </c>
      <c r="H46" s="67">
        <f t="shared" si="1"/>
        <v>238.33333333333334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67.055080554529454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181.1999999999999</v>
      </c>
      <c r="O46" s="13">
        <f>N46*VLOOKUP('Données projet'!$B$9,Paramètres!$A$1:$I$89,3,0)*VLOOKUP('Données projet'!$B$9,Paramètres!$A$1:$I$89,5,0)</f>
        <v>163.94975999999991</v>
      </c>
      <c r="P46" s="13">
        <f t="shared" si="33"/>
        <v>41.732126457893273</v>
      </c>
      <c r="Q46" s="20">
        <f t="shared" si="53"/>
        <v>358.22928558083066</v>
      </c>
      <c r="R46" s="59">
        <f t="shared" si="0"/>
        <v>640.76458094743862</v>
      </c>
      <c r="S46" s="59">
        <f ca="1">AVERAGE(OFFSET($R$3,0,0,'Données projet'!$E$9+1,1))-AVERAGE(OFFSET($H$3,0,0,'Données projet'!$E$9+1,1))</f>
        <v>467.10712490977266</v>
      </c>
      <c r="T46" s="59">
        <f t="shared" si="34"/>
        <v>282.99426855025968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2.2696224249049499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2.2696224249049499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67.055080554529454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134.36592000000005</v>
      </c>
      <c r="AK46" s="13">
        <f t="shared" si="35"/>
        <v>35.003247613199107</v>
      </c>
      <c r="AL46" s="20">
        <f t="shared" si="4"/>
        <v>294.98463359298847</v>
      </c>
      <c r="AM46" s="59">
        <f t="shared" si="5"/>
        <v>577.51992895959643</v>
      </c>
      <c r="AN46" s="59">
        <f ca="1">AVERAGE(OFFSET($AM$3,0,0,'Données projet'!$E$10+1,1))-AVERAGE(OFFSET($H$3,0,0,'Données projet'!$E$10+1,1))</f>
        <v>399.57236812003225</v>
      </c>
      <c r="AO46" s="59">
        <f t="shared" si="36"/>
        <v>245.95971136213691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1.7902625161965773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1.7902625161965773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67.055080554529454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19.600000000000001</v>
      </c>
      <c r="BD46" s="12">
        <f>IF('Données projet'!$A$88&gt;35,BD45+BC46-BL45,IF(A46&lt;'Données projet'!$A$88,$BA$205^A46,IF(A46='Données projet'!$A$88,'Données projet'!$B$88,BD45+BC46-BL45)))</f>
        <v>381.80000000000007</v>
      </c>
      <c r="BE46" s="13">
        <f>BD46*VLOOKUP('Données projet'!$B$11,Paramètres!$A$1:$I$89,3,0)*VLOOKUP('Données projet'!$B$11,Paramètres!$A$1:$I$89,5,0)</f>
        <v>228.31640000000007</v>
      </c>
      <c r="BF46" s="13">
        <f t="shared" si="37"/>
        <v>55.918492337377344</v>
      </c>
      <c r="BG46" s="20">
        <f t="shared" si="7"/>
        <v>495.04243748759899</v>
      </c>
      <c r="BH46" s="59">
        <f t="shared" si="8"/>
        <v>777.57773285420694</v>
      </c>
      <c r="BI46" s="59">
        <f ca="1">AVERAGE(OFFSET($BH$3,0,0,'Données projet'!$E$11+1,1))-AVERAGE(OFFSET($H$3,0,0,'Données projet'!$E$11+1,1))</f>
        <v>352.88552266225872</v>
      </c>
      <c r="BJ46" s="59">
        <f t="shared" si="38"/>
        <v>403.29115295154782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29.323116064687312</v>
      </c>
      <c r="BQ46" s="21">
        <f>EXP(-LN(2)/25)*BQ45+(1-EXP(-LN(2)/25))/(LN(2)/25)*Calculateur!BL46*Calculateur!BN46*VLOOKUP('Données projet'!$B$11,Paramètres!$A$1:$I$89,3,0)*0.475*44/12</f>
        <v>25.019703532228299</v>
      </c>
      <c r="BR46" s="21">
        <f>EXP(-LN(2)/2)*BR45+(1-EXP(-LN(2)/2))/(LN(2)/2)*BL46*BO46*VLOOKUP('Données projet'!$B$11,Paramètres!$A$1:$I$89,3,0)*0.475*44/12</f>
        <v>3.701841752043912</v>
      </c>
      <c r="BS46" s="22">
        <f t="shared" si="9"/>
        <v>58.044661348959522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67.055080554529454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24.2</v>
      </c>
      <c r="BY46" s="12">
        <f>IF('Données projet'!$A$114&gt;35,BY45+BX46-CG45,IF(A46&lt;'Données projet'!$A$114,$BV$205^A46,IF(A46='Données projet'!$A$114,'Données projet'!$B$114,BY45+BX46-CG45)))</f>
        <v>453.59999999999985</v>
      </c>
      <c r="BZ46" s="13">
        <f>BY46*VLOOKUP('Données projet'!$B$12,Paramètres!$A$1:$I$89,3,0)*VLOOKUP('Données projet'!$B$12,Paramètres!$A$1:$I$89,5,0)</f>
        <v>200.49119999999996</v>
      </c>
      <c r="CA46" s="13">
        <f t="shared" si="39"/>
        <v>49.85210320190825</v>
      </c>
      <c r="CB46" s="20">
        <f t="shared" si="10"/>
        <v>436.01458640999016</v>
      </c>
      <c r="CC46" s="59">
        <f t="shared" si="11"/>
        <v>718.54988177659811</v>
      </c>
      <c r="CD46" s="59">
        <f ca="1">AVERAGE(OFFSET($CC$3,0,0,'Données projet'!$E$12+1,1))-AVERAGE(OFFSET($H$3,0,0,'Données projet'!$E$12+1,1))</f>
        <v>297.1442218517625</v>
      </c>
      <c r="CE46" s="59">
        <f t="shared" si="40"/>
        <v>326.0112787126069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28.28481089012498</v>
      </c>
      <c r="CL46" s="21">
        <f>EXP(-LN(2)/25)*CL45+(1-EXP(-LN(2)/25))/(LN(2)/25)*Calculateur!CG46*Calculateur!CI46*VLOOKUP('Données projet'!$B$12,Paramètres!$A$1:$I$89,3,0)*0.475*44/12</f>
        <v>22.607323176635212</v>
      </c>
      <c r="CM46" s="21">
        <f>EXP(-LN(2)/2)*CM45+(1-EXP(-LN(2)/2))/(LN(2)/2)*CG46*CJ46*VLOOKUP('Données projet'!$B$12,Paramètres!$A$1:$I$89,3,0)*0.475*44/12</f>
        <v>3.076118085426129</v>
      </c>
      <c r="CN46" s="22">
        <f t="shared" si="12"/>
        <v>53.968252152186324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67.055080554529454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19.600000000000001</v>
      </c>
      <c r="CT46" s="12">
        <f>IF('Données projet'!$A$140&gt;35,CT45+CS46-DB45,IF(A46&lt;'Données projet'!$A$140,$CQ$205^A46,IF(A46='Données projet'!$A$140,'Données projet'!$B$140,CT45+CS46-DB45)))</f>
        <v>381.80000000000007</v>
      </c>
      <c r="CU46" s="17">
        <f>CT46*VLOOKUP('Données projet'!$B$13,Paramètres!$A$1:$I$89,3,0)*VLOOKUP('Données projet'!$B$13,Paramètres!$A$1:$I$89,5,0)</f>
        <v>228.31640000000007</v>
      </c>
      <c r="CV46" s="13">
        <f t="shared" si="41"/>
        <v>55.918492337377344</v>
      </c>
      <c r="CW46" s="20">
        <f t="shared" si="13"/>
        <v>495.04243748759899</v>
      </c>
      <c r="CX46" s="59">
        <f t="shared" si="14"/>
        <v>777.57773285420694</v>
      </c>
      <c r="CY46" s="59">
        <f ca="1">AVERAGE(OFFSET($CX$3,0,0,'Données projet'!$E$13+1,1))-AVERAGE(OFFSET($H$3,0,0,'Données projet'!$E$13+1,1))</f>
        <v>352.88552266225872</v>
      </c>
      <c r="CZ46" s="59">
        <f t="shared" si="42"/>
        <v>403.29115295154782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29.323116064687312</v>
      </c>
      <c r="DG46" s="21">
        <f>EXP(-LN(2)/25)*DG45+(1-EXP(-LN(2)/25))/(LN(2)/25)*Calculateur!DB46*Calculateur!DD46*VLOOKUP('Données projet'!$B$13,Paramètres!$A$1:$I$89,3,0)*0.475*44/12</f>
        <v>25.019703532228299</v>
      </c>
      <c r="DH46" s="21">
        <f>EXP(-LN(2)/2)*DH45+(1-EXP(-LN(2)/2))/(LN(2)/2)*DB46*DE46*VLOOKUP('Données projet'!$B$13,Paramètres!$A$1:$I$89,3,0)*0.475*44/12</f>
        <v>3.701841752043912</v>
      </c>
      <c r="DI46" s="22">
        <f t="shared" si="15"/>
        <v>58.044661348959522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67.055080554529454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67.055080554529454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67.055080554529454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67.055080554529454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67.055080554529454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1.25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4.583333333333333</v>
      </c>
      <c r="H47" s="67">
        <f t="shared" si="1"/>
        <v>238.33333333333334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67.106168323054817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192.59999999999991</v>
      </c>
      <c r="O47" s="13">
        <f>N47*VLOOKUP('Données projet'!$B$9,Paramètres!$A$1:$I$89,3,0)*VLOOKUP('Données projet'!$B$9,Paramètres!$A$1:$I$89,5,0)</f>
        <v>174.26447999999991</v>
      </c>
      <c r="P47" s="13">
        <f t="shared" si="33"/>
        <v>44.043743683739486</v>
      </c>
      <c r="Q47" s="20">
        <f t="shared" si="53"/>
        <v>380.22015624917941</v>
      </c>
      <c r="R47" s="59">
        <f t="shared" si="0"/>
        <v>662.94277343371368</v>
      </c>
      <c r="S47" s="59">
        <f ca="1">AVERAGE(OFFSET($R$3,0,0,'Données projet'!$E$9+1,1))-AVERAGE(OFFSET($H$3,0,0,'Données projet'!$E$9+1,1))</f>
        <v>467.10712490977266</v>
      </c>
      <c r="T47" s="59">
        <f t="shared" si="34"/>
        <v>282.99426855025968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2.2251165134855517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2.2251165134855517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67.106168323054817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142.35936000000004</v>
      </c>
      <c r="AK47" s="13">
        <f t="shared" si="35"/>
        <v>36.836974905762489</v>
      </c>
      <c r="AL47" s="20">
        <f t="shared" si="4"/>
        <v>312.10028329420305</v>
      </c>
      <c r="AM47" s="59">
        <f t="shared" si="5"/>
        <v>594.82290047873744</v>
      </c>
      <c r="AN47" s="59">
        <f ca="1">AVERAGE(OFFSET($AM$3,0,0,'Données projet'!$E$10+1,1))-AVERAGE(OFFSET($H$3,0,0,'Données projet'!$E$10+1,1))</f>
        <v>399.57236812003225</v>
      </c>
      <c r="AO47" s="59">
        <f t="shared" si="36"/>
        <v>245.95971136213691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1.755156560206276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1.755156560206276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67.106168323054817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19.600000000000001</v>
      </c>
      <c r="BD47" s="12">
        <f>IF('Données projet'!$A$88&gt;35,BD46+BC47-BL46,IF(A47&lt;'Données projet'!$A$88,$BA$205^A47,IF(A47='Données projet'!$A$88,'Données projet'!$B$88,BD46+BC47-BL46)))</f>
        <v>401.40000000000009</v>
      </c>
      <c r="BE47" s="13">
        <f>BD47*VLOOKUP('Données projet'!$B$11,Paramètres!$A$1:$I$89,3,0)*VLOOKUP('Données projet'!$B$11,Paramètres!$A$1:$I$89,5,0)</f>
        <v>240.0372000000001</v>
      </c>
      <c r="BF47" s="13">
        <f t="shared" si="37"/>
        <v>58.447534171232547</v>
      </c>
      <c r="BG47" s="20">
        <f t="shared" si="7"/>
        <v>519.86091201489683</v>
      </c>
      <c r="BH47" s="59">
        <f t="shared" si="8"/>
        <v>802.58352919943115</v>
      </c>
      <c r="BI47" s="59">
        <f ca="1">AVERAGE(OFFSET($BH$3,0,0,'Données projet'!$E$11+1,1))-AVERAGE(OFFSET($H$3,0,0,'Données projet'!$E$11+1,1))</f>
        <v>352.88552266225872</v>
      </c>
      <c r="BJ47" s="59">
        <f t="shared" si="38"/>
        <v>403.29115295154782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28.748107643993563</v>
      </c>
      <c r="BQ47" s="21">
        <f>EXP(-LN(2)/25)*BQ46+(1-EXP(-LN(2)/25))/(LN(2)/25)*Calculateur!BL47*Calculateur!BN47*VLOOKUP('Données projet'!$B$11,Paramètres!$A$1:$I$89,3,0)*0.475*44/12</f>
        <v>24.33553842341049</v>
      </c>
      <c r="BR47" s="21">
        <f>EXP(-LN(2)/2)*BR46+(1-EXP(-LN(2)/2))/(LN(2)/2)*BL47*BO47*VLOOKUP('Données projet'!$B$11,Paramètres!$A$1:$I$89,3,0)*0.475*44/12</f>
        <v>2.6175974057497404</v>
      </c>
      <c r="BS47" s="22">
        <f t="shared" si="9"/>
        <v>55.701243473153795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67.106168323054817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24.2</v>
      </c>
      <c r="BY47" s="12">
        <f>IF('Données projet'!$A$114&gt;35,BY46+BX47-CG46,IF(A47&lt;'Données projet'!$A$114,$BV$205^A47,IF(A47='Données projet'!$A$114,'Données projet'!$B$114,BY46+BX47-CG46)))</f>
        <v>477.79999999999984</v>
      </c>
      <c r="BZ47" s="13">
        <f>BY47*VLOOKUP('Données projet'!$B$12,Paramètres!$A$1:$I$89,3,0)*VLOOKUP('Données projet'!$B$12,Paramètres!$A$1:$I$89,5,0)</f>
        <v>211.18759999999997</v>
      </c>
      <c r="CA47" s="13">
        <f t="shared" si="39"/>
        <v>52.195020939870425</v>
      </c>
      <c r="CB47" s="20">
        <f t="shared" si="10"/>
        <v>458.72473147027421</v>
      </c>
      <c r="CC47" s="59">
        <f t="shared" si="11"/>
        <v>741.44734865480859</v>
      </c>
      <c r="CD47" s="59">
        <f ca="1">AVERAGE(OFFSET($CC$3,0,0,'Données projet'!$E$12+1,1))-AVERAGE(OFFSET($H$3,0,0,'Données projet'!$E$12+1,1))</f>
        <v>297.1442218517625</v>
      </c>
      <c r="CE47" s="59">
        <f t="shared" si="40"/>
        <v>326.0112787126069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27.730163000600776</v>
      </c>
      <c r="CL47" s="21">
        <f>EXP(-LN(2)/25)*CL46+(1-EXP(-LN(2)/25))/(LN(2)/25)*Calculateur!CG47*Calculateur!CI47*VLOOKUP('Données projet'!$B$12,Paramètres!$A$1:$I$89,3,0)*0.475*44/12</f>
        <v>21.989124735502667</v>
      </c>
      <c r="CM47" s="21">
        <f>EXP(-LN(2)/2)*CM46+(1-EXP(-LN(2)/2))/(LN(2)/2)*CG47*CJ47*VLOOKUP('Données projet'!$B$12,Paramètres!$A$1:$I$89,3,0)*0.475*44/12</f>
        <v>2.1751439579353953</v>
      </c>
      <c r="CN47" s="22">
        <f t="shared" si="12"/>
        <v>51.894431694038836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67.106168323054817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19.600000000000001</v>
      </c>
      <c r="CT47" s="12">
        <f>IF('Données projet'!$A$140&gt;35,CT46+CS47-DB46,IF(A47&lt;'Données projet'!$A$140,$CQ$205^A47,IF(A47='Données projet'!$A$140,'Données projet'!$B$140,CT46+CS47-DB46)))</f>
        <v>401.40000000000009</v>
      </c>
      <c r="CU47" s="17">
        <f>CT47*VLOOKUP('Données projet'!$B$13,Paramètres!$A$1:$I$89,3,0)*VLOOKUP('Données projet'!$B$13,Paramètres!$A$1:$I$89,5,0)</f>
        <v>240.0372000000001</v>
      </c>
      <c r="CV47" s="13">
        <f t="shared" si="41"/>
        <v>58.447534171232547</v>
      </c>
      <c r="CW47" s="20">
        <f t="shared" si="13"/>
        <v>519.86091201489683</v>
      </c>
      <c r="CX47" s="59">
        <f t="shared" si="14"/>
        <v>802.58352919943115</v>
      </c>
      <c r="CY47" s="59">
        <f ca="1">AVERAGE(OFFSET($CX$3,0,0,'Données projet'!$E$13+1,1))-AVERAGE(OFFSET($H$3,0,0,'Données projet'!$E$13+1,1))</f>
        <v>352.88552266225872</v>
      </c>
      <c r="CZ47" s="59">
        <f t="shared" si="42"/>
        <v>403.29115295154782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28.748107643993563</v>
      </c>
      <c r="DG47" s="21">
        <f>EXP(-LN(2)/25)*DG46+(1-EXP(-LN(2)/25))/(LN(2)/25)*Calculateur!DB47*Calculateur!DD47*VLOOKUP('Données projet'!$B$13,Paramètres!$A$1:$I$89,3,0)*0.475*44/12</f>
        <v>24.33553842341049</v>
      </c>
      <c r="DH47" s="21">
        <f>EXP(-LN(2)/2)*DH46+(1-EXP(-LN(2)/2))/(LN(2)/2)*DB47*DE47*VLOOKUP('Données projet'!$B$13,Paramètres!$A$1:$I$89,3,0)*0.475*44/12</f>
        <v>2.6175974057497404</v>
      </c>
      <c r="DI47" s="22">
        <f t="shared" si="15"/>
        <v>55.701243473153795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67.106168323054817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67.106168323054817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67.106168323054817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67.106168323054817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67.106168323054817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1.25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4.583333333333333</v>
      </c>
      <c r="H48" s="67">
        <f t="shared" si="1"/>
        <v>238.33333333333334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67.156369833011411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203.99999999999991</v>
      </c>
      <c r="O48" s="13">
        <f>N48*VLOOKUP('Données projet'!$B$9,Paramètres!$A$1:$I$89,3,0)*VLOOKUP('Données projet'!$B$9,Paramètres!$A$1:$I$89,5,0)</f>
        <v>184.5791999999999</v>
      </c>
      <c r="P48" s="13">
        <f t="shared" si="33"/>
        <v>46.339479465836618</v>
      </c>
      <c r="Q48" s="20">
        <f t="shared" si="53"/>
        <v>402.18336673633195</v>
      </c>
      <c r="R48" s="59">
        <f t="shared" si="0"/>
        <v>685.09005612404042</v>
      </c>
      <c r="S48" s="59">
        <f ca="1">AVERAGE(OFFSET($R$3,0,0,'Données projet'!$E$9+1,1))-AVERAGE(OFFSET($H$3,0,0,'Données projet'!$E$9+1,1))</f>
        <v>467.10712490977266</v>
      </c>
      <c r="T48" s="59">
        <f t="shared" si="34"/>
        <v>282.99426855025968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4.590036211201765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4.590036211201765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67.156369833011411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150.35280000000006</v>
      </c>
      <c r="AK48" s="13">
        <f t="shared" si="35"/>
        <v>38.658749721546236</v>
      </c>
      <c r="AL48" s="20">
        <f t="shared" si="4"/>
        <v>329.19511576502646</v>
      </c>
      <c r="AM48" s="59">
        <f t="shared" si="5"/>
        <v>612.10180515273487</v>
      </c>
      <c r="AN48" s="59">
        <f ca="1">AVERAGE(OFFSET($AM$3,0,0,'Données projet'!$E$10+1,1))-AVERAGE(OFFSET($H$3,0,0,'Données projet'!$E$10+1,1))</f>
        <v>399.57236812003225</v>
      </c>
      <c r="AO48" s="59">
        <f t="shared" si="36"/>
        <v>245.95971136213691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3.6205889079738069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3.6205889079738069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67.156369833011411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421</v>
      </c>
      <c r="BB48" s="12">
        <f>VLOOKUP(A48,'Données projet'!$A$87:$I$107,9,0)</f>
        <v>19.600000000000001</v>
      </c>
      <c r="BC48" s="12">
        <f t="array" ref="BC48">INDEX(BB:BB,MIN(IF(ISNUMBER(BB48:BB244),ROW(BB48:BB244),"")))</f>
        <v>19.600000000000001</v>
      </c>
      <c r="BD48" s="12">
        <f>IF('Données projet'!$A$88&gt;35,BD47+BC48-BL47,IF(A48&lt;'Données projet'!$A$88,$BA$205^A48,IF(A48='Données projet'!$A$88,'Données projet'!$B$88,BD47+BC48-BL47)))</f>
        <v>421.00000000000011</v>
      </c>
      <c r="BE48" s="13">
        <f>BD48*VLOOKUP('Données projet'!$B$11,Paramètres!$A$1:$I$89,3,0)*VLOOKUP('Données projet'!$B$11,Paramètres!$A$1:$I$89,5,0)</f>
        <v>251.75800000000007</v>
      </c>
      <c r="BF48" s="13">
        <f t="shared" si="37"/>
        <v>60.962236428453878</v>
      </c>
      <c r="BG48" s="20">
        <f t="shared" si="7"/>
        <v>544.65441177955734</v>
      </c>
      <c r="BH48" s="59">
        <f t="shared" si="8"/>
        <v>827.56110116726586</v>
      </c>
      <c r="BI48" s="59">
        <f ca="1">AVERAGE(OFFSET($BH$3,0,0,'Données projet'!$E$11+1,1))-AVERAGE(OFFSET($H$3,0,0,'Données projet'!$E$11+1,1))</f>
        <v>352.88552266225872</v>
      </c>
      <c r="BJ48" s="59">
        <f t="shared" si="38"/>
        <v>403.29115295154782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54</v>
      </c>
      <c r="BM48" s="16">
        <f>IF(ISNA(VLOOKUP(A48,'Données projet'!$A$87:$I$107,5,0)),0%,VLOOKUP(A48,'Données projet'!$A$87:$I$107,5,0)*VLOOKUP('Données projet'!$B$11,Paramètres!$A$1:$I$89,7,0))</f>
        <v>0.22500000000000001</v>
      </c>
      <c r="BN48" s="16">
        <f>IF(ISNA(VLOOKUP(A48,'Données projet'!$A$87:$I$107,6,0)),0%,VLOOKUP(A48,'Données projet'!$A$87:$I$107,6,0)*VLOOKUP('Données projet'!$B$11,Paramètres!$A$1:$I$89,7,0))</f>
        <v>0.12600000000000003</v>
      </c>
      <c r="BO48" s="16">
        <f>IF(ISNA(VLOOKUP(A48,'Données projet'!$A$87:$I$107,7,0)),0%,VLOOKUP(A48,'Données projet'!$A$87:$I$107,7,0))</f>
        <v>0.22</v>
      </c>
      <c r="BP48" s="21">
        <f>EXP(-LN(2)/35)*BP47+(1-EXP(-LN(2)/35))/(LN(2)/35)*BL48*BM48*VLOOKUP('Données projet'!$B$11,Paramètres!$A$1:$I$89,3,0)*0.475*44/12</f>
        <v>37.822794151596185</v>
      </c>
      <c r="BQ48" s="21">
        <f>EXP(-LN(2)/25)*BQ47+(1-EXP(-LN(2)/25))/(LN(2)/25)*Calculateur!BL48*Calculateur!BN48*VLOOKUP('Données projet'!$B$11,Paramètres!$A$1:$I$89,3,0)*0.475*44/12</f>
        <v>29.046344616694402</v>
      </c>
      <c r="BR48" s="21">
        <f>EXP(-LN(2)/2)*BR47+(1-EXP(-LN(2)/2))/(LN(2)/2)*BL48*BO48*VLOOKUP('Données projet'!$B$11,Paramètres!$A$1:$I$89,3,0)*0.475*44/12</f>
        <v>9.8945708534013779</v>
      </c>
      <c r="BS48" s="22">
        <f t="shared" si="9"/>
        <v>76.763709621691959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67.156369833011411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502</v>
      </c>
      <c r="BW48" s="12">
        <f>VLOOKUP(A48,'Données projet'!$A$113:$I$133,9,0)</f>
        <v>24.2</v>
      </c>
      <c r="BX48" s="12">
        <f t="array" ref="BX48">INDEX(BW:BW,MIN(IF(ISNUMBER(BW48:BW244),ROW(BW48:BW244),"")))</f>
        <v>24.2</v>
      </c>
      <c r="BY48" s="12">
        <f>IF('Données projet'!$A$114&gt;35,BY47+BX48-CG47,IF(A48&lt;'Données projet'!$A$114,$BV$205^A48,IF(A48='Données projet'!$A$114,'Données projet'!$B$114,BY47+BX48-CG47)))</f>
        <v>501.99999999999983</v>
      </c>
      <c r="BZ48" s="13">
        <f>BY48*VLOOKUP('Données projet'!$B$12,Paramètres!$A$1:$I$89,3,0)*VLOOKUP('Données projet'!$B$12,Paramètres!$A$1:$I$89,5,0)</f>
        <v>221.88399999999993</v>
      </c>
      <c r="CA48" s="13">
        <f t="shared" si="39"/>
        <v>54.524160374198971</v>
      </c>
      <c r="CB48" s="20">
        <f t="shared" si="10"/>
        <v>481.41087931839644</v>
      </c>
      <c r="CC48" s="59">
        <f t="shared" si="11"/>
        <v>764.31756870610491</v>
      </c>
      <c r="CD48" s="59">
        <f ca="1">AVERAGE(OFFSET($CC$3,0,0,'Données projet'!$E$12+1,1))-AVERAGE(OFFSET($H$3,0,0,'Données projet'!$E$12+1,1))</f>
        <v>297.1442218517625</v>
      </c>
      <c r="CE48" s="59">
        <f t="shared" si="40"/>
        <v>326.0112787126069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56</v>
      </c>
      <c r="CH48" s="16">
        <f>IF(ISNA(VLOOKUP(A48,'Données projet'!$A$113:$I$133,5,0)),0%,VLOOKUP(A48,'Données projet'!$A$113:$I$133,5,0)*VLOOKUP('Données projet'!$B$12,Paramètres!$A$1:$I$89,7,0))</f>
        <v>0.27500000000000002</v>
      </c>
      <c r="CI48" s="16">
        <f>IF(ISNA(VLOOKUP(A48,'Données projet'!$A$113:$I$133,6,0)),0%,VLOOKUP(A48,'Données projet'!$A$113:$I$133,6,0)*VLOOKUP('Données projet'!$B$12,Paramètres!$A$1:$I$89,7,0))</f>
        <v>0.15400000000000003</v>
      </c>
      <c r="CJ48" s="16">
        <f>IF(ISNA(VLOOKUP(A48,'Données projet'!$A$113:$I$133,7,0)),0%,VLOOKUP(A48,'Données projet'!$A$113:$I$133,7,0))</f>
        <v>0.22</v>
      </c>
      <c r="CK48" s="21">
        <f>EXP(-LN(2)/35)*CK47+(1-EXP(-LN(2)/35))/(LN(2)/35)*CG48*CH48*VLOOKUP('Données projet'!$B$12,Paramètres!$A$1:$I$89,3,0)*0.475*44/12</f>
        <v>36.216050353174197</v>
      </c>
      <c r="CL48" s="21">
        <f>EXP(-LN(2)/25)*CL47+(1-EXP(-LN(2)/25))/(LN(2)/25)*Calculateur!CG48*Calculateur!CI48*VLOOKUP('Données projet'!$B$12,Paramètres!$A$1:$I$89,3,0)*0.475*44/12</f>
        <v>26.424530170645731</v>
      </c>
      <c r="CM48" s="21">
        <f>EXP(-LN(2)/2)*CM47+(1-EXP(-LN(2)/2))/(LN(2)/2)*CG48*CJ48*VLOOKUP('Données projet'!$B$12,Paramètres!$A$1:$I$89,3,0)*0.475*44/12</f>
        <v>7.7035620849555837</v>
      </c>
      <c r="CN48" s="22">
        <f t="shared" si="12"/>
        <v>70.344142608775513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67.156369833011411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421</v>
      </c>
      <c r="CR48" s="12">
        <f>VLOOKUP(A48,'Données projet'!$A$139:$I$159,9,0)</f>
        <v>19.600000000000001</v>
      </c>
      <c r="CS48" s="12">
        <f t="array" ref="CS48">INDEX(CR:CR,MIN(IF(ISNUMBER(CR48:CR244),ROW(CR48:CR244),"")))</f>
        <v>19.600000000000001</v>
      </c>
      <c r="CT48" s="12">
        <f>IF('Données projet'!$A$140&gt;35,CT47+CS48-DB47,IF(A48&lt;'Données projet'!$A$140,$CQ$205^A48,IF(A48='Données projet'!$A$140,'Données projet'!$B$140,CT47+CS48-DB47)))</f>
        <v>421.00000000000011</v>
      </c>
      <c r="CU48" s="17">
        <f>CT48*VLOOKUP('Données projet'!$B$13,Paramètres!$A$1:$I$89,3,0)*VLOOKUP('Données projet'!$B$13,Paramètres!$A$1:$I$89,5,0)</f>
        <v>251.75800000000007</v>
      </c>
      <c r="CV48" s="13">
        <f t="shared" si="41"/>
        <v>60.962236428453878</v>
      </c>
      <c r="CW48" s="20">
        <f t="shared" si="13"/>
        <v>544.65441177955734</v>
      </c>
      <c r="CX48" s="59">
        <f t="shared" si="14"/>
        <v>827.56110116726586</v>
      </c>
      <c r="CY48" s="59">
        <f ca="1">AVERAGE(OFFSET($CX$3,0,0,'Données projet'!$E$13+1,1))-AVERAGE(OFFSET($H$3,0,0,'Données projet'!$E$13+1,1))</f>
        <v>352.88552266225872</v>
      </c>
      <c r="CZ48" s="59">
        <f t="shared" si="42"/>
        <v>403.29115295154782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54</v>
      </c>
      <c r="DC48" s="16">
        <f>IF(ISNA(VLOOKUP(A48,'Données projet'!$A$139:$I$159,5,0)),0%,VLOOKUP(A48,'Données projet'!$A$139:$I$159,5,0)*VLOOKUP('Données projet'!$B$13,Paramètres!$A$1:$I$89,7,0))</f>
        <v>0.22500000000000001</v>
      </c>
      <c r="DD48" s="16">
        <f>IF(ISNA(VLOOKUP(A48,'Données projet'!$A$139:$I$159,6,0)),0%,VLOOKUP(A48,'Données projet'!$A$139:$I$159,6,0)*VLOOKUP('Données projet'!$B$13,Paramètres!$A$1:$I$89,7,0))</f>
        <v>0.12600000000000003</v>
      </c>
      <c r="DE48" s="16">
        <f>IF(ISNA(VLOOKUP(A48,'Données projet'!$A$139:$I$159,7,0)),0%,VLOOKUP(A48,'Données projet'!$A$139:$I$159,7,0))</f>
        <v>0.22</v>
      </c>
      <c r="DF48" s="21">
        <f>EXP(-LN(2)/35)*DF47+(1-EXP(-LN(2)/35))/(LN(2)/35)*DB48*DC48*VLOOKUP('Données projet'!$B$13,Paramètres!$A$1:$I$89,3,0)*0.475*44/12</f>
        <v>37.822794151596185</v>
      </c>
      <c r="DG48" s="21">
        <f>EXP(-LN(2)/25)*DG47+(1-EXP(-LN(2)/25))/(LN(2)/25)*Calculateur!DB48*Calculateur!DD48*VLOOKUP('Données projet'!$B$13,Paramètres!$A$1:$I$89,3,0)*0.475*44/12</f>
        <v>29.046344616694402</v>
      </c>
      <c r="DH48" s="21">
        <f>EXP(-LN(2)/2)*DH47+(1-EXP(-LN(2)/2))/(LN(2)/2)*DB48*DE48*VLOOKUP('Données projet'!$B$13,Paramètres!$A$1:$I$89,3,0)*0.475*44/12</f>
        <v>9.8945708534013779</v>
      </c>
      <c r="DI48" s="22">
        <f t="shared" si="15"/>
        <v>76.763709621691959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67.156369833011411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67.156369833011411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67.156369833011411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67.156369833011411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67.156369833011411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1.25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4.583333333333333</v>
      </c>
      <c r="H49" s="67">
        <f t="shared" si="1"/>
        <v>238.33333333333334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67.205700459004021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186.99999999999991</v>
      </c>
      <c r="O49" s="13">
        <f>N49*VLOOKUP('Données projet'!$B$9,Paramètres!$A$1:$I$89,3,0)*VLOOKUP('Données projet'!$B$9,Paramètres!$A$1:$I$89,5,0)</f>
        <v>169.19759999999991</v>
      </c>
      <c r="P49" s="13">
        <f t="shared" si="33"/>
        <v>42.91026322343285</v>
      </c>
      <c r="Q49" s="20">
        <f t="shared" si="53"/>
        <v>369.42119511414541</v>
      </c>
      <c r="R49" s="59">
        <f t="shared" si="0"/>
        <v>652.50876346382688</v>
      </c>
      <c r="S49" s="59">
        <f ca="1">AVERAGE(OFFSET($R$3,0,0,'Données projet'!$E$9+1,1))-AVERAGE(OFFSET($H$3,0,0,'Données projet'!$E$9+1,1))</f>
        <v>467.10712490977266</v>
      </c>
      <c r="T49" s="59">
        <f t="shared" si="34"/>
        <v>282.99426855025968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4.5000284007457454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4.5000284007457454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67.205700459004021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138.17232000000004</v>
      </c>
      <c r="AK49" s="13">
        <f t="shared" si="35"/>
        <v>35.877989993863793</v>
      </c>
      <c r="AL49" s="20">
        <f t="shared" si="4"/>
        <v>303.13762323931286</v>
      </c>
      <c r="AM49" s="59">
        <f t="shared" si="5"/>
        <v>586.22519158899422</v>
      </c>
      <c r="AN49" s="59">
        <f ca="1">AVERAGE(OFFSET($AM$3,0,0,'Données projet'!$E$10+1,1))-AVERAGE(OFFSET($H$3,0,0,'Données projet'!$E$10+1,1))</f>
        <v>399.57236812003225</v>
      </c>
      <c r="AO49" s="59">
        <f t="shared" si="36"/>
        <v>245.95971136213691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3.5495913678296187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3.5495913678296187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67.205700459004021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18.2</v>
      </c>
      <c r="BD49" s="12">
        <f>IF('Données projet'!$A$88&gt;35,BD48+BC49-BL48,IF(A49&lt;'Données projet'!$A$88,$BA$205^A49,IF(A49='Données projet'!$A$88,'Données projet'!$B$88,BD48+BC49-BL48)))</f>
        <v>385.2000000000001</v>
      </c>
      <c r="BE49" s="13">
        <f>BD49*VLOOKUP('Données projet'!$B$11,Paramètres!$A$1:$I$89,3,0)*VLOOKUP('Données projet'!$B$11,Paramètres!$A$1:$I$89,5,0)</f>
        <v>230.34960000000009</v>
      </c>
      <c r="BF49" s="13">
        <f t="shared" si="37"/>
        <v>56.35826654142631</v>
      </c>
      <c r="BG49" s="20">
        <f t="shared" si="7"/>
        <v>499.34953422631764</v>
      </c>
      <c r="BH49" s="59">
        <f t="shared" si="8"/>
        <v>782.43710257599901</v>
      </c>
      <c r="BI49" s="59">
        <f ca="1">AVERAGE(OFFSET($BH$3,0,0,'Données projet'!$E$11+1,1))-AVERAGE(OFFSET($H$3,0,0,'Données projet'!$E$11+1,1))</f>
        <v>352.88552266225872</v>
      </c>
      <c r="BJ49" s="59">
        <f t="shared" si="38"/>
        <v>403.29115295154782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37.081112227909877</v>
      </c>
      <c r="BQ49" s="21">
        <f>EXP(-LN(2)/25)*BQ48+(1-EXP(-LN(2)/25))/(LN(2)/25)*Calculateur!BL49*Calculateur!BN49*VLOOKUP('Données projet'!$B$11,Paramètres!$A$1:$I$89,3,0)*0.475*44/12</f>
        <v>28.252070795670015</v>
      </c>
      <c r="BR49" s="21">
        <f>EXP(-LN(2)/2)*BR48+(1-EXP(-LN(2)/2))/(LN(2)/2)*BL49*BO49*VLOOKUP('Données projet'!$B$11,Paramètres!$A$1:$I$89,3,0)*0.475*44/12</f>
        <v>6.9965181473708791</v>
      </c>
      <c r="BS49" s="22">
        <f t="shared" si="9"/>
        <v>72.32970117095077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67.205700459004021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22</v>
      </c>
      <c r="BY49" s="12">
        <f>IF('Données projet'!$A$114&gt;35,BY48+BX49-CG48,IF(A49&lt;'Données projet'!$A$114,$BV$205^A49,IF(A49='Données projet'!$A$114,'Données projet'!$B$114,BY48+BX49-CG48)))</f>
        <v>467.99999999999977</v>
      </c>
      <c r="BZ49" s="13">
        <f>BY49*VLOOKUP('Données projet'!$B$12,Paramètres!$A$1:$I$89,3,0)*VLOOKUP('Données projet'!$B$12,Paramètres!$A$1:$I$89,5,0)</f>
        <v>206.85599999999994</v>
      </c>
      <c r="CA49" s="13">
        <f t="shared" si="39"/>
        <v>51.247940588293027</v>
      </c>
      <c r="CB49" s="20">
        <f t="shared" si="10"/>
        <v>449.53102985794357</v>
      </c>
      <c r="CC49" s="59">
        <f t="shared" si="11"/>
        <v>732.61859820762493</v>
      </c>
      <c r="CD49" s="59">
        <f ca="1">AVERAGE(OFFSET($CC$3,0,0,'Données projet'!$E$12+1,1))-AVERAGE(OFFSET($H$3,0,0,'Données projet'!$E$12+1,1))</f>
        <v>297.1442218517625</v>
      </c>
      <c r="CE49" s="59">
        <f t="shared" si="40"/>
        <v>326.0112787126069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35.505875695358</v>
      </c>
      <c r="CL49" s="21">
        <f>EXP(-LN(2)/25)*CL48+(1-EXP(-LN(2)/25))/(LN(2)/25)*Calculateur!CG49*Calculateur!CI49*VLOOKUP('Données projet'!$B$12,Paramètres!$A$1:$I$89,3,0)*0.475*44/12</f>
        <v>25.701950003523777</v>
      </c>
      <c r="CM49" s="21">
        <f>EXP(-LN(2)/2)*CM48+(1-EXP(-LN(2)/2))/(LN(2)/2)*CG49*CJ49*VLOOKUP('Données projet'!$B$12,Paramètres!$A$1:$I$89,3,0)*0.475*44/12</f>
        <v>5.4472409895636718</v>
      </c>
      <c r="CN49" s="22">
        <f t="shared" si="12"/>
        <v>66.655066688445444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67.205700459004021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18.2</v>
      </c>
      <c r="CT49" s="12">
        <f>IF('Données projet'!$A$140&gt;35,CT48+CS49-DB48,IF(A49&lt;'Données projet'!$A$140,$CQ$205^A49,IF(A49='Données projet'!$A$140,'Données projet'!$B$140,CT48+CS49-DB48)))</f>
        <v>385.2000000000001</v>
      </c>
      <c r="CU49" s="17">
        <f>CT49*VLOOKUP('Données projet'!$B$13,Paramètres!$A$1:$I$89,3,0)*VLOOKUP('Données projet'!$B$13,Paramètres!$A$1:$I$89,5,0)</f>
        <v>230.34960000000009</v>
      </c>
      <c r="CV49" s="13">
        <f t="shared" si="41"/>
        <v>56.35826654142631</v>
      </c>
      <c r="CW49" s="20">
        <f t="shared" si="13"/>
        <v>499.34953422631764</v>
      </c>
      <c r="CX49" s="59">
        <f t="shared" si="14"/>
        <v>782.43710257599901</v>
      </c>
      <c r="CY49" s="59">
        <f ca="1">AVERAGE(OFFSET($CX$3,0,0,'Données projet'!$E$13+1,1))-AVERAGE(OFFSET($H$3,0,0,'Données projet'!$E$13+1,1))</f>
        <v>352.88552266225872</v>
      </c>
      <c r="CZ49" s="59">
        <f t="shared" si="42"/>
        <v>403.29115295154782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37.081112227909877</v>
      </c>
      <c r="DG49" s="21">
        <f>EXP(-LN(2)/25)*DG48+(1-EXP(-LN(2)/25))/(LN(2)/25)*Calculateur!DB49*Calculateur!DD49*VLOOKUP('Données projet'!$B$13,Paramètres!$A$1:$I$89,3,0)*0.475*44/12</f>
        <v>28.252070795670015</v>
      </c>
      <c r="DH49" s="21">
        <f>EXP(-LN(2)/2)*DH48+(1-EXP(-LN(2)/2))/(LN(2)/2)*DB49*DE49*VLOOKUP('Données projet'!$B$13,Paramètres!$A$1:$I$89,3,0)*0.475*44/12</f>
        <v>6.9965181473708791</v>
      </c>
      <c r="DI49" s="22">
        <f t="shared" si="15"/>
        <v>72.32970117095077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67.205700459004021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67.205700459004021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67.205700459004021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67.205700459004021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67.205700459004021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1.25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4.583333333333333</v>
      </c>
      <c r="H50" s="67">
        <f t="shared" si="1"/>
        <v>238.33333333333334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67.254175308922413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197.99999999999991</v>
      </c>
      <c r="O50" s="13">
        <f>N50*VLOOKUP('Données projet'!$B$9,Paramètres!$A$1:$I$89,3,0)*VLOOKUP('Données projet'!$B$9,Paramètres!$A$1:$I$89,5,0)</f>
        <v>179.15039999999993</v>
      </c>
      <c r="P50" s="13">
        <f t="shared" si="33"/>
        <v>45.133113803437304</v>
      </c>
      <c r="Q50" s="20">
        <f t="shared" si="53"/>
        <v>390.62711987431982</v>
      </c>
      <c r="R50" s="59">
        <f t="shared" si="0"/>
        <v>673.89242934036861</v>
      </c>
      <c r="S50" s="59">
        <f ca="1">AVERAGE(OFFSET($R$3,0,0,'Données projet'!$E$9+1,1))-AVERAGE(OFFSET($H$3,0,0,'Données projet'!$E$9+1,1))</f>
        <v>467.10712490977266</v>
      </c>
      <c r="T50" s="59">
        <f t="shared" si="34"/>
        <v>282.99426855025968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4.4117855885534247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4.4117855885534247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67.254175308922413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145.97544000000002</v>
      </c>
      <c r="AK50" s="13">
        <f t="shared" si="35"/>
        <v>37.662547285900686</v>
      </c>
      <c r="AL50" s="20">
        <f t="shared" si="4"/>
        <v>319.83616118961032</v>
      </c>
      <c r="AM50" s="59">
        <f t="shared" si="5"/>
        <v>603.10147065565911</v>
      </c>
      <c r="AN50" s="59">
        <f ca="1">AVERAGE(OFFSET($AM$3,0,0,'Données projet'!$E$10+1,1))-AVERAGE(OFFSET($H$3,0,0,'Données projet'!$E$10+1,1))</f>
        <v>399.57236812003225</v>
      </c>
      <c r="AO50" s="59">
        <f t="shared" si="36"/>
        <v>245.95971136213691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3.4799860461434347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3.4799860461434347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67.254175308922413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18.2</v>
      </c>
      <c r="BD50" s="12">
        <f>IF('Données projet'!$A$88&gt;35,BD49+BC50-BL49,IF(A50&lt;'Données projet'!$A$88,$BA$205^A50,IF(A50='Données projet'!$A$88,'Données projet'!$B$88,BD49+BC50-BL49)))</f>
        <v>403.40000000000009</v>
      </c>
      <c r="BE50" s="13">
        <f>BD50*VLOOKUP('Données projet'!$B$11,Paramètres!$A$1:$I$89,3,0)*VLOOKUP('Données projet'!$B$11,Paramètres!$A$1:$I$89,5,0)</f>
        <v>241.23320000000007</v>
      </c>
      <c r="BF50" s="13">
        <f t="shared" si="37"/>
        <v>58.704780274027783</v>
      </c>
      <c r="BG50" s="20">
        <f t="shared" si="7"/>
        <v>522.39198231059845</v>
      </c>
      <c r="BH50" s="59">
        <f t="shared" si="8"/>
        <v>805.6572917766473</v>
      </c>
      <c r="BI50" s="59">
        <f ca="1">AVERAGE(OFFSET($BH$3,0,0,'Données projet'!$E$11+1,1))-AVERAGE(OFFSET($H$3,0,0,'Données projet'!$E$11+1,1))</f>
        <v>352.88552266225872</v>
      </c>
      <c r="BJ50" s="59">
        <f t="shared" si="38"/>
        <v>403.29115295154782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36.353974234365758</v>
      </c>
      <c r="BQ50" s="21">
        <f>EXP(-LN(2)/25)*BQ49+(1-EXP(-LN(2)/25))/(LN(2)/25)*Calculateur!BL50*Calculateur!BN50*VLOOKUP('Données projet'!$B$11,Paramètres!$A$1:$I$89,3,0)*0.475*44/12</f>
        <v>27.479516434050588</v>
      </c>
      <c r="BR50" s="21">
        <f>EXP(-LN(2)/2)*BR49+(1-EXP(-LN(2)/2))/(LN(2)/2)*BL50*BO50*VLOOKUP('Données projet'!$B$11,Paramètres!$A$1:$I$89,3,0)*0.475*44/12</f>
        <v>4.9472854267006898</v>
      </c>
      <c r="BS50" s="22">
        <f t="shared" si="9"/>
        <v>68.780776095117034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67.254175308922413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22</v>
      </c>
      <c r="BY50" s="12">
        <f>IF('Données projet'!$A$114&gt;35,BY49+BX50-CG49,IF(A50&lt;'Données projet'!$A$114,$BV$205^A50,IF(A50='Données projet'!$A$114,'Données projet'!$B$114,BY49+BX50-CG49)))</f>
        <v>489.99999999999977</v>
      </c>
      <c r="BZ50" s="13">
        <f>BY50*VLOOKUP('Données projet'!$B$12,Paramètres!$A$1:$I$89,3,0)*VLOOKUP('Données projet'!$B$12,Paramètres!$A$1:$I$89,5,0)</f>
        <v>216.57999999999993</v>
      </c>
      <c r="CA50" s="13">
        <f t="shared" si="39"/>
        <v>53.37088917986501</v>
      </c>
      <c r="CB50" s="20">
        <f t="shared" si="10"/>
        <v>470.16446532159807</v>
      </c>
      <c r="CC50" s="59">
        <f t="shared" si="11"/>
        <v>753.42977478764692</v>
      </c>
      <c r="CD50" s="59">
        <f ca="1">AVERAGE(OFFSET($CC$3,0,0,'Données projet'!$E$12+1,1))-AVERAGE(OFFSET($H$3,0,0,'Données projet'!$E$12+1,1))</f>
        <v>297.1442218517625</v>
      </c>
      <c r="CE50" s="59">
        <f t="shared" si="40"/>
        <v>326.0112787126069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34.809627129417805</v>
      </c>
      <c r="CL50" s="21">
        <f>EXP(-LN(2)/25)*CL49+(1-EXP(-LN(2)/25))/(LN(2)/25)*Calculateur!CG50*Calculateur!CI50*VLOOKUP('Données projet'!$B$12,Paramètres!$A$1:$I$89,3,0)*0.475*44/12</f>
        <v>24.99912882907061</v>
      </c>
      <c r="CM50" s="21">
        <f>EXP(-LN(2)/2)*CM49+(1-EXP(-LN(2)/2))/(LN(2)/2)*CG50*CJ50*VLOOKUP('Données projet'!$B$12,Paramètres!$A$1:$I$89,3,0)*0.475*44/12</f>
        <v>3.8517810424777923</v>
      </c>
      <c r="CN50" s="22">
        <f t="shared" si="12"/>
        <v>63.660537000966208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67.254175308922413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18.2</v>
      </c>
      <c r="CT50" s="12">
        <f>IF('Données projet'!$A$140&gt;35,CT49+CS50-DB49,IF(A50&lt;'Données projet'!$A$140,$CQ$205^A50,IF(A50='Données projet'!$A$140,'Données projet'!$B$140,CT49+CS50-DB49)))</f>
        <v>403.40000000000009</v>
      </c>
      <c r="CU50" s="17">
        <f>CT50*VLOOKUP('Données projet'!$B$13,Paramètres!$A$1:$I$89,3,0)*VLOOKUP('Données projet'!$B$13,Paramètres!$A$1:$I$89,5,0)</f>
        <v>241.23320000000007</v>
      </c>
      <c r="CV50" s="13">
        <f t="shared" si="41"/>
        <v>58.704780274027783</v>
      </c>
      <c r="CW50" s="20">
        <f t="shared" si="13"/>
        <v>522.39198231059845</v>
      </c>
      <c r="CX50" s="59">
        <f t="shared" si="14"/>
        <v>805.6572917766473</v>
      </c>
      <c r="CY50" s="59">
        <f ca="1">AVERAGE(OFFSET($CX$3,0,0,'Données projet'!$E$13+1,1))-AVERAGE(OFFSET($H$3,0,0,'Données projet'!$E$13+1,1))</f>
        <v>352.88552266225872</v>
      </c>
      <c r="CZ50" s="59">
        <f t="shared" si="42"/>
        <v>403.29115295154782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36.353974234365758</v>
      </c>
      <c r="DG50" s="21">
        <f>EXP(-LN(2)/25)*DG49+(1-EXP(-LN(2)/25))/(LN(2)/25)*Calculateur!DB50*Calculateur!DD50*VLOOKUP('Données projet'!$B$13,Paramètres!$A$1:$I$89,3,0)*0.475*44/12</f>
        <v>27.479516434050588</v>
      </c>
      <c r="DH50" s="21">
        <f>EXP(-LN(2)/2)*DH49+(1-EXP(-LN(2)/2))/(LN(2)/2)*DB50*DE50*VLOOKUP('Données projet'!$B$13,Paramètres!$A$1:$I$89,3,0)*0.475*44/12</f>
        <v>4.9472854267006898</v>
      </c>
      <c r="DI50" s="22">
        <f t="shared" si="15"/>
        <v>68.780776095117034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67.254175308922413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67.254175308922413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67.254175308922413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67.254175308922413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67.254175308922413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1.25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4.583333333333333</v>
      </c>
      <c r="H51" s="67">
        <f t="shared" si="1"/>
        <v>238.33333333333334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67.30180922856826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208.99999999999991</v>
      </c>
      <c r="O51" s="13">
        <f>N51*VLOOKUP('Données projet'!$B$9,Paramètres!$A$1:$I$89,3,0)*VLOOKUP('Données projet'!$B$9,Paramètres!$A$1:$I$89,5,0)</f>
        <v>189.10319999999993</v>
      </c>
      <c r="P51" s="13">
        <f t="shared" si="33"/>
        <v>47.34162854278712</v>
      </c>
      <c r="Q51" s="20">
        <f t="shared" si="53"/>
        <v>411.80807637868742</v>
      </c>
      <c r="R51" s="59">
        <f t="shared" si="0"/>
        <v>695.2480435501044</v>
      </c>
      <c r="S51" s="59">
        <f ca="1">AVERAGE(OFFSET($R$3,0,0,'Données projet'!$E$9+1,1))-AVERAGE(OFFSET($H$3,0,0,'Données projet'!$E$9+1,1))</f>
        <v>467.10712490977266</v>
      </c>
      <c r="T51" s="59">
        <f t="shared" si="34"/>
        <v>282.99426855025968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4.3252731640853943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4.3252731640853943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67.30180922856826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153.77856000000003</v>
      </c>
      <c r="AK51" s="13">
        <f t="shared" si="35"/>
        <v>39.436029674841947</v>
      </c>
      <c r="AL51" s="20">
        <f t="shared" si="4"/>
        <v>336.51541035034978</v>
      </c>
      <c r="AM51" s="59">
        <f t="shared" si="5"/>
        <v>619.95537752176676</v>
      </c>
      <c r="AN51" s="59">
        <f ca="1">AVERAGE(OFFSET($AM$3,0,0,'Données projet'!$E$10+1,1))-AVERAGE(OFFSET($H$3,0,0,'Données projet'!$E$10+1,1))</f>
        <v>399.57236812003225</v>
      </c>
      <c r="AO51" s="59">
        <f t="shared" si="36"/>
        <v>245.95971136213691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3.4117456423604624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3.4117456423604624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67.30180922856826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18.2</v>
      </c>
      <c r="BD51" s="12">
        <f>IF('Données projet'!$A$88&gt;35,BD50+BC51-BL50,IF(A51&lt;'Données projet'!$A$88,$BA$205^A51,IF(A51='Données projet'!$A$88,'Données projet'!$B$88,BD50+BC51-BL50)))</f>
        <v>421.60000000000008</v>
      </c>
      <c r="BE51" s="13">
        <f>BD51*VLOOKUP('Données projet'!$B$11,Paramètres!$A$1:$I$89,3,0)*VLOOKUP('Données projet'!$B$11,Paramètres!$A$1:$I$89,5,0)</f>
        <v>252.11680000000007</v>
      </c>
      <c r="BF51" s="13">
        <f t="shared" si="37"/>
        <v>61.038999041073623</v>
      </c>
      <c r="BG51" s="20">
        <f t="shared" si="7"/>
        <v>545.41301666320339</v>
      </c>
      <c r="BH51" s="59">
        <f t="shared" si="8"/>
        <v>828.85298383462032</v>
      </c>
      <c r="BI51" s="59">
        <f ca="1">AVERAGE(OFFSET($BH$3,0,0,'Données projet'!$E$11+1,1))-AVERAGE(OFFSET($H$3,0,0,'Données projet'!$E$11+1,1))</f>
        <v>352.88552266225872</v>
      </c>
      <c r="BJ51" s="59">
        <f t="shared" si="38"/>
        <v>403.29115295154782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35.641094973364652</v>
      </c>
      <c r="BQ51" s="21">
        <f>EXP(-LN(2)/25)*BQ50+(1-EXP(-LN(2)/25))/(LN(2)/25)*Calculateur!BL51*Calculateur!BN51*VLOOKUP('Données projet'!$B$11,Paramètres!$A$1:$I$89,3,0)*0.475*44/12</f>
        <v>26.728087612076511</v>
      </c>
      <c r="BR51" s="21">
        <f>EXP(-LN(2)/2)*BR50+(1-EXP(-LN(2)/2))/(LN(2)/2)*BL51*BO51*VLOOKUP('Données projet'!$B$11,Paramètres!$A$1:$I$89,3,0)*0.475*44/12</f>
        <v>3.4982590736854404</v>
      </c>
      <c r="BS51" s="22">
        <f t="shared" si="9"/>
        <v>65.867441659126612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67.30180922856826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22</v>
      </c>
      <c r="BY51" s="12">
        <f>IF('Données projet'!$A$114&gt;35,BY50+BX51-CG50,IF(A51&lt;'Données projet'!$A$114,$BV$205^A51,IF(A51='Données projet'!$A$114,'Données projet'!$B$114,BY50+BX51-CG50)))</f>
        <v>511.99999999999977</v>
      </c>
      <c r="BZ51" s="13">
        <f>BY51*VLOOKUP('Données projet'!$B$12,Paramètres!$A$1:$I$89,3,0)*VLOOKUP('Données projet'!$B$12,Paramètres!$A$1:$I$89,5,0)</f>
        <v>226.30399999999992</v>
      </c>
      <c r="CA51" s="13">
        <f t="shared" si="39"/>
        <v>55.482767995847304</v>
      </c>
      <c r="CB51" s="20">
        <f t="shared" si="10"/>
        <v>490.77862092610059</v>
      </c>
      <c r="CC51" s="59">
        <f t="shared" si="11"/>
        <v>774.21858809751757</v>
      </c>
      <c r="CD51" s="59">
        <f ca="1">AVERAGE(OFFSET($CC$3,0,0,'Données projet'!$E$12+1,1))-AVERAGE(OFFSET($H$3,0,0,'Données projet'!$E$12+1,1))</f>
        <v>297.1442218517625</v>
      </c>
      <c r="CE51" s="59">
        <f t="shared" si="40"/>
        <v>326.0112787126069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34.127031573186009</v>
      </c>
      <c r="CL51" s="21">
        <f>EXP(-LN(2)/25)*CL50+(1-EXP(-LN(2)/25))/(LN(2)/25)*Calculateur!CG51*Calculateur!CI51*VLOOKUP('Données projet'!$B$12,Paramètres!$A$1:$I$89,3,0)*0.475*44/12</f>
        <v>24.315526336592626</v>
      </c>
      <c r="CM51" s="21">
        <f>EXP(-LN(2)/2)*CM50+(1-EXP(-LN(2)/2))/(LN(2)/2)*CG51*CJ51*VLOOKUP('Données projet'!$B$12,Paramètres!$A$1:$I$89,3,0)*0.475*44/12</f>
        <v>2.7236204947818363</v>
      </c>
      <c r="CN51" s="22">
        <f t="shared" si="12"/>
        <v>61.166178404560469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67.30180922856826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18.2</v>
      </c>
      <c r="CT51" s="12">
        <f>IF('Données projet'!$A$140&gt;35,CT50+CS51-DB50,IF(A51&lt;'Données projet'!$A$140,$CQ$205^A51,IF(A51='Données projet'!$A$140,'Données projet'!$B$140,CT50+CS51-DB50)))</f>
        <v>421.60000000000008</v>
      </c>
      <c r="CU51" s="17">
        <f>CT51*VLOOKUP('Données projet'!$B$13,Paramètres!$A$1:$I$89,3,0)*VLOOKUP('Données projet'!$B$13,Paramètres!$A$1:$I$89,5,0)</f>
        <v>252.11680000000007</v>
      </c>
      <c r="CV51" s="13">
        <f t="shared" si="41"/>
        <v>61.038999041073623</v>
      </c>
      <c r="CW51" s="20">
        <f t="shared" si="13"/>
        <v>545.41301666320339</v>
      </c>
      <c r="CX51" s="59">
        <f t="shared" si="14"/>
        <v>828.85298383462032</v>
      </c>
      <c r="CY51" s="59">
        <f ca="1">AVERAGE(OFFSET($CX$3,0,0,'Données projet'!$E$13+1,1))-AVERAGE(OFFSET($H$3,0,0,'Données projet'!$E$13+1,1))</f>
        <v>352.88552266225872</v>
      </c>
      <c r="CZ51" s="59">
        <f t="shared" si="42"/>
        <v>403.29115295154782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35.641094973364652</v>
      </c>
      <c r="DG51" s="21">
        <f>EXP(-LN(2)/25)*DG50+(1-EXP(-LN(2)/25))/(LN(2)/25)*Calculateur!DB51*Calculateur!DD51*VLOOKUP('Données projet'!$B$13,Paramètres!$A$1:$I$89,3,0)*0.475*44/12</f>
        <v>26.728087612076511</v>
      </c>
      <c r="DH51" s="21">
        <f>EXP(-LN(2)/2)*DH50+(1-EXP(-LN(2)/2))/(LN(2)/2)*DB51*DE51*VLOOKUP('Données projet'!$B$13,Paramètres!$A$1:$I$89,3,0)*0.475*44/12</f>
        <v>3.4982590736854404</v>
      </c>
      <c r="DI51" s="22">
        <f t="shared" si="15"/>
        <v>65.867441659126612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67.30180922856826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67.30180922856826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67.30180922856826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67.30180922856826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67.30180922856826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1.25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4.583333333333333</v>
      </c>
      <c r="H52" s="67">
        <f t="shared" si="1"/>
        <v>238.33333333333334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67.348616806201719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219.99999999999991</v>
      </c>
      <c r="O52" s="13">
        <f>N52*VLOOKUP('Données projet'!$B$9,Paramètres!$A$1:$I$89,3,0)*VLOOKUP('Données projet'!$B$9,Paramètres!$A$1:$I$89,5,0)</f>
        <v>199.0559999999999</v>
      </c>
      <c r="P52" s="13">
        <f t="shared" si="33"/>
        <v>49.536648006253891</v>
      </c>
      <c r="Q52" s="20">
        <f t="shared" si="53"/>
        <v>432.96552861089202</v>
      </c>
      <c r="R52" s="59">
        <f t="shared" si="0"/>
        <v>716.57712356696493</v>
      </c>
      <c r="S52" s="59">
        <f ca="1">AVERAGE(OFFSET($R$3,0,0,'Données projet'!$E$9+1,1))-AVERAGE(OFFSET($H$3,0,0,'Données projet'!$E$9+1,1))</f>
        <v>467.10712490977266</v>
      </c>
      <c r="T52" s="59">
        <f t="shared" si="34"/>
        <v>282.99426855025968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4.2404571954938133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4.2404571954938133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67.348616806201719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161.58168000000001</v>
      </c>
      <c r="AK52" s="13">
        <f t="shared" si="35"/>
        <v>41.199063244334951</v>
      </c>
      <c r="AL52" s="20">
        <f t="shared" si="4"/>
        <v>353.17646115055004</v>
      </c>
      <c r="AM52" s="59">
        <f t="shared" si="5"/>
        <v>636.788056106623</v>
      </c>
      <c r="AN52" s="59">
        <f ca="1">AVERAGE(OFFSET($AM$3,0,0,'Données projet'!$E$10+1,1))-AVERAGE(OFFSET($H$3,0,0,'Données projet'!$E$10+1,1))</f>
        <v>399.57236812003225</v>
      </c>
      <c r="AO52" s="59">
        <f t="shared" si="36"/>
        <v>245.95971136213691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3.3448433912731379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3.3448433912731379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67.348616806201719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18.2</v>
      </c>
      <c r="BD52" s="12">
        <f>IF('Données projet'!$A$88&gt;35,BD51+BC52-BL51,IF(A52&lt;'Données projet'!$A$88,$BA$205^A52,IF(A52='Données projet'!$A$88,'Données projet'!$B$88,BD51+BC52-BL51)))</f>
        <v>439.80000000000007</v>
      </c>
      <c r="BE52" s="13">
        <f>BD52*VLOOKUP('Données projet'!$B$11,Paramètres!$A$1:$I$89,3,0)*VLOOKUP('Données projet'!$B$11,Paramètres!$A$1:$I$89,5,0)</f>
        <v>263.00040000000007</v>
      </c>
      <c r="BF52" s="13">
        <f t="shared" si="37"/>
        <v>63.36151427162276</v>
      </c>
      <c r="BG52" s="20">
        <f t="shared" si="7"/>
        <v>568.41366735640975</v>
      </c>
      <c r="BH52" s="59">
        <f t="shared" si="8"/>
        <v>852.02526231248271</v>
      </c>
      <c r="BI52" s="59">
        <f ca="1">AVERAGE(OFFSET($BH$3,0,0,'Données projet'!$E$11+1,1))-AVERAGE(OFFSET($H$3,0,0,'Données projet'!$E$11+1,1))</f>
        <v>352.88552266225872</v>
      </c>
      <c r="BJ52" s="59">
        <f t="shared" si="38"/>
        <v>403.29115295154782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34.942194839858367</v>
      </c>
      <c r="BQ52" s="21">
        <f>EXP(-LN(2)/25)*BQ51+(1-EXP(-LN(2)/25))/(LN(2)/25)*Calculateur!BL52*Calculateur!BN52*VLOOKUP('Données projet'!$B$11,Paramètres!$A$1:$I$89,3,0)*0.475*44/12</f>
        <v>25.997206650755238</v>
      </c>
      <c r="BR52" s="21">
        <f>EXP(-LN(2)/2)*BR51+(1-EXP(-LN(2)/2))/(LN(2)/2)*BL52*BO52*VLOOKUP('Données projet'!$B$11,Paramètres!$A$1:$I$89,3,0)*0.475*44/12</f>
        <v>2.4736427133503454</v>
      </c>
      <c r="BS52" s="22">
        <f t="shared" si="9"/>
        <v>63.413044203963949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67.348616806201719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22</v>
      </c>
      <c r="BY52" s="12">
        <f>IF('Données projet'!$A$114&gt;35,BY51+BX52-CG51,IF(A52&lt;'Données projet'!$A$114,$BV$205^A52,IF(A52='Données projet'!$A$114,'Données projet'!$B$114,BY51+BX52-CG51)))</f>
        <v>533.99999999999977</v>
      </c>
      <c r="BZ52" s="13">
        <f>BY52*VLOOKUP('Données projet'!$B$12,Paramètres!$A$1:$I$89,3,0)*VLOOKUP('Données projet'!$B$12,Paramètres!$A$1:$I$89,5,0)</f>
        <v>236.02799999999993</v>
      </c>
      <c r="CA52" s="13">
        <f t="shared" si="39"/>
        <v>57.584107063945616</v>
      </c>
      <c r="CB52" s="20">
        <f t="shared" si="10"/>
        <v>511.37441980303851</v>
      </c>
      <c r="CC52" s="59">
        <f t="shared" si="11"/>
        <v>794.98601475911141</v>
      </c>
      <c r="CD52" s="59">
        <f ca="1">AVERAGE(OFFSET($CC$3,0,0,'Données projet'!$E$12+1,1))-AVERAGE(OFFSET($H$3,0,0,'Données projet'!$E$12+1,1))</f>
        <v>297.1442218517625</v>
      </c>
      <c r="CE52" s="59">
        <f t="shared" si="40"/>
        <v>326.0112787126069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33.457821299469735</v>
      </c>
      <c r="CL52" s="21">
        <f>EXP(-LN(2)/25)*CL51+(1-EXP(-LN(2)/25))/(LN(2)/25)*Calculateur!CG52*Calculateur!CI52*VLOOKUP('Données projet'!$B$12,Paramètres!$A$1:$I$89,3,0)*0.475*44/12</f>
        <v>23.650616990220545</v>
      </c>
      <c r="CM52" s="21">
        <f>EXP(-LN(2)/2)*CM51+(1-EXP(-LN(2)/2))/(LN(2)/2)*CG52*CJ52*VLOOKUP('Données projet'!$B$12,Paramètres!$A$1:$I$89,3,0)*0.475*44/12</f>
        <v>1.9258905212388964</v>
      </c>
      <c r="CN52" s="22">
        <f t="shared" si="12"/>
        <v>59.034328810929182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67.348616806201719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18.2</v>
      </c>
      <c r="CT52" s="12">
        <f>IF('Données projet'!$A$140&gt;35,CT51+CS52-DB51,IF(A52&lt;'Données projet'!$A$140,$CQ$205^A52,IF(A52='Données projet'!$A$140,'Données projet'!$B$140,CT51+CS52-DB51)))</f>
        <v>439.80000000000007</v>
      </c>
      <c r="CU52" s="17">
        <f>CT52*VLOOKUP('Données projet'!$B$13,Paramètres!$A$1:$I$89,3,0)*VLOOKUP('Données projet'!$B$13,Paramètres!$A$1:$I$89,5,0)</f>
        <v>263.00040000000007</v>
      </c>
      <c r="CV52" s="13">
        <f t="shared" si="41"/>
        <v>63.36151427162276</v>
      </c>
      <c r="CW52" s="20">
        <f t="shared" si="13"/>
        <v>568.41366735640975</v>
      </c>
      <c r="CX52" s="59">
        <f t="shared" si="14"/>
        <v>852.02526231248271</v>
      </c>
      <c r="CY52" s="59">
        <f ca="1">AVERAGE(OFFSET($CX$3,0,0,'Données projet'!$E$13+1,1))-AVERAGE(OFFSET($H$3,0,0,'Données projet'!$E$13+1,1))</f>
        <v>352.88552266225872</v>
      </c>
      <c r="CZ52" s="59">
        <f t="shared" si="42"/>
        <v>403.29115295154782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34.942194839858367</v>
      </c>
      <c r="DG52" s="21">
        <f>EXP(-LN(2)/25)*DG51+(1-EXP(-LN(2)/25))/(LN(2)/25)*Calculateur!DB52*Calculateur!DD52*VLOOKUP('Données projet'!$B$13,Paramètres!$A$1:$I$89,3,0)*0.475*44/12</f>
        <v>25.997206650755238</v>
      </c>
      <c r="DH52" s="21">
        <f>EXP(-LN(2)/2)*DH51+(1-EXP(-LN(2)/2))/(LN(2)/2)*DB52*DE52*VLOOKUP('Données projet'!$B$13,Paramètres!$A$1:$I$89,3,0)*0.475*44/12</f>
        <v>2.4736427133503454</v>
      </c>
      <c r="DI52" s="22">
        <f t="shared" si="15"/>
        <v>63.413044203963949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67.348616806201719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67.348616806201719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67.348616806201719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67.348616806201719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67.348616806201719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1.25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4.583333333333333</v>
      </c>
      <c r="H53" s="67">
        <f t="shared" si="1"/>
        <v>238.33333333333334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67.394612377009324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230.99999999999991</v>
      </c>
      <c r="O53" s="13">
        <f>N53*VLOOKUP('Données projet'!$B$9,Paramètres!$A$1:$I$89,3,0)*VLOOKUP('Données projet'!$B$9,Paramètres!$A$1:$I$89,5,0)</f>
        <v>209.00879999999989</v>
      </c>
      <c r="P53" s="13">
        <f t="shared" si="33"/>
        <v>51.718923953824202</v>
      </c>
      <c r="Q53" s="20">
        <f t="shared" si="53"/>
        <v>454.10078588624361</v>
      </c>
      <c r="R53" s="59">
        <f t="shared" si="0"/>
        <v>737.8810312686112</v>
      </c>
      <c r="S53" s="59">
        <f ca="1">AVERAGE(OFFSET($R$3,0,0,'Données projet'!$E$9+1,1))-AVERAGE(OFFSET($H$3,0,0,'Données projet'!$E$9+1,1))</f>
        <v>467.10712490977266</v>
      </c>
      <c r="T53" s="59">
        <f t="shared" si="34"/>
        <v>282.99426855025968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7.7701337293515849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7.7701337293515849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67.394612377009324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169.38480000000001</v>
      </c>
      <c r="AK53" s="13">
        <f t="shared" si="35"/>
        <v>42.952210191662466</v>
      </c>
      <c r="AL53" s="20">
        <f t="shared" si="4"/>
        <v>369.82029275047876</v>
      </c>
      <c r="AM53" s="59">
        <f t="shared" si="5"/>
        <v>653.60053813284628</v>
      </c>
      <c r="AN53" s="59">
        <f ca="1">AVERAGE(OFFSET($AM$3,0,0,'Données projet'!$E$10+1,1))-AVERAGE(OFFSET($H$3,0,0,'Données projet'!$E$10+1,1))</f>
        <v>399.57236812003225</v>
      </c>
      <c r="AO53" s="59">
        <f t="shared" si="36"/>
        <v>245.95971136213691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6.1290278985833631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6.1290278985833631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67.394612377009324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458</v>
      </c>
      <c r="BB53" s="12">
        <f>VLOOKUP(A53,'Données projet'!$A$87:$I$107,9,0)</f>
        <v>18.2</v>
      </c>
      <c r="BC53" s="12">
        <f t="array" ref="BC53">INDEX(BB:BB,MIN(IF(ISNUMBER(BB53:BB249),ROW(BB53:BB249),"")))</f>
        <v>18.2</v>
      </c>
      <c r="BD53" s="12">
        <f>IF('Données projet'!$A$88&gt;35,BD52+BC53-BL52,IF(A53&lt;'Données projet'!$A$88,$BA$205^A53,IF(A53='Données projet'!$A$88,'Données projet'!$B$88,BD52+BC53-BL52)))</f>
        <v>458.00000000000006</v>
      </c>
      <c r="BE53" s="13">
        <f>BD53*VLOOKUP('Données projet'!$B$11,Paramètres!$A$1:$I$89,3,0)*VLOOKUP('Données projet'!$B$11,Paramètres!$A$1:$I$89,5,0)</f>
        <v>273.88400000000007</v>
      </c>
      <c r="BF53" s="13">
        <f t="shared" si="37"/>
        <v>65.672865675587943</v>
      </c>
      <c r="BG53" s="20">
        <f t="shared" si="7"/>
        <v>591.39487438498247</v>
      </c>
      <c r="BH53" s="59">
        <f t="shared" si="8"/>
        <v>875.17511976735</v>
      </c>
      <c r="BI53" s="59">
        <f ca="1">AVERAGE(OFFSET($BH$3,0,0,'Données projet'!$E$11+1,1))-AVERAGE(OFFSET($H$3,0,0,'Données projet'!$E$11+1,1))</f>
        <v>352.88552266225872</v>
      </c>
      <c r="BJ53" s="59">
        <f t="shared" si="38"/>
        <v>403.29115295154782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49</v>
      </c>
      <c r="BM53" s="16">
        <f>IF(ISNA(VLOOKUP(A53,'Données projet'!$A$87:$I$107,5,0)),0%,VLOOKUP(A53,'Données projet'!$A$87:$I$107,5,0)*VLOOKUP('Données projet'!$B$11,Paramètres!$A$1:$I$89,7,0))</f>
        <v>0.27</v>
      </c>
      <c r="BN53" s="16">
        <f>IF(ISNA(VLOOKUP(A53,'Données projet'!$A$87:$I$107,6,0)),0%,VLOOKUP(A53,'Données projet'!$A$87:$I$107,6,0)*VLOOKUP('Données projet'!$B$11,Paramètres!$A$1:$I$89,7,0))</f>
        <v>9.9000000000000005E-2</v>
      </c>
      <c r="BO53" s="16">
        <f>IF(ISNA(VLOOKUP(A53,'Données projet'!$A$87:$I$107,7,0)),0%,VLOOKUP(A53,'Données projet'!$A$87:$I$107,7,0))</f>
        <v>0.18</v>
      </c>
      <c r="BP53" s="21">
        <f>EXP(-LN(2)/35)*BP52+(1-EXP(-LN(2)/35))/(LN(2)/35)*BL53*BM53*VLOOKUP('Données projet'!$B$11,Paramètres!$A$1:$I$89,3,0)*0.475*44/12</f>
        <v>44.752167463471288</v>
      </c>
      <c r="BQ53" s="21">
        <f>EXP(-LN(2)/25)*BQ52+(1-EXP(-LN(2)/25))/(LN(2)/25)*Calculateur!BL53*Calculateur!BN53*VLOOKUP('Données projet'!$B$11,Paramètres!$A$1:$I$89,3,0)*0.475*44/12</f>
        <v>29.119387902794863</v>
      </c>
      <c r="BR53" s="21">
        <f>EXP(-LN(2)/2)*BR52+(1-EXP(-LN(2)/2))/(LN(2)/2)*BL53*BO53*VLOOKUP('Données projet'!$B$11,Paramètres!$A$1:$I$89,3,0)*0.475*44/12</f>
        <v>7.7209302776244115</v>
      </c>
      <c r="BS53" s="22">
        <f t="shared" si="9"/>
        <v>81.592485643890569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67.394612377009324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556</v>
      </c>
      <c r="BW53" s="12">
        <f>VLOOKUP(A53,'Données projet'!$A$113:$I$133,9,0)</f>
        <v>22</v>
      </c>
      <c r="BX53" s="12">
        <f t="array" ref="BX53">INDEX(BW:BW,MIN(IF(ISNUMBER(BW53:BW249),ROW(BW53:BW249),"")))</f>
        <v>22</v>
      </c>
      <c r="BY53" s="12">
        <f>IF('Données projet'!$A$114&gt;35,BY52+BX53-CG52,IF(A53&lt;'Données projet'!$A$114,$BV$205^A53,IF(A53='Données projet'!$A$114,'Données projet'!$B$114,BY52+BX53-CG52)))</f>
        <v>555.99999999999977</v>
      </c>
      <c r="BZ53" s="13">
        <f>BY53*VLOOKUP('Données projet'!$B$12,Paramètres!$A$1:$I$89,3,0)*VLOOKUP('Données projet'!$B$12,Paramètres!$A$1:$I$89,5,0)</f>
        <v>245.75199999999992</v>
      </c>
      <c r="CA53" s="13">
        <f t="shared" si="39"/>
        <v>59.67539026802784</v>
      </c>
      <c r="CB53" s="20">
        <f t="shared" si="10"/>
        <v>531.95270471681499</v>
      </c>
      <c r="CC53" s="59">
        <f t="shared" si="11"/>
        <v>815.73295009918252</v>
      </c>
      <c r="CD53" s="59">
        <f ca="1">AVERAGE(OFFSET($CC$3,0,0,'Données projet'!$E$12+1,1))-AVERAGE(OFFSET($H$3,0,0,'Données projet'!$E$12+1,1))</f>
        <v>297.1442218517625</v>
      </c>
      <c r="CE53" s="59">
        <f t="shared" si="40"/>
        <v>326.0112787126069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48</v>
      </c>
      <c r="CH53" s="16">
        <f>IF(ISNA(VLOOKUP(A53,'Données projet'!$A$113:$I$133,5,0)),0%,VLOOKUP(A53,'Données projet'!$A$113:$I$133,5,0)*VLOOKUP('Données projet'!$B$12,Paramètres!$A$1:$I$89,7,0))</f>
        <v>0.33</v>
      </c>
      <c r="CI53" s="16">
        <f>IF(ISNA(VLOOKUP(A53,'Données projet'!$A$113:$I$133,6,0)),0%,VLOOKUP(A53,'Données projet'!$A$113:$I$133,6,0)*VLOOKUP('Données projet'!$B$12,Paramètres!$A$1:$I$89,7,0))</f>
        <v>0.12100000000000001</v>
      </c>
      <c r="CJ53" s="16">
        <f>IF(ISNA(VLOOKUP(A53,'Données projet'!$A$113:$I$133,7,0)),0%,VLOOKUP(A53,'Données projet'!$A$113:$I$133,7,0))</f>
        <v>0.18</v>
      </c>
      <c r="CK53" s="21">
        <f>EXP(-LN(2)/35)*CK52+(1-EXP(-LN(2)/35))/(LN(2)/35)*CG53*CH53*VLOOKUP('Données projet'!$B$12,Paramètres!$A$1:$I$89,3,0)*0.475*44/12</f>
        <v>42.08938302162283</v>
      </c>
      <c r="CL53" s="21">
        <f>EXP(-LN(2)/25)*CL52+(1-EXP(-LN(2)/25))/(LN(2)/25)*Calculateur!CG53*Calculateur!CI53*VLOOKUP('Données projet'!$B$12,Paramètres!$A$1:$I$89,3,0)*0.475*44/12</f>
        <v>26.395952356400773</v>
      </c>
      <c r="CM53" s="21">
        <f>EXP(-LN(2)/2)*CM52+(1-EXP(-LN(2)/2))/(LN(2)/2)*CG53*CJ53*VLOOKUP('Données projet'!$B$12,Paramètres!$A$1:$I$89,3,0)*0.475*44/12</f>
        <v>5.6856695237687882</v>
      </c>
      <c r="CN53" s="22">
        <f t="shared" si="12"/>
        <v>74.171004901792401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67.394612377009324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458</v>
      </c>
      <c r="CR53" s="12">
        <f>VLOOKUP(A53,'Données projet'!$A$139:$I$159,9,0)</f>
        <v>18.2</v>
      </c>
      <c r="CS53" s="12">
        <f t="array" ref="CS53">INDEX(CR:CR,MIN(IF(ISNUMBER(CR53:CR249),ROW(CR53:CR249),"")))</f>
        <v>18.2</v>
      </c>
      <c r="CT53" s="12">
        <f>IF('Données projet'!$A$140&gt;35,CT52+CS53-DB52,IF(A53&lt;'Données projet'!$A$140,$CQ$205^A53,IF(A53='Données projet'!$A$140,'Données projet'!$B$140,CT52+CS53-DB52)))</f>
        <v>458.00000000000006</v>
      </c>
      <c r="CU53" s="17">
        <f>CT53*VLOOKUP('Données projet'!$B$13,Paramètres!$A$1:$I$89,3,0)*VLOOKUP('Données projet'!$B$13,Paramètres!$A$1:$I$89,5,0)</f>
        <v>273.88400000000007</v>
      </c>
      <c r="CV53" s="13">
        <f t="shared" si="41"/>
        <v>65.672865675587943</v>
      </c>
      <c r="CW53" s="20">
        <f t="shared" si="13"/>
        <v>591.39487438498247</v>
      </c>
      <c r="CX53" s="59">
        <f t="shared" si="14"/>
        <v>875.17511976735</v>
      </c>
      <c r="CY53" s="59">
        <f ca="1">AVERAGE(OFFSET($CX$3,0,0,'Données projet'!$E$13+1,1))-AVERAGE(OFFSET($H$3,0,0,'Données projet'!$E$13+1,1))</f>
        <v>352.88552266225872</v>
      </c>
      <c r="CZ53" s="59">
        <f t="shared" si="42"/>
        <v>403.29115295154782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49</v>
      </c>
      <c r="DC53" s="16">
        <f>IF(ISNA(VLOOKUP(A53,'Données projet'!$A$139:$I$159,5,0)),0%,VLOOKUP(A53,'Données projet'!$A$139:$I$159,5,0)*VLOOKUP('Données projet'!$B$13,Paramètres!$A$1:$I$89,7,0))</f>
        <v>0.27</v>
      </c>
      <c r="DD53" s="16">
        <f>IF(ISNA(VLOOKUP(A53,'Données projet'!$A$139:$I$159,6,0)),0%,VLOOKUP(A53,'Données projet'!$A$139:$I$159,6,0)*VLOOKUP('Données projet'!$B$13,Paramètres!$A$1:$I$89,7,0))</f>
        <v>9.9000000000000005E-2</v>
      </c>
      <c r="DE53" s="16">
        <f>IF(ISNA(VLOOKUP(A53,'Données projet'!$A$139:$I$159,7,0)),0%,VLOOKUP(A53,'Données projet'!$A$139:$I$159,7,0))</f>
        <v>0.18</v>
      </c>
      <c r="DF53" s="21">
        <f>EXP(-LN(2)/35)*DF52+(1-EXP(-LN(2)/35))/(LN(2)/35)*DB53*DC53*VLOOKUP('Données projet'!$B$13,Paramètres!$A$1:$I$89,3,0)*0.475*44/12</f>
        <v>44.752167463471288</v>
      </c>
      <c r="DG53" s="21">
        <f>EXP(-LN(2)/25)*DG52+(1-EXP(-LN(2)/25))/(LN(2)/25)*Calculateur!DB53*Calculateur!DD53*VLOOKUP('Données projet'!$B$13,Paramètres!$A$1:$I$89,3,0)*0.475*44/12</f>
        <v>29.119387902794863</v>
      </c>
      <c r="DH53" s="21">
        <f>EXP(-LN(2)/2)*DH52+(1-EXP(-LN(2)/2))/(LN(2)/2)*DB53*DE53*VLOOKUP('Données projet'!$B$13,Paramètres!$A$1:$I$89,3,0)*0.475*44/12</f>
        <v>7.7209302776244115</v>
      </c>
      <c r="DI53" s="22">
        <f t="shared" si="15"/>
        <v>81.592485643890569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67.394612377009324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67.394612377009324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67.394612377009324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67.394612377009324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67.394612377009324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1.25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4.583333333333333</v>
      </c>
      <c r="H54" s="67">
        <f t="shared" si="1"/>
        <v>238.33333333333334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67.439810027494104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213.1999999999999</v>
      </c>
      <c r="O54" s="13">
        <f>N54*VLOOKUP('Données projet'!$B$9,Paramètres!$A$1:$I$89,3,0)*VLOOKUP('Données projet'!$B$9,Paramètres!$A$1:$I$89,5,0)</f>
        <v>192.90335999999991</v>
      </c>
      <c r="P54" s="13">
        <f t="shared" si="33"/>
        <v>48.181276881765257</v>
      </c>
      <c r="Q54" s="20">
        <f t="shared" si="53"/>
        <v>419.88907590240768</v>
      </c>
      <c r="R54" s="59">
        <f t="shared" si="0"/>
        <v>703.83504600321942</v>
      </c>
      <c r="S54" s="59">
        <f ca="1">AVERAGE(OFFSET($R$3,0,0,'Données projet'!$E$9+1,1))-AVERAGE(OFFSET($H$3,0,0,'Données projet'!$E$9+1,1))</f>
        <v>467.10712490977266</v>
      </c>
      <c r="T54" s="59">
        <f t="shared" si="34"/>
        <v>282.99426855025968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7.6177661462326069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7.6177661462326069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67.439810027494104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157.01399999999998</v>
      </c>
      <c r="AK54" s="13">
        <f t="shared" si="35"/>
        <v>40.168278112836184</v>
      </c>
      <c r="AL54" s="20">
        <f t="shared" si="4"/>
        <v>343.42580104652302</v>
      </c>
      <c r="AM54" s="59">
        <f t="shared" si="5"/>
        <v>627.37177114733481</v>
      </c>
      <c r="AN54" s="59">
        <f ca="1">AVERAGE(OFFSET($AM$3,0,0,'Données projet'!$E$10+1,1))-AVERAGE(OFFSET($H$3,0,0,'Données projet'!$E$10+1,1))</f>
        <v>399.57236812003225</v>
      </c>
      <c r="AO54" s="59">
        <f t="shared" si="36"/>
        <v>245.95971136213691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6.0088413998300316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6.0088413998300316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67.439810027494104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16.600000000000001</v>
      </c>
      <c r="BD54" s="12">
        <f>IF('Données projet'!$A$88&gt;35,BD53+BC54-BL53,IF(A54&lt;'Données projet'!$A$88,$BA$205^A54,IF(A54='Données projet'!$A$88,'Données projet'!$B$88,BD53+BC54-BL53)))</f>
        <v>425.60000000000008</v>
      </c>
      <c r="BE54" s="13">
        <f>BD54*VLOOKUP('Données projet'!$B$11,Paramètres!$A$1:$I$89,3,0)*VLOOKUP('Données projet'!$B$11,Paramètres!$A$1:$I$89,5,0)</f>
        <v>254.50880000000006</v>
      </c>
      <c r="BF54" s="13">
        <f t="shared" si="37"/>
        <v>61.550425822391155</v>
      </c>
      <c r="BG54" s="20">
        <f t="shared" si="7"/>
        <v>550.46981830733137</v>
      </c>
      <c r="BH54" s="59">
        <f t="shared" si="8"/>
        <v>834.41578840814304</v>
      </c>
      <c r="BI54" s="59">
        <f ca="1">AVERAGE(OFFSET($BH$3,0,0,'Données projet'!$E$11+1,1))-AVERAGE(OFFSET($H$3,0,0,'Données projet'!$E$11+1,1))</f>
        <v>352.88552266225872</v>
      </c>
      <c r="BJ54" s="59">
        <f t="shared" si="38"/>
        <v>403.29115295154782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43.874604755639503</v>
      </c>
      <c r="BQ54" s="21">
        <f>EXP(-LN(2)/25)*BQ53+(1-EXP(-LN(2)/25))/(LN(2)/25)*Calculateur!BL54*Calculateur!BN54*VLOOKUP('Données projet'!$B$11,Paramètres!$A$1:$I$89,3,0)*0.475*44/12</f>
        <v>28.323116709270881</v>
      </c>
      <c r="BR54" s="21">
        <f>EXP(-LN(2)/2)*BR53+(1-EXP(-LN(2)/2))/(LN(2)/2)*BL54*BO54*VLOOKUP('Données projet'!$B$11,Paramètres!$A$1:$I$89,3,0)*0.475*44/12</f>
        <v>5.4595221563767549</v>
      </c>
      <c r="BS54" s="22">
        <f t="shared" si="9"/>
        <v>77.657243621287137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67.439810027494104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19.2</v>
      </c>
      <c r="BY54" s="12">
        <f>IF('Données projet'!$A$114&gt;35,BY53+BX54-CG53,IF(A54&lt;'Données projet'!$A$114,$BV$205^A54,IF(A54='Données projet'!$A$114,'Données projet'!$B$114,BY53+BX54-CG53)))</f>
        <v>527.19999999999982</v>
      </c>
      <c r="BZ54" s="13">
        <f>BY54*VLOOKUP('Données projet'!$B$12,Paramètres!$A$1:$I$89,3,0)*VLOOKUP('Données projet'!$B$12,Paramètres!$A$1:$I$89,5,0)</f>
        <v>233.02239999999995</v>
      </c>
      <c r="CA54" s="13">
        <f t="shared" si="39"/>
        <v>56.935697695890674</v>
      </c>
      <c r="CB54" s="20">
        <f t="shared" si="10"/>
        <v>505.01035348700947</v>
      </c>
      <c r="CC54" s="59">
        <f t="shared" si="11"/>
        <v>788.9563235878212</v>
      </c>
      <c r="CD54" s="59">
        <f ca="1">AVERAGE(OFFSET($CC$3,0,0,'Données projet'!$E$12+1,1))-AVERAGE(OFFSET($H$3,0,0,'Données projet'!$E$12+1,1))</f>
        <v>297.1442218517625</v>
      </c>
      <c r="CE54" s="59">
        <f t="shared" si="40"/>
        <v>326.0112787126069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41.264035892557551</v>
      </c>
      <c r="CL54" s="21">
        <f>EXP(-LN(2)/25)*CL53+(1-EXP(-LN(2)/25))/(LN(2)/25)*Calculateur!CG54*Calculateur!CI54*VLOOKUP('Données projet'!$B$12,Paramètres!$A$1:$I$89,3,0)*0.475*44/12</f>
        <v>25.674153651112189</v>
      </c>
      <c r="CM54" s="21">
        <f>EXP(-LN(2)/2)*CM53+(1-EXP(-LN(2)/2))/(LN(2)/2)*CG54*CJ54*VLOOKUP('Données projet'!$B$12,Paramètres!$A$1:$I$89,3,0)*0.475*44/12</f>
        <v>4.0203754758425987</v>
      </c>
      <c r="CN54" s="22">
        <f t="shared" si="12"/>
        <v>70.958565019512335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67.439810027494104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16.600000000000001</v>
      </c>
      <c r="CT54" s="12">
        <f>IF('Données projet'!$A$140&gt;35,CT53+CS54-DB53,IF(A54&lt;'Données projet'!$A$140,$CQ$205^A54,IF(A54='Données projet'!$A$140,'Données projet'!$B$140,CT53+CS54-DB53)))</f>
        <v>425.60000000000008</v>
      </c>
      <c r="CU54" s="17">
        <f>CT54*VLOOKUP('Données projet'!$B$13,Paramètres!$A$1:$I$89,3,0)*VLOOKUP('Données projet'!$B$13,Paramètres!$A$1:$I$89,5,0)</f>
        <v>254.50880000000006</v>
      </c>
      <c r="CV54" s="13">
        <f t="shared" si="41"/>
        <v>61.550425822391155</v>
      </c>
      <c r="CW54" s="20">
        <f t="shared" si="13"/>
        <v>550.46981830733137</v>
      </c>
      <c r="CX54" s="59">
        <f t="shared" si="14"/>
        <v>834.41578840814304</v>
      </c>
      <c r="CY54" s="59">
        <f ca="1">AVERAGE(OFFSET($CX$3,0,0,'Données projet'!$E$13+1,1))-AVERAGE(OFFSET($H$3,0,0,'Données projet'!$E$13+1,1))</f>
        <v>352.88552266225872</v>
      </c>
      <c r="CZ54" s="59">
        <f t="shared" si="42"/>
        <v>403.29115295154782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43.874604755639503</v>
      </c>
      <c r="DG54" s="21">
        <f>EXP(-LN(2)/25)*DG53+(1-EXP(-LN(2)/25))/(LN(2)/25)*Calculateur!DB54*Calculateur!DD54*VLOOKUP('Données projet'!$B$13,Paramètres!$A$1:$I$89,3,0)*0.475*44/12</f>
        <v>28.323116709270881</v>
      </c>
      <c r="DH54" s="21">
        <f>EXP(-LN(2)/2)*DH53+(1-EXP(-LN(2)/2))/(LN(2)/2)*DB54*DE54*VLOOKUP('Données projet'!$B$13,Paramètres!$A$1:$I$89,3,0)*0.475*44/12</f>
        <v>5.4595221563767549</v>
      </c>
      <c r="DI54" s="22">
        <f t="shared" si="15"/>
        <v>77.657243621287137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67.439810027494104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67.439810027494104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67.439810027494104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67.439810027494104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67.439810027494104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1.25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4.583333333333333</v>
      </c>
      <c r="H55" s="67">
        <f t="shared" si="1"/>
        <v>238.33333333333334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67.484223599789772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223.39999999999989</v>
      </c>
      <c r="O55" s="13">
        <f>N55*VLOOKUP('Données projet'!$B$9,Paramètres!$A$1:$I$89,3,0)*VLOOKUP('Données projet'!$B$9,Paramètres!$A$1:$I$89,5,0)</f>
        <v>202.13231999999988</v>
      </c>
      <c r="P55" s="13">
        <f t="shared" si="33"/>
        <v>50.212497488959578</v>
      </c>
      <c r="Q55" s="20">
        <f t="shared" si="53"/>
        <v>439.50055712660441</v>
      </c>
      <c r="R55" s="59">
        <f t="shared" si="0"/>
        <v>723.6093769925003</v>
      </c>
      <c r="S55" s="59">
        <f ca="1">AVERAGE(OFFSET($R$3,0,0,'Données projet'!$E$9+1,1))-AVERAGE(OFFSET($H$3,0,0,'Données projet'!$E$9+1,1))</f>
        <v>467.10712490977266</v>
      </c>
      <c r="T55" s="59">
        <f t="shared" si="34"/>
        <v>282.99426855025968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7.4683863984835428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7.4683863984835428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67.484223599789772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164.6268</v>
      </c>
      <c r="AK55" s="13">
        <f t="shared" si="35"/>
        <v>41.884365321551833</v>
      </c>
      <c r="AL55" s="20">
        <f t="shared" si="4"/>
        <v>359.67361293503609</v>
      </c>
      <c r="AM55" s="59">
        <f t="shared" si="5"/>
        <v>643.78243280093193</v>
      </c>
      <c r="AN55" s="59">
        <f ca="1">AVERAGE(OFFSET($AM$3,0,0,'Données projet'!$E$10+1,1))-AVERAGE(OFFSET($H$3,0,0,'Données projet'!$E$10+1,1))</f>
        <v>399.57236812003225</v>
      </c>
      <c r="AO55" s="59">
        <f t="shared" si="36"/>
        <v>245.95971136213691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5.891011685010727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5.891011685010727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67.484223599789772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16.600000000000001</v>
      </c>
      <c r="BD55" s="12">
        <f>IF('Données projet'!$A$88&gt;35,BD54+BC55-BL54,IF(A55&lt;'Données projet'!$A$88,$BA$205^A55,IF(A55='Données projet'!$A$88,'Données projet'!$B$88,BD54+BC55-BL54)))</f>
        <v>442.2000000000001</v>
      </c>
      <c r="BE55" s="13">
        <f>BD55*VLOOKUP('Données projet'!$B$11,Paramètres!$A$1:$I$89,3,0)*VLOOKUP('Données projet'!$B$11,Paramètres!$A$1:$I$89,5,0)</f>
        <v>264.43560000000008</v>
      </c>
      <c r="BF55" s="13">
        <f t="shared" si="37"/>
        <v>63.666935766021915</v>
      </c>
      <c r="BG55" s="20">
        <f t="shared" si="7"/>
        <v>571.44524979248831</v>
      </c>
      <c r="BH55" s="59">
        <f t="shared" si="8"/>
        <v>855.55406965838415</v>
      </c>
      <c r="BI55" s="59">
        <f ca="1">AVERAGE(OFFSET($BH$3,0,0,'Données projet'!$E$11+1,1))-AVERAGE(OFFSET($H$3,0,0,'Données projet'!$E$11+1,1))</f>
        <v>352.88552266225872</v>
      </c>
      <c r="BJ55" s="59">
        <f t="shared" si="38"/>
        <v>403.29115295154782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43.014250517247895</v>
      </c>
      <c r="BQ55" s="21">
        <f>EXP(-LN(2)/25)*BQ54+(1-EXP(-LN(2)/25))/(LN(2)/25)*Calculateur!BL55*Calculateur!BN55*VLOOKUP('Données projet'!$B$11,Paramètres!$A$1:$I$89,3,0)*0.475*44/12</f>
        <v>27.548619593407896</v>
      </c>
      <c r="BR55" s="21">
        <f>EXP(-LN(2)/2)*BR54+(1-EXP(-LN(2)/2))/(LN(2)/2)*BL55*BO55*VLOOKUP('Données projet'!$B$11,Paramètres!$A$1:$I$89,3,0)*0.475*44/12</f>
        <v>3.8604651388122062</v>
      </c>
      <c r="BS55" s="22">
        <f t="shared" si="9"/>
        <v>74.423335249467996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67.484223599789772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19.2</v>
      </c>
      <c r="BY55" s="12">
        <f>IF('Données projet'!$A$114&gt;35,BY54+BX55-CG54,IF(A55&lt;'Données projet'!$A$114,$BV$205^A55,IF(A55='Données projet'!$A$114,'Données projet'!$B$114,BY54+BX55-CG54)))</f>
        <v>546.39999999999986</v>
      </c>
      <c r="BZ55" s="13">
        <f>BY55*VLOOKUP('Données projet'!$B$12,Paramètres!$A$1:$I$89,3,0)*VLOOKUP('Données projet'!$B$12,Paramètres!$A$1:$I$89,5,0)</f>
        <v>241.50879999999995</v>
      </c>
      <c r="CA55" s="13">
        <f t="shared" si="39"/>
        <v>58.764037653783809</v>
      </c>
      <c r="CB55" s="20">
        <f t="shared" si="10"/>
        <v>522.9751922470067</v>
      </c>
      <c r="CC55" s="59">
        <f t="shared" si="11"/>
        <v>807.08401211290254</v>
      </c>
      <c r="CD55" s="59">
        <f ca="1">AVERAGE(OFFSET($CC$3,0,0,'Données projet'!$E$12+1,1))-AVERAGE(OFFSET($H$3,0,0,'Données projet'!$E$12+1,1))</f>
        <v>297.1442218517625</v>
      </c>
      <c r="CE55" s="59">
        <f t="shared" si="40"/>
        <v>326.0112787126069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40.454873317281205</v>
      </c>
      <c r="CL55" s="21">
        <f>EXP(-LN(2)/25)*CL54+(1-EXP(-LN(2)/25))/(LN(2)/25)*Calculateur!CG55*Calculateur!CI55*VLOOKUP('Données projet'!$B$12,Paramètres!$A$1:$I$89,3,0)*0.475*44/12</f>
        <v>24.972092569377466</v>
      </c>
      <c r="CM55" s="21">
        <f>EXP(-LN(2)/2)*CM54+(1-EXP(-LN(2)/2))/(LN(2)/2)*CG55*CJ55*VLOOKUP('Données projet'!$B$12,Paramètres!$A$1:$I$89,3,0)*0.475*44/12</f>
        <v>2.8428347618843945</v>
      </c>
      <c r="CN55" s="22">
        <f t="shared" si="12"/>
        <v>68.269800648543068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67.484223599789772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16.600000000000001</v>
      </c>
      <c r="CT55" s="12">
        <f>IF('Données projet'!$A$140&gt;35,CT54+CS55-DB54,IF(A55&lt;'Données projet'!$A$140,$CQ$205^A55,IF(A55='Données projet'!$A$140,'Données projet'!$B$140,CT54+CS55-DB54)))</f>
        <v>442.2000000000001</v>
      </c>
      <c r="CU55" s="17">
        <f>CT55*VLOOKUP('Données projet'!$B$13,Paramètres!$A$1:$I$89,3,0)*VLOOKUP('Données projet'!$B$13,Paramètres!$A$1:$I$89,5,0)</f>
        <v>264.43560000000008</v>
      </c>
      <c r="CV55" s="13">
        <f t="shared" si="41"/>
        <v>63.666935766021915</v>
      </c>
      <c r="CW55" s="20">
        <f t="shared" si="13"/>
        <v>571.44524979248831</v>
      </c>
      <c r="CX55" s="59">
        <f t="shared" si="14"/>
        <v>855.55406965838415</v>
      </c>
      <c r="CY55" s="59">
        <f ca="1">AVERAGE(OFFSET($CX$3,0,0,'Données projet'!$E$13+1,1))-AVERAGE(OFFSET($H$3,0,0,'Données projet'!$E$13+1,1))</f>
        <v>352.88552266225872</v>
      </c>
      <c r="CZ55" s="59">
        <f t="shared" si="42"/>
        <v>403.29115295154782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43.014250517247895</v>
      </c>
      <c r="DG55" s="21">
        <f>EXP(-LN(2)/25)*DG54+(1-EXP(-LN(2)/25))/(LN(2)/25)*Calculateur!DB55*Calculateur!DD55*VLOOKUP('Données projet'!$B$13,Paramètres!$A$1:$I$89,3,0)*0.475*44/12</f>
        <v>27.548619593407896</v>
      </c>
      <c r="DH55" s="21">
        <f>EXP(-LN(2)/2)*DH54+(1-EXP(-LN(2)/2))/(LN(2)/2)*DB55*DE55*VLOOKUP('Données projet'!$B$13,Paramètres!$A$1:$I$89,3,0)*0.475*44/12</f>
        <v>3.8604651388122062</v>
      </c>
      <c r="DI55" s="22">
        <f t="shared" si="15"/>
        <v>74.423335249467996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67.484223599789772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67.484223599789772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67.484223599789772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67.484223599789772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67.484223599789772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1.25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4.583333333333333</v>
      </c>
      <c r="H56" s="67">
        <f t="shared" si="1"/>
        <v>238.33333333333334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67.527866695899988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233.59999999999988</v>
      </c>
      <c r="O56" s="13">
        <f>N56*VLOOKUP('Données projet'!$B$9,Paramètres!$A$1:$I$89,3,0)*VLOOKUP('Données projet'!$B$9,Paramètres!$A$1:$I$89,5,0)</f>
        <v>211.36127999999988</v>
      </c>
      <c r="P56" s="13">
        <f t="shared" si="33"/>
        <v>52.232947669705631</v>
      </c>
      <c r="Q56" s="20">
        <f t="shared" si="53"/>
        <v>459.09327985807039</v>
      </c>
      <c r="R56" s="59">
        <f t="shared" si="0"/>
        <v>743.36212440970371</v>
      </c>
      <c r="S56" s="59">
        <f ca="1">AVERAGE(OFFSET($R$3,0,0,'Données projet'!$E$9+1,1))-AVERAGE(OFFSET($H$3,0,0,'Données projet'!$E$9+1,1))</f>
        <v>467.10712490977266</v>
      </c>
      <c r="T56" s="59">
        <f t="shared" si="34"/>
        <v>282.99426855025968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7.3219358964751882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7.3219358964751882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67.527866695899988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172.2396</v>
      </c>
      <c r="AK56" s="13">
        <f t="shared" si="35"/>
        <v>43.591236765546341</v>
      </c>
      <c r="AL56" s="20">
        <f t="shared" si="4"/>
        <v>375.9053740333265</v>
      </c>
      <c r="AM56" s="59">
        <f t="shared" si="5"/>
        <v>660.17421858495982</v>
      </c>
      <c r="AN56" s="59">
        <f ca="1">AVERAGE(OFFSET($AM$3,0,0,'Données projet'!$E$10+1,1))-AVERAGE(OFFSET($H$3,0,0,'Données projet'!$E$10+1,1))</f>
        <v>399.57236812003225</v>
      </c>
      <c r="AO56" s="59">
        <f t="shared" si="36"/>
        <v>245.95971136213691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5.7754925390299992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5.7754925390299992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67.527866695899988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16.600000000000001</v>
      </c>
      <c r="BD56" s="12">
        <f>IF('Données projet'!$A$88&gt;35,BD55+BC56-BL55,IF(A56&lt;'Données projet'!$A$88,$BA$205^A56,IF(A56='Données projet'!$A$88,'Données projet'!$B$88,BD55+BC56-BL55)))</f>
        <v>458.80000000000013</v>
      </c>
      <c r="BE56" s="13">
        <f>BD56*VLOOKUP('Données projet'!$B$11,Paramètres!$A$1:$I$89,3,0)*VLOOKUP('Données projet'!$B$11,Paramètres!$A$1:$I$89,5,0)</f>
        <v>274.36240000000009</v>
      </c>
      <c r="BF56" s="13">
        <f t="shared" si="37"/>
        <v>65.774215280471154</v>
      </c>
      <c r="BG56" s="20">
        <f t="shared" si="7"/>
        <v>592.40460494682077</v>
      </c>
      <c r="BH56" s="59">
        <f t="shared" si="8"/>
        <v>876.67344949845415</v>
      </c>
      <c r="BI56" s="59">
        <f ca="1">AVERAGE(OFFSET($BH$3,0,0,'Données projet'!$E$11+1,1))-AVERAGE(OFFSET($H$3,0,0,'Données projet'!$E$11+1,1))</f>
        <v>352.88552266225872</v>
      </c>
      <c r="BJ56" s="59">
        <f t="shared" si="38"/>
        <v>403.29115295154782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42.170767300706878</v>
      </c>
      <c r="BQ56" s="21">
        <f>EXP(-LN(2)/25)*BQ55+(1-EXP(-LN(2)/25))/(LN(2)/25)*Calculateur!BL56*Calculateur!BN56*VLOOKUP('Données projet'!$B$11,Paramètres!$A$1:$I$89,3,0)*0.475*44/12</f>
        <v>26.795301141907217</v>
      </c>
      <c r="BR56" s="21">
        <f>EXP(-LN(2)/2)*BR55+(1-EXP(-LN(2)/2))/(LN(2)/2)*BL56*BO56*VLOOKUP('Données projet'!$B$11,Paramètres!$A$1:$I$89,3,0)*0.475*44/12</f>
        <v>2.7297610781883779</v>
      </c>
      <c r="BS56" s="22">
        <f t="shared" si="9"/>
        <v>71.695829520802477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67.527866695899988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19.2</v>
      </c>
      <c r="BY56" s="12">
        <f>IF('Données projet'!$A$114&gt;35,BY55+BX56-CG55,IF(A56&lt;'Données projet'!$A$114,$BV$205^A56,IF(A56='Données projet'!$A$114,'Données projet'!$B$114,BY55+BX56-CG55)))</f>
        <v>565.59999999999991</v>
      </c>
      <c r="BZ56" s="13">
        <f>BY56*VLOOKUP('Données projet'!$B$12,Paramètres!$A$1:$I$89,3,0)*VLOOKUP('Données projet'!$B$12,Paramètres!$A$1:$I$89,5,0)</f>
        <v>249.99519999999998</v>
      </c>
      <c r="CA56" s="13">
        <f t="shared" si="39"/>
        <v>60.584913003439297</v>
      </c>
      <c r="CB56" s="20">
        <f t="shared" si="10"/>
        <v>540.92703014765675</v>
      </c>
      <c r="CC56" s="59">
        <f t="shared" si="11"/>
        <v>825.19587469929002</v>
      </c>
      <c r="CD56" s="59">
        <f ca="1">AVERAGE(OFFSET($CC$3,0,0,'Données projet'!$E$12+1,1))-AVERAGE(OFFSET($H$3,0,0,'Données projet'!$E$12+1,1))</f>
        <v>297.1442218517625</v>
      </c>
      <c r="CE56" s="59">
        <f t="shared" si="40"/>
        <v>326.0112787126069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39.661577926565585</v>
      </c>
      <c r="CL56" s="21">
        <f>EXP(-LN(2)/25)*CL55+(1-EXP(-LN(2)/25))/(LN(2)/25)*Calculateur!CG56*Calculateur!CI56*VLOOKUP('Données projet'!$B$12,Paramètres!$A$1:$I$89,3,0)*0.475*44/12</f>
        <v>24.289229384842564</v>
      </c>
      <c r="CM56" s="21">
        <f>EXP(-LN(2)/2)*CM55+(1-EXP(-LN(2)/2))/(LN(2)/2)*CG56*CJ56*VLOOKUP('Données projet'!$B$12,Paramètres!$A$1:$I$89,3,0)*0.475*44/12</f>
        <v>2.0101877379212998</v>
      </c>
      <c r="CN56" s="22">
        <f t="shared" si="12"/>
        <v>65.960995049329455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67.527866695899988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16.600000000000001</v>
      </c>
      <c r="CT56" s="12">
        <f>IF('Données projet'!$A$140&gt;35,CT55+CS56-DB55,IF(A56&lt;'Données projet'!$A$140,$CQ$205^A56,IF(A56='Données projet'!$A$140,'Données projet'!$B$140,CT55+CS56-DB55)))</f>
        <v>458.80000000000013</v>
      </c>
      <c r="CU56" s="17">
        <f>CT56*VLOOKUP('Données projet'!$B$13,Paramètres!$A$1:$I$89,3,0)*VLOOKUP('Données projet'!$B$13,Paramètres!$A$1:$I$89,5,0)</f>
        <v>274.36240000000009</v>
      </c>
      <c r="CV56" s="13">
        <f t="shared" si="41"/>
        <v>65.774215280471154</v>
      </c>
      <c r="CW56" s="20">
        <f t="shared" si="13"/>
        <v>592.40460494682077</v>
      </c>
      <c r="CX56" s="59">
        <f t="shared" si="14"/>
        <v>876.67344949845415</v>
      </c>
      <c r="CY56" s="59">
        <f ca="1">AVERAGE(OFFSET($CX$3,0,0,'Données projet'!$E$13+1,1))-AVERAGE(OFFSET($H$3,0,0,'Données projet'!$E$13+1,1))</f>
        <v>352.88552266225872</v>
      </c>
      <c r="CZ56" s="59">
        <f t="shared" si="42"/>
        <v>403.29115295154782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42.170767300706878</v>
      </c>
      <c r="DG56" s="21">
        <f>EXP(-LN(2)/25)*DG55+(1-EXP(-LN(2)/25))/(LN(2)/25)*Calculateur!DB56*Calculateur!DD56*VLOOKUP('Données projet'!$B$13,Paramètres!$A$1:$I$89,3,0)*0.475*44/12</f>
        <v>26.795301141907217</v>
      </c>
      <c r="DH56" s="21">
        <f>EXP(-LN(2)/2)*DH55+(1-EXP(-LN(2)/2))/(LN(2)/2)*DB56*DE56*VLOOKUP('Données projet'!$B$13,Paramètres!$A$1:$I$89,3,0)*0.475*44/12</f>
        <v>2.7297610781883779</v>
      </c>
      <c r="DI56" s="22">
        <f t="shared" si="15"/>
        <v>71.695829520802477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67.527866695899988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67.527866695899988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67.527866695899988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67.527866695899988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67.527866695899988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1.25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4.583333333333333</v>
      </c>
      <c r="H57" s="67">
        <f t="shared" si="1"/>
        <v>238.33333333333334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67.570752681864036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243.79999999999987</v>
      </c>
      <c r="O57" s="13">
        <f>N57*VLOOKUP('Données projet'!$B$9,Paramètres!$A$1:$I$89,3,0)*VLOOKUP('Données projet'!$B$9,Paramètres!$A$1:$I$89,5,0)</f>
        <v>220.59023999999988</v>
      </c>
      <c r="P57" s="13">
        <f t="shared" si="33"/>
        <v>54.243151457087848</v>
      </c>
      <c r="Q57" s="20">
        <f t="shared" si="53"/>
        <v>478.66815678776106</v>
      </c>
      <c r="R57" s="59">
        <f t="shared" si="0"/>
        <v>763.09424995459585</v>
      </c>
      <c r="S57" s="59">
        <f ca="1">AVERAGE(OFFSET($R$3,0,0,'Données projet'!$E$9+1,1))-AVERAGE(OFFSET($H$3,0,0,'Données projet'!$E$9+1,1))</f>
        <v>467.10712490977266</v>
      </c>
      <c r="T57" s="59">
        <f t="shared" si="34"/>
        <v>282.99426855025968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7.178357199485232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7.178357199485232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67.570752681864036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179.85239999999999</v>
      </c>
      <c r="AK57" s="13">
        <f t="shared" si="35"/>
        <v>45.289346318280131</v>
      </c>
      <c r="AL57" s="20">
        <f t="shared" si="4"/>
        <v>392.12187483767121</v>
      </c>
      <c r="AM57" s="59">
        <f t="shared" si="5"/>
        <v>676.54796800450595</v>
      </c>
      <c r="AN57" s="59">
        <f ca="1">AVERAGE(OFFSET($AM$3,0,0,'Données projet'!$E$10+1,1))-AVERAGE(OFFSET($H$3,0,0,'Données projet'!$E$10+1,1))</f>
        <v>399.57236812003225</v>
      </c>
      <c r="AO57" s="59">
        <f t="shared" si="36"/>
        <v>245.95971136213691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5.6622386530422313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5.6622386530422313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67.570752681864036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16.600000000000001</v>
      </c>
      <c r="BD57" s="12">
        <f>IF('Données projet'!$A$88&gt;35,BD56+BC57-BL56,IF(A57&lt;'Données projet'!$A$88,$BA$205^A57,IF(A57='Données projet'!$A$88,'Données projet'!$B$88,BD56+BC57-BL56)))</f>
        <v>475.40000000000015</v>
      </c>
      <c r="BE57" s="13">
        <f>BD57*VLOOKUP('Données projet'!$B$11,Paramètres!$A$1:$I$89,3,0)*VLOOKUP('Données projet'!$B$11,Paramètres!$A$1:$I$89,5,0)</f>
        <v>284.28920000000011</v>
      </c>
      <c r="BF57" s="13">
        <f t="shared" si="37"/>
        <v>67.872636590259475</v>
      </c>
      <c r="BG57" s="20">
        <f t="shared" si="7"/>
        <v>613.3485320613687</v>
      </c>
      <c r="BH57" s="59">
        <f t="shared" si="8"/>
        <v>897.77462522820349</v>
      </c>
      <c r="BI57" s="59">
        <f ca="1">AVERAGE(OFFSET($BH$3,0,0,'Données projet'!$E$11+1,1))-AVERAGE(OFFSET($H$3,0,0,'Données projet'!$E$11+1,1))</f>
        <v>352.88552266225872</v>
      </c>
      <c r="BJ57" s="59">
        <f t="shared" si="38"/>
        <v>403.29115295154782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41.343824275568267</v>
      </c>
      <c r="BQ57" s="21">
        <f>EXP(-LN(2)/25)*BQ56+(1-EXP(-LN(2)/25))/(LN(2)/25)*Calculateur!BL57*Calculateur!BN57*VLOOKUP('Données projet'!$B$11,Paramètres!$A$1:$I$89,3,0)*0.475*44/12</f>
        <v>26.062582223078117</v>
      </c>
      <c r="BR57" s="21">
        <f>EXP(-LN(2)/2)*BR56+(1-EXP(-LN(2)/2))/(LN(2)/2)*BL57*BO57*VLOOKUP('Données projet'!$B$11,Paramètres!$A$1:$I$89,3,0)*0.475*44/12</f>
        <v>1.9302325694061035</v>
      </c>
      <c r="BS57" s="22">
        <f t="shared" si="9"/>
        <v>69.336639068052492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67.570752681864036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19.2</v>
      </c>
      <c r="BY57" s="12">
        <f>IF('Données projet'!$A$114&gt;35,BY56+BX57-CG56,IF(A57&lt;'Données projet'!$A$114,$BV$205^A57,IF(A57='Données projet'!$A$114,'Données projet'!$B$114,BY56+BX57-CG56)))</f>
        <v>584.79999999999995</v>
      </c>
      <c r="BZ57" s="13">
        <f>BY57*VLOOKUP('Données projet'!$B$12,Paramètres!$A$1:$I$89,3,0)*VLOOKUP('Données projet'!$B$12,Paramètres!$A$1:$I$89,5,0)</f>
        <v>258.48160000000001</v>
      </c>
      <c r="CA57" s="13">
        <f t="shared" si="39"/>
        <v>62.398606187610767</v>
      </c>
      <c r="CB57" s="20">
        <f t="shared" si="10"/>
        <v>558.86635911008875</v>
      </c>
      <c r="CC57" s="59">
        <f t="shared" si="11"/>
        <v>843.29245227692354</v>
      </c>
      <c r="CD57" s="59">
        <f ca="1">AVERAGE(OFFSET($CC$3,0,0,'Données projet'!$E$12+1,1))-AVERAGE(OFFSET($H$3,0,0,'Données projet'!$E$12+1,1))</f>
        <v>297.1442218517625</v>
      </c>
      <c r="CE57" s="59">
        <f t="shared" si="40"/>
        <v>326.0112787126069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38.883838574599487</v>
      </c>
      <c r="CL57" s="21">
        <f>EXP(-LN(2)/25)*CL56+(1-EXP(-LN(2)/25))/(LN(2)/25)*Calculateur!CG57*Calculateur!CI57*VLOOKUP('Données projet'!$B$12,Paramètres!$A$1:$I$89,3,0)*0.475*44/12</f>
        <v>23.625039129998985</v>
      </c>
      <c r="CM57" s="21">
        <f>EXP(-LN(2)/2)*CM56+(1-EXP(-LN(2)/2))/(LN(2)/2)*CG57*CJ57*VLOOKUP('Données projet'!$B$12,Paramètres!$A$1:$I$89,3,0)*0.475*44/12</f>
        <v>1.4214173809421975</v>
      </c>
      <c r="CN57" s="22">
        <f t="shared" si="12"/>
        <v>63.930295085540671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67.570752681864036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16.600000000000001</v>
      </c>
      <c r="CT57" s="12">
        <f>IF('Données projet'!$A$140&gt;35,CT56+CS57-DB56,IF(A57&lt;'Données projet'!$A$140,$CQ$205^A57,IF(A57='Données projet'!$A$140,'Données projet'!$B$140,CT56+CS57-DB56)))</f>
        <v>475.40000000000015</v>
      </c>
      <c r="CU57" s="17">
        <f>CT57*VLOOKUP('Données projet'!$B$13,Paramètres!$A$1:$I$89,3,0)*VLOOKUP('Données projet'!$B$13,Paramètres!$A$1:$I$89,5,0)</f>
        <v>284.28920000000011</v>
      </c>
      <c r="CV57" s="13">
        <f t="shared" si="41"/>
        <v>67.872636590259475</v>
      </c>
      <c r="CW57" s="20">
        <f t="shared" si="13"/>
        <v>613.3485320613687</v>
      </c>
      <c r="CX57" s="59">
        <f t="shared" si="14"/>
        <v>897.77462522820349</v>
      </c>
      <c r="CY57" s="59">
        <f ca="1">AVERAGE(OFFSET($CX$3,0,0,'Données projet'!$E$13+1,1))-AVERAGE(OFFSET($H$3,0,0,'Données projet'!$E$13+1,1))</f>
        <v>352.88552266225872</v>
      </c>
      <c r="CZ57" s="59">
        <f t="shared" si="42"/>
        <v>403.29115295154782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41.343824275568267</v>
      </c>
      <c r="DG57" s="21">
        <f>EXP(-LN(2)/25)*DG56+(1-EXP(-LN(2)/25))/(LN(2)/25)*Calculateur!DB57*Calculateur!DD57*VLOOKUP('Données projet'!$B$13,Paramètres!$A$1:$I$89,3,0)*0.475*44/12</f>
        <v>26.062582223078117</v>
      </c>
      <c r="DH57" s="21">
        <f>EXP(-LN(2)/2)*DH56+(1-EXP(-LN(2)/2))/(LN(2)/2)*DB57*DE57*VLOOKUP('Données projet'!$B$13,Paramètres!$A$1:$I$89,3,0)*0.475*44/12</f>
        <v>1.9302325694061035</v>
      </c>
      <c r="DI57" s="22">
        <f t="shared" si="15"/>
        <v>69.336639068052492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67.570752681864036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67.570752681864036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67.570752681864036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67.570752681864036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67.570752681864036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1.25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4.583333333333333</v>
      </c>
      <c r="H58" s="67">
        <f t="shared" si="1"/>
        <v>238.33333333333334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67.612894691850315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253.99999999999986</v>
      </c>
      <c r="O58" s="13">
        <f>N58*VLOOKUP('Données projet'!$B$9,Paramètres!$A$1:$I$89,3,0)*VLOOKUP('Données projet'!$B$9,Paramètres!$A$1:$I$89,5,0)</f>
        <v>229.81919999999985</v>
      </c>
      <c r="P58" s="13">
        <f t="shared" si="33"/>
        <v>56.243586554989292</v>
      </c>
      <c r="Q58" s="20">
        <f t="shared" si="53"/>
        <v>498.22601991660605</v>
      </c>
      <c r="R58" s="59">
        <f t="shared" si="0"/>
        <v>782.80663378672386</v>
      </c>
      <c r="S58" s="59">
        <f ca="1">AVERAGE(OFFSET($R$3,0,0,'Données projet'!$E$9+1,1))-AVERAGE(OFFSET($H$3,0,0,'Données projet'!$E$9+1,1))</f>
        <v>467.10712490977266</v>
      </c>
      <c r="T58" s="59">
        <f t="shared" si="34"/>
        <v>282.99426855025968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10.650423306206795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10.650423306206795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67.612894691850315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187.46520000000001</v>
      </c>
      <c r="AK58" s="13">
        <f t="shared" si="35"/>
        <v>46.979107256618605</v>
      </c>
      <c r="AL58" s="20">
        <f t="shared" si="4"/>
        <v>408.32383513861078</v>
      </c>
      <c r="AM58" s="59">
        <f t="shared" si="5"/>
        <v>692.90444900872853</v>
      </c>
      <c r="AN58" s="59">
        <f ca="1">AVERAGE(OFFSET($AM$3,0,0,'Données projet'!$E$10+1,1))-AVERAGE(OFFSET($H$3,0,0,'Données projet'!$E$10+1,1))</f>
        <v>399.57236812003225</v>
      </c>
      <c r="AO58" s="59">
        <f t="shared" si="36"/>
        <v>245.95971136213691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8.4009804527407059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8.4009804527407059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67.612894691850315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492</v>
      </c>
      <c r="BB58" s="12">
        <f>VLOOKUP(A58,'Données projet'!$A$87:$I$107,9,0)</f>
        <v>16.600000000000001</v>
      </c>
      <c r="BC58" s="12">
        <f t="array" ref="BC58">INDEX(BB:BB,MIN(IF(ISNUMBER(BB58:BB254),ROW(BB58:BB254),"")))</f>
        <v>16.600000000000001</v>
      </c>
      <c r="BD58" s="12">
        <f>IF('Données projet'!$A$88&gt;35,BD57+BC58-BL57,IF(A58&lt;'Données projet'!$A$88,$BA$205^A58,IF(A58='Données projet'!$A$88,'Données projet'!$B$88,BD57+BC58-BL57)))</f>
        <v>492.00000000000017</v>
      </c>
      <c r="BE58" s="13">
        <f>BD58*VLOOKUP('Données projet'!$B$11,Paramètres!$A$1:$I$89,3,0)*VLOOKUP('Données projet'!$B$11,Paramètres!$A$1:$I$89,5,0)</f>
        <v>294.21600000000012</v>
      </c>
      <c r="BF58" s="13">
        <f t="shared" si="37"/>
        <v>69.962544451198369</v>
      </c>
      <c r="BG58" s="20">
        <f t="shared" si="7"/>
        <v>634.2776315858373</v>
      </c>
      <c r="BH58" s="59">
        <f t="shared" si="8"/>
        <v>918.85824545595506</v>
      </c>
      <c r="BI58" s="59">
        <f ca="1">AVERAGE(OFFSET($BH$3,0,0,'Données projet'!$E$11+1,1))-AVERAGE(OFFSET($H$3,0,0,'Données projet'!$E$11+1,1))</f>
        <v>352.88552266225872</v>
      </c>
      <c r="BJ58" s="59">
        <f t="shared" si="38"/>
        <v>403.29115295154782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42</v>
      </c>
      <c r="BM58" s="16">
        <f>IF(ISNA(VLOOKUP(A58,'Données projet'!$A$87:$I$107,5,0)),0%,VLOOKUP(A58,'Données projet'!$A$87:$I$107,5,0)*VLOOKUP('Données projet'!$B$11,Paramètres!$A$1:$I$89,7,0))</f>
        <v>0.27</v>
      </c>
      <c r="BN58" s="16">
        <f>IF(ISNA(VLOOKUP(A58,'Données projet'!$A$87:$I$107,6,0)),0%,VLOOKUP(A58,'Données projet'!$A$87:$I$107,6,0)*VLOOKUP('Données projet'!$B$11,Paramètres!$A$1:$I$89,7,0))</f>
        <v>9.9000000000000005E-2</v>
      </c>
      <c r="BO58" s="16">
        <f>IF(ISNA(VLOOKUP(A58,'Données projet'!$A$87:$I$107,7,0)),0%,VLOOKUP(A58,'Données projet'!$A$87:$I$107,7,0))</f>
        <v>0.18</v>
      </c>
      <c r="BP58" s="21">
        <f>EXP(-LN(2)/35)*BP57+(1-EXP(-LN(2)/35))/(LN(2)/35)*BL58*BM58*VLOOKUP('Données projet'!$B$11,Paramètres!$A$1:$I$89,3,0)*0.475*44/12</f>
        <v>49.528955171728448</v>
      </c>
      <c r="BQ58" s="21">
        <f>EXP(-LN(2)/25)*BQ57+(1-EXP(-LN(2)/25))/(LN(2)/25)*Calculateur!BL58*Calculateur!BN58*VLOOKUP('Données projet'!$B$11,Paramètres!$A$1:$I$89,3,0)*0.475*44/12</f>
        <v>28.635393457363445</v>
      </c>
      <c r="BR58" s="21">
        <f>EXP(-LN(2)/2)*BR57+(1-EXP(-LN(2)/2))/(LN(2)/2)*BL58*BO58*VLOOKUP('Données projet'!$B$11,Paramètres!$A$1:$I$89,3,0)*0.475*44/12</f>
        <v>6.4835668883356377</v>
      </c>
      <c r="BS58" s="22">
        <f t="shared" si="9"/>
        <v>84.647915517427521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67.612894691850315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604</v>
      </c>
      <c r="BW58" s="12">
        <f>VLOOKUP(A58,'Données projet'!$A$113:$I$133,9,0)</f>
        <v>19.2</v>
      </c>
      <c r="BX58" s="12">
        <f t="array" ref="BX58">INDEX(BW:BW,MIN(IF(ISNUMBER(BW58:BW254),ROW(BW58:BW254),"")))</f>
        <v>19.2</v>
      </c>
      <c r="BY58" s="12">
        <f>IF('Données projet'!$A$114&gt;35,BY57+BX58-CG57,IF(A58&lt;'Données projet'!$A$114,$BV$205^A58,IF(A58='Données projet'!$A$114,'Données projet'!$B$114,BY57+BX58-CG57)))</f>
        <v>604</v>
      </c>
      <c r="BZ58" s="13">
        <f>BY58*VLOOKUP('Données projet'!$B$12,Paramètres!$A$1:$I$89,3,0)*VLOOKUP('Données projet'!$B$12,Paramètres!$A$1:$I$89,5,0)</f>
        <v>266.96800000000002</v>
      </c>
      <c r="CA58" s="13">
        <f t="shared" si="39"/>
        <v>64.205380050243818</v>
      </c>
      <c r="CB58" s="20">
        <f t="shared" si="10"/>
        <v>576.79363692084132</v>
      </c>
      <c r="CC58" s="59">
        <f t="shared" si="11"/>
        <v>861.3742507909592</v>
      </c>
      <c r="CD58" s="59">
        <f ca="1">AVERAGE(OFFSET($CC$3,0,0,'Données projet'!$E$12+1,1))-AVERAGE(OFFSET($H$3,0,0,'Données projet'!$E$12+1,1))</f>
        <v>297.1442218517625</v>
      </c>
      <c r="CE58" s="59">
        <f t="shared" si="40"/>
        <v>326.0112787126069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41</v>
      </c>
      <c r="CH58" s="16">
        <f>IF(ISNA(VLOOKUP(A58,'Données projet'!$A$113:$I$133,5,0)),0%,VLOOKUP(A58,'Données projet'!$A$113:$I$133,5,0)*VLOOKUP('Données projet'!$B$12,Paramètres!$A$1:$I$89,7,0))</f>
        <v>0.33</v>
      </c>
      <c r="CI58" s="16">
        <f>IF(ISNA(VLOOKUP(A58,'Données projet'!$A$113:$I$133,6,0)),0%,VLOOKUP(A58,'Données projet'!$A$113:$I$133,6,0)*VLOOKUP('Données projet'!$B$12,Paramètres!$A$1:$I$89,7,0))</f>
        <v>0.12100000000000001</v>
      </c>
      <c r="CJ58" s="16">
        <f>IF(ISNA(VLOOKUP(A58,'Données projet'!$A$113:$I$133,7,0)),0%,VLOOKUP(A58,'Données projet'!$A$113:$I$133,7,0))</f>
        <v>0.18</v>
      </c>
      <c r="CK58" s="21">
        <f>EXP(-LN(2)/35)*CK57+(1-EXP(-LN(2)/35))/(LN(2)/35)*CG58*CH58*VLOOKUP('Données projet'!$B$12,Paramètres!$A$1:$I$89,3,0)*0.475*44/12</f>
        <v>46.054550567238152</v>
      </c>
      <c r="CL58" s="21">
        <f>EXP(-LN(2)/25)*CL57+(1-EXP(-LN(2)/25))/(LN(2)/25)*Calculateur!CG58*Calculateur!CI58*VLOOKUP('Données projet'!$B$12,Paramètres!$A$1:$I$89,3,0)*0.475*44/12</f>
        <v>25.876398109100222</v>
      </c>
      <c r="CM58" s="21">
        <f>EXP(-LN(2)/2)*CM57+(1-EXP(-LN(2)/2))/(LN(2)/2)*CG58*CJ58*VLOOKUP('Données projet'!$B$12,Paramètres!$A$1:$I$89,3,0)*0.475*44/12</f>
        <v>4.6983903342000808</v>
      </c>
      <c r="CN58" s="22">
        <f t="shared" si="12"/>
        <v>76.629339010538459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67.612894691850315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492</v>
      </c>
      <c r="CR58" s="12">
        <f>VLOOKUP(A58,'Données projet'!$A$139:$I$159,9,0)</f>
        <v>16.600000000000001</v>
      </c>
      <c r="CS58" s="12">
        <f t="array" ref="CS58">INDEX(CR:CR,MIN(IF(ISNUMBER(CR58:CR254),ROW(CR58:CR254),"")))</f>
        <v>16.600000000000001</v>
      </c>
      <c r="CT58" s="12">
        <f>IF('Données projet'!$A$140&gt;35,CT57+CS58-DB57,IF(A58&lt;'Données projet'!$A$140,$CQ$205^A58,IF(A58='Données projet'!$A$140,'Données projet'!$B$140,CT57+CS58-DB57)))</f>
        <v>492.00000000000017</v>
      </c>
      <c r="CU58" s="17">
        <f>CT58*VLOOKUP('Données projet'!$B$13,Paramètres!$A$1:$I$89,3,0)*VLOOKUP('Données projet'!$B$13,Paramètres!$A$1:$I$89,5,0)</f>
        <v>294.21600000000012</v>
      </c>
      <c r="CV58" s="13">
        <f t="shared" si="41"/>
        <v>69.962544451198369</v>
      </c>
      <c r="CW58" s="20">
        <f t="shared" si="13"/>
        <v>634.2776315858373</v>
      </c>
      <c r="CX58" s="59">
        <f t="shared" si="14"/>
        <v>918.85824545595506</v>
      </c>
      <c r="CY58" s="59">
        <f ca="1">AVERAGE(OFFSET($CX$3,0,0,'Données projet'!$E$13+1,1))-AVERAGE(OFFSET($H$3,0,0,'Données projet'!$E$13+1,1))</f>
        <v>352.88552266225872</v>
      </c>
      <c r="CZ58" s="59">
        <f t="shared" si="42"/>
        <v>403.29115295154782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42</v>
      </c>
      <c r="DC58" s="16">
        <f>IF(ISNA(VLOOKUP(A58,'Données projet'!$A$139:$I$159,5,0)),0%,VLOOKUP(A58,'Données projet'!$A$139:$I$159,5,0)*VLOOKUP('Données projet'!$B$13,Paramètres!$A$1:$I$89,7,0))</f>
        <v>0.27</v>
      </c>
      <c r="DD58" s="16">
        <f>IF(ISNA(VLOOKUP(A58,'Données projet'!$A$139:$I$159,6,0)),0%,VLOOKUP(A58,'Données projet'!$A$139:$I$159,6,0)*VLOOKUP('Données projet'!$B$13,Paramètres!$A$1:$I$89,7,0))</f>
        <v>9.9000000000000005E-2</v>
      </c>
      <c r="DE58" s="16">
        <f>IF(ISNA(VLOOKUP(A58,'Données projet'!$A$139:$I$159,7,0)),0%,VLOOKUP(A58,'Données projet'!$A$139:$I$159,7,0))</f>
        <v>0.18</v>
      </c>
      <c r="DF58" s="21">
        <f>EXP(-LN(2)/35)*DF57+(1-EXP(-LN(2)/35))/(LN(2)/35)*DB58*DC58*VLOOKUP('Données projet'!$B$13,Paramètres!$A$1:$I$89,3,0)*0.475*44/12</f>
        <v>49.528955171728448</v>
      </c>
      <c r="DG58" s="21">
        <f>EXP(-LN(2)/25)*DG57+(1-EXP(-LN(2)/25))/(LN(2)/25)*Calculateur!DB58*Calculateur!DD58*VLOOKUP('Données projet'!$B$13,Paramètres!$A$1:$I$89,3,0)*0.475*44/12</f>
        <v>28.635393457363445</v>
      </c>
      <c r="DH58" s="21">
        <f>EXP(-LN(2)/2)*DH57+(1-EXP(-LN(2)/2))/(LN(2)/2)*DB58*DE58*VLOOKUP('Données projet'!$B$13,Paramètres!$A$1:$I$89,3,0)*0.475*44/12</f>
        <v>6.4835668883356377</v>
      </c>
      <c r="DI58" s="22">
        <f t="shared" si="15"/>
        <v>84.647915517427521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67.612894691850315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67.612894691850315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67.612894691850315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67.612894691850315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67.612894691850315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1.25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4.583333333333333</v>
      </c>
      <c r="H59" s="67">
        <f t="shared" si="1"/>
        <v>238.33333333333334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67.654305632178747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235.39999999999986</v>
      </c>
      <c r="O59" s="13">
        <f>N59*VLOOKUP('Données projet'!$B$9,Paramètres!$A$1:$I$89,3,0)*VLOOKUP('Données projet'!$B$9,Paramètres!$A$1:$I$89,5,0)</f>
        <v>212.9899199999999</v>
      </c>
      <c r="P59" s="13">
        <f t="shared" si="33"/>
        <v>52.588419883221121</v>
      </c>
      <c r="Q59" s="20">
        <f t="shared" si="53"/>
        <v>462.5489419632766</v>
      </c>
      <c r="R59" s="59">
        <f t="shared" si="0"/>
        <v>747.28139594793197</v>
      </c>
      <c r="S59" s="59">
        <f ca="1">AVERAGE(OFFSET($R$3,0,0,'Données projet'!$E$9+1,1))-AVERAGE(OFFSET($H$3,0,0,'Données projet'!$E$9+1,1))</f>
        <v>467.10712490977266</v>
      </c>
      <c r="T59" s="59">
        <f t="shared" si="34"/>
        <v>282.99426855025968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10.441575001288859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10.441575001288859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67.654305632178747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174.71376000000001</v>
      </c>
      <c r="AK59" s="13">
        <f t="shared" si="35"/>
        <v>44.144062647515817</v>
      </c>
      <c r="AL59" s="20">
        <f t="shared" si="4"/>
        <v>381.17737444442338</v>
      </c>
      <c r="AM59" s="59">
        <f t="shared" si="5"/>
        <v>665.90982842907874</v>
      </c>
      <c r="AN59" s="59">
        <f ca="1">AVERAGE(OFFSET($AM$3,0,0,'Données projet'!$E$10+1,1))-AVERAGE(OFFSET($H$3,0,0,'Données projet'!$E$10+1,1))</f>
        <v>399.57236812003225</v>
      </c>
      <c r="AO59" s="59">
        <f t="shared" si="36"/>
        <v>245.95971136213691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8.2362423501545745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8.2362423501545745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67.654305632178747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15.6</v>
      </c>
      <c r="BD59" s="12">
        <f>IF('Données projet'!$A$88&gt;35,BD58+BC59-BL58,IF(A59&lt;'Données projet'!$A$88,$BA$205^A59,IF(A59='Données projet'!$A$88,'Données projet'!$B$88,BD58+BC59-BL58)))</f>
        <v>465.60000000000019</v>
      </c>
      <c r="BE59" s="13">
        <f>BD59*VLOOKUP('Données projet'!$B$11,Paramètres!$A$1:$I$89,3,0)*VLOOKUP('Données projet'!$B$11,Paramètres!$A$1:$I$89,5,0)</f>
        <v>278.42880000000014</v>
      </c>
      <c r="BF59" s="13">
        <f t="shared" si="37"/>
        <v>66.634860488094731</v>
      </c>
      <c r="BG59" s="20">
        <f t="shared" si="7"/>
        <v>600.98587535009858</v>
      </c>
      <c r="BH59" s="59">
        <f t="shared" si="8"/>
        <v>885.718329334754</v>
      </c>
      <c r="BI59" s="59">
        <f ca="1">AVERAGE(OFFSET($BH$3,0,0,'Données projet'!$E$11+1,1))-AVERAGE(OFFSET($H$3,0,0,'Données projet'!$E$11+1,1))</f>
        <v>352.88552266225872</v>
      </c>
      <c r="BJ59" s="59">
        <f t="shared" si="38"/>
        <v>403.29115295154782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48.557722570490547</v>
      </c>
      <c r="BQ59" s="21">
        <f>EXP(-LN(2)/25)*BQ58+(1-EXP(-LN(2)/25))/(LN(2)/25)*Calculateur!BL59*Calculateur!BN59*VLOOKUP('Données projet'!$B$11,Paramètres!$A$1:$I$89,3,0)*0.475*44/12</f>
        <v>27.852357117401947</v>
      </c>
      <c r="BR59" s="21">
        <f>EXP(-LN(2)/2)*BR58+(1-EXP(-LN(2)/2))/(LN(2)/2)*BL59*BO59*VLOOKUP('Données projet'!$B$11,Paramètres!$A$1:$I$89,3,0)*0.475*44/12</f>
        <v>4.584574113018693</v>
      </c>
      <c r="BS59" s="22">
        <f t="shared" si="9"/>
        <v>80.99465380091118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67.654305632178747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16.8</v>
      </c>
      <c r="BY59" s="12">
        <f>IF('Données projet'!$A$114&gt;35,BY58+BX59-CG58,IF(A59&lt;'Données projet'!$A$114,$BV$205^A59,IF(A59='Données projet'!$A$114,'Données projet'!$B$114,BY58+BX59-CG58)))</f>
        <v>579.79999999999995</v>
      </c>
      <c r="BZ59" s="13">
        <f>BY59*VLOOKUP('Données projet'!$B$12,Paramètres!$A$1:$I$89,3,0)*VLOOKUP('Données projet'!$B$12,Paramètres!$A$1:$I$89,5,0)</f>
        <v>256.27160000000003</v>
      </c>
      <c r="CA59" s="13">
        <f t="shared" si="39"/>
        <v>61.926966893594994</v>
      </c>
      <c r="CB59" s="20">
        <f t="shared" si="10"/>
        <v>554.19583733967795</v>
      </c>
      <c r="CC59" s="59">
        <f t="shared" si="11"/>
        <v>838.92829132433337</v>
      </c>
      <c r="CD59" s="59">
        <f ca="1">AVERAGE(OFFSET($CC$3,0,0,'Données projet'!$E$12+1,1))-AVERAGE(OFFSET($H$3,0,0,'Données projet'!$E$12+1,1))</f>
        <v>297.1442218517625</v>
      </c>
      <c r="CE59" s="59">
        <f t="shared" si="40"/>
        <v>326.0112787126069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45.151448921116753</v>
      </c>
      <c r="CL59" s="21">
        <f>EXP(-LN(2)/25)*CL58+(1-EXP(-LN(2)/25))/(LN(2)/25)*Calculateur!CG59*Calculateur!CI59*VLOOKUP('Données projet'!$B$12,Paramètres!$A$1:$I$89,3,0)*0.475*44/12</f>
        <v>25.16880664202624</v>
      </c>
      <c r="CM59" s="21">
        <f>EXP(-LN(2)/2)*CM58+(1-EXP(-LN(2)/2))/(LN(2)/2)*CG59*CJ59*VLOOKUP('Données projet'!$B$12,Paramètres!$A$1:$I$89,3,0)*0.475*44/12</f>
        <v>3.3222636659742069</v>
      </c>
      <c r="CN59" s="22">
        <f t="shared" si="12"/>
        <v>73.642519229117198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67.654305632178747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15.6</v>
      </c>
      <c r="CT59" s="12">
        <f>IF('Données projet'!$A$140&gt;35,CT58+CS59-DB58,IF(A59&lt;'Données projet'!$A$140,$CQ$205^A59,IF(A59='Données projet'!$A$140,'Données projet'!$B$140,CT58+CS59-DB58)))</f>
        <v>465.60000000000019</v>
      </c>
      <c r="CU59" s="17">
        <f>CT59*VLOOKUP('Données projet'!$B$13,Paramètres!$A$1:$I$89,3,0)*VLOOKUP('Données projet'!$B$13,Paramètres!$A$1:$I$89,5,0)</f>
        <v>278.42880000000014</v>
      </c>
      <c r="CV59" s="13">
        <f t="shared" si="41"/>
        <v>66.634860488094731</v>
      </c>
      <c r="CW59" s="20">
        <f t="shared" si="13"/>
        <v>600.98587535009858</v>
      </c>
      <c r="CX59" s="59">
        <f t="shared" si="14"/>
        <v>885.718329334754</v>
      </c>
      <c r="CY59" s="59">
        <f ca="1">AVERAGE(OFFSET($CX$3,0,0,'Données projet'!$E$13+1,1))-AVERAGE(OFFSET($H$3,0,0,'Données projet'!$E$13+1,1))</f>
        <v>352.88552266225872</v>
      </c>
      <c r="CZ59" s="59">
        <f t="shared" si="42"/>
        <v>403.29115295154782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48.557722570490547</v>
      </c>
      <c r="DG59" s="21">
        <f>EXP(-LN(2)/25)*DG58+(1-EXP(-LN(2)/25))/(LN(2)/25)*Calculateur!DB59*Calculateur!DD59*VLOOKUP('Données projet'!$B$13,Paramètres!$A$1:$I$89,3,0)*0.475*44/12</f>
        <v>27.852357117401947</v>
      </c>
      <c r="DH59" s="21">
        <f>EXP(-LN(2)/2)*DH58+(1-EXP(-LN(2)/2))/(LN(2)/2)*DB59*DE59*VLOOKUP('Données projet'!$B$13,Paramètres!$A$1:$I$89,3,0)*0.475*44/12</f>
        <v>4.584574113018693</v>
      </c>
      <c r="DI59" s="22">
        <f t="shared" si="15"/>
        <v>80.99465380091118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67.654305632178747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67.654305632178747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67.654305632178747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67.654305632178747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67.654305632178747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1.25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4.583333333333333</v>
      </c>
      <c r="H60" s="67">
        <f t="shared" si="1"/>
        <v>238.33333333333334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67.694998185273477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244.79999999999987</v>
      </c>
      <c r="O60" s="13">
        <f>N60*VLOOKUP('Données projet'!$B$9,Paramètres!$A$1:$I$89,3,0)*VLOOKUP('Données projet'!$B$9,Paramètres!$A$1:$I$89,5,0)</f>
        <v>221.49503999999988</v>
      </c>
      <c r="P60" s="13">
        <f t="shared" si="33"/>
        <v>54.439697086174412</v>
      </c>
      <c r="Q60" s="20">
        <f t="shared" si="53"/>
        <v>480.58633375842015</v>
      </c>
      <c r="R60" s="59">
        <f t="shared" si="0"/>
        <v>765.4679937710896</v>
      </c>
      <c r="S60" s="59">
        <f ca="1">AVERAGE(OFFSET($R$3,0,0,'Données projet'!$E$9+1,1))-AVERAGE(OFFSET($H$3,0,0,'Données projet'!$E$9+1,1))</f>
        <v>467.10712490977266</v>
      </c>
      <c r="T60" s="59">
        <f t="shared" si="34"/>
        <v>282.99426855025968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10.236822084245475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10.236822084245475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67.694998185273477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181.94592</v>
      </c>
      <c r="AK60" s="13">
        <f t="shared" si="35"/>
        <v>45.754846212632849</v>
      </c>
      <c r="AL60" s="20">
        <f t="shared" si="4"/>
        <v>396.57883448700221</v>
      </c>
      <c r="AM60" s="59">
        <f t="shared" si="5"/>
        <v>681.46049449967165</v>
      </c>
      <c r="AN60" s="59">
        <f ca="1">AVERAGE(OFFSET($AM$3,0,0,'Données projet'!$E$10+1,1))-AVERAGE(OFFSET($H$3,0,0,'Données projet'!$E$10+1,1))</f>
        <v>399.57236812003225</v>
      </c>
      <c r="AO60" s="59">
        <f t="shared" si="36"/>
        <v>245.95971136213691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8.0747346612798356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8.0747346612798356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67.694998185273477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15.6</v>
      </c>
      <c r="BD60" s="12">
        <f>IF('Données projet'!$A$88&gt;35,BD59+BC60-BL59,IF(A60&lt;'Données projet'!$A$88,$BA$205^A60,IF(A60='Données projet'!$A$88,'Données projet'!$B$88,BD59+BC60-BL59)))</f>
        <v>481.20000000000022</v>
      </c>
      <c r="BE60" s="13">
        <f>BD60*VLOOKUP('Données projet'!$B$11,Paramètres!$A$1:$I$89,3,0)*VLOOKUP('Données projet'!$B$11,Paramètres!$A$1:$I$89,5,0)</f>
        <v>287.75760000000014</v>
      </c>
      <c r="BF60" s="13">
        <f t="shared" si="37"/>
        <v>68.603796134155942</v>
      </c>
      <c r="BG60" s="20">
        <f t="shared" si="7"/>
        <v>620.66276493365513</v>
      </c>
      <c r="BH60" s="59">
        <f t="shared" si="8"/>
        <v>905.54442494632463</v>
      </c>
      <c r="BI60" s="59">
        <f ca="1">AVERAGE(OFFSET($BH$3,0,0,'Données projet'!$E$11+1,1))-AVERAGE(OFFSET($H$3,0,0,'Données projet'!$E$11+1,1))</f>
        <v>352.88552266225872</v>
      </c>
      <c r="BJ60" s="59">
        <f t="shared" si="38"/>
        <v>403.29115295154782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47.605535248169531</v>
      </c>
      <c r="BQ60" s="21">
        <f>EXP(-LN(2)/25)*BQ59+(1-EXP(-LN(2)/25))/(LN(2)/25)*Calculateur!BL60*Calculateur!BN60*VLOOKUP('Données projet'!$B$11,Paramètres!$A$1:$I$89,3,0)*0.475*44/12</f>
        <v>27.090732947334789</v>
      </c>
      <c r="BR60" s="21">
        <f>EXP(-LN(2)/2)*BR59+(1-EXP(-LN(2)/2))/(LN(2)/2)*BL60*BO60*VLOOKUP('Données projet'!$B$11,Paramètres!$A$1:$I$89,3,0)*0.475*44/12</f>
        <v>3.2417834441678193</v>
      </c>
      <c r="BS60" s="22">
        <f t="shared" si="9"/>
        <v>77.938051639672139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67.694998185273477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16.8</v>
      </c>
      <c r="BY60" s="12">
        <f>IF('Données projet'!$A$114&gt;35,BY59+BX60-CG59,IF(A60&lt;'Données projet'!$A$114,$BV$205^A60,IF(A60='Données projet'!$A$114,'Données projet'!$B$114,BY59+BX60-CG59)))</f>
        <v>596.59999999999991</v>
      </c>
      <c r="BZ60" s="13">
        <f>BY60*VLOOKUP('Données projet'!$B$12,Paramètres!$A$1:$I$89,3,0)*VLOOKUP('Données projet'!$B$12,Paramètres!$A$1:$I$89,5,0)</f>
        <v>263.69720000000001</v>
      </c>
      <c r="CA60" s="13">
        <f t="shared" si="39"/>
        <v>63.509822785170549</v>
      </c>
      <c r="CB60" s="20">
        <f t="shared" si="10"/>
        <v>569.88556468417198</v>
      </c>
      <c r="CC60" s="59">
        <f t="shared" si="11"/>
        <v>854.76722469684137</v>
      </c>
      <c r="CD60" s="59">
        <f ca="1">AVERAGE(OFFSET($CC$3,0,0,'Données projet'!$E$12+1,1))-AVERAGE(OFFSET($H$3,0,0,'Données projet'!$E$12+1,1))</f>
        <v>297.1442218517625</v>
      </c>
      <c r="CE60" s="59">
        <f t="shared" si="40"/>
        <v>326.0112787126069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44.266056547438183</v>
      </c>
      <c r="CL60" s="21">
        <f>EXP(-LN(2)/25)*CL59+(1-EXP(-LN(2)/25))/(LN(2)/25)*Calculateur!CG60*Calculateur!CI60*VLOOKUP('Données projet'!$B$12,Paramètres!$A$1:$I$89,3,0)*0.475*44/12</f>
        <v>24.480564300830014</v>
      </c>
      <c r="CM60" s="21">
        <f>EXP(-LN(2)/2)*CM59+(1-EXP(-LN(2)/2))/(LN(2)/2)*CG60*CJ60*VLOOKUP('Données projet'!$B$12,Paramètres!$A$1:$I$89,3,0)*0.475*44/12</f>
        <v>2.3491951671000408</v>
      </c>
      <c r="CN60" s="22">
        <f t="shared" si="12"/>
        <v>71.095816015368229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67.694998185273477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15.6</v>
      </c>
      <c r="CT60" s="12">
        <f>IF('Données projet'!$A$140&gt;35,CT59+CS60-DB59,IF(A60&lt;'Données projet'!$A$140,$CQ$205^A60,IF(A60='Données projet'!$A$140,'Données projet'!$B$140,CT59+CS60-DB59)))</f>
        <v>481.20000000000022</v>
      </c>
      <c r="CU60" s="17">
        <f>CT60*VLOOKUP('Données projet'!$B$13,Paramètres!$A$1:$I$89,3,0)*VLOOKUP('Données projet'!$B$13,Paramètres!$A$1:$I$89,5,0)</f>
        <v>287.75760000000014</v>
      </c>
      <c r="CV60" s="13">
        <f t="shared" si="41"/>
        <v>68.603796134155942</v>
      </c>
      <c r="CW60" s="20">
        <f t="shared" si="13"/>
        <v>620.66276493365513</v>
      </c>
      <c r="CX60" s="59">
        <f t="shared" si="14"/>
        <v>905.54442494632463</v>
      </c>
      <c r="CY60" s="59">
        <f ca="1">AVERAGE(OFFSET($CX$3,0,0,'Données projet'!$E$13+1,1))-AVERAGE(OFFSET($H$3,0,0,'Données projet'!$E$13+1,1))</f>
        <v>352.88552266225872</v>
      </c>
      <c r="CZ60" s="59">
        <f t="shared" si="42"/>
        <v>403.29115295154782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47.605535248169531</v>
      </c>
      <c r="DG60" s="21">
        <f>EXP(-LN(2)/25)*DG59+(1-EXP(-LN(2)/25))/(LN(2)/25)*Calculateur!DB60*Calculateur!DD60*VLOOKUP('Données projet'!$B$13,Paramètres!$A$1:$I$89,3,0)*0.475*44/12</f>
        <v>27.090732947334789</v>
      </c>
      <c r="DH60" s="21">
        <f>EXP(-LN(2)/2)*DH59+(1-EXP(-LN(2)/2))/(LN(2)/2)*DB60*DE60*VLOOKUP('Données projet'!$B$13,Paramètres!$A$1:$I$89,3,0)*0.475*44/12</f>
        <v>3.2417834441678193</v>
      </c>
      <c r="DI60" s="22">
        <f t="shared" si="15"/>
        <v>77.938051639672139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67.694998185273477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67.694998185273477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67.694998185273477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67.694998185273477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67.694998185273477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1.25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4.583333333333333</v>
      </c>
      <c r="H61" s="67">
        <f t="shared" si="1"/>
        <v>238.33333333333334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67.73498481354693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254.19999999999987</v>
      </c>
      <c r="O61" s="13">
        <f>N61*VLOOKUP('Données projet'!$B$9,Paramètres!$A$1:$I$89,3,0)*VLOOKUP('Données projet'!$B$9,Paramètres!$A$1:$I$89,5,0)</f>
        <v>230.00015999999988</v>
      </c>
      <c r="P61" s="13">
        <f t="shared" si="33"/>
        <v>56.282716126880423</v>
      </c>
      <c r="Q61" s="20">
        <f t="shared" si="53"/>
        <v>498.60934258764979</v>
      </c>
      <c r="R61" s="59">
        <f t="shared" si="0"/>
        <v>783.63762023732193</v>
      </c>
      <c r="S61" s="59">
        <f ca="1">AVERAGE(OFFSET($R$3,0,0,'Données projet'!$E$9+1,1))-AVERAGE(OFFSET($H$3,0,0,'Données projet'!$E$9+1,1))</f>
        <v>467.10712490977266</v>
      </c>
      <c r="T61" s="59">
        <f t="shared" si="34"/>
        <v>282.99426855025968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10.036084247018364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10.036084247018364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67.73498481354693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189.17807999999999</v>
      </c>
      <c r="AK61" s="13">
        <f t="shared" si="35"/>
        <v>47.358192185392497</v>
      </c>
      <c r="AL61" s="20">
        <f t="shared" si="4"/>
        <v>411.96734072289183</v>
      </c>
      <c r="AM61" s="59">
        <f t="shared" si="5"/>
        <v>696.99561837256397</v>
      </c>
      <c r="AN61" s="59">
        <f ca="1">AVERAGE(OFFSET($AM$3,0,0,'Données projet'!$E$10+1,1))-AVERAGE(OFFSET($H$3,0,0,'Données projet'!$E$10+1,1))</f>
        <v>399.57236812003225</v>
      </c>
      <c r="AO61" s="59">
        <f t="shared" si="36"/>
        <v>245.95971136213691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7.9163940396739676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7.9163940396739676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67.73498481354693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15.6</v>
      </c>
      <c r="BD61" s="12">
        <f>IF('Données projet'!$A$88&gt;35,BD60+BC61-BL60,IF(A61&lt;'Données projet'!$A$88,$BA$205^A61,IF(A61='Données projet'!$A$88,'Données projet'!$B$88,BD60+BC61-BL60)))</f>
        <v>496.80000000000024</v>
      </c>
      <c r="BE61" s="13">
        <f>BD61*VLOOKUP('Données projet'!$B$11,Paramètres!$A$1:$I$89,3,0)*VLOOKUP('Données projet'!$B$11,Paramètres!$A$1:$I$89,5,0)</f>
        <v>297.0864000000002</v>
      </c>
      <c r="BF61" s="13">
        <f t="shared" si="37"/>
        <v>70.565314499829654</v>
      </c>
      <c r="BG61" s="20">
        <f t="shared" si="7"/>
        <v>640.32673608720359</v>
      </c>
      <c r="BH61" s="59">
        <f t="shared" si="8"/>
        <v>925.35501373687566</v>
      </c>
      <c r="BI61" s="59">
        <f ca="1">AVERAGE(OFFSET($BH$3,0,0,'Données projet'!$E$11+1,1))-AVERAGE(OFFSET($H$3,0,0,'Données projet'!$E$11+1,1))</f>
        <v>352.88552266225872</v>
      </c>
      <c r="BJ61" s="59">
        <f t="shared" si="38"/>
        <v>403.29115295154782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46.672019738462311</v>
      </c>
      <c r="BQ61" s="21">
        <f>EXP(-LN(2)/25)*BQ60+(1-EXP(-LN(2)/25))/(LN(2)/25)*Calculateur!BL61*Calculateur!BN61*VLOOKUP('Données projet'!$B$11,Paramètres!$A$1:$I$89,3,0)*0.475*44/12</f>
        <v>26.349935430250191</v>
      </c>
      <c r="BR61" s="21">
        <f>EXP(-LN(2)/2)*BR60+(1-EXP(-LN(2)/2))/(LN(2)/2)*BL61*BO61*VLOOKUP('Données projet'!$B$11,Paramètres!$A$1:$I$89,3,0)*0.475*44/12</f>
        <v>2.2922870565093469</v>
      </c>
      <c r="BS61" s="22">
        <f t="shared" si="9"/>
        <v>75.314242225221861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67.73498481354693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16.8</v>
      </c>
      <c r="BY61" s="12">
        <f>IF('Données projet'!$A$114&gt;35,BY60+BX61-CG60,IF(A61&lt;'Données projet'!$A$114,$BV$205^A61,IF(A61='Données projet'!$A$114,'Données projet'!$B$114,BY60+BX61-CG60)))</f>
        <v>613.39999999999986</v>
      </c>
      <c r="BZ61" s="13">
        <f>BY61*VLOOKUP('Données projet'!$B$12,Paramètres!$A$1:$I$89,3,0)*VLOOKUP('Données projet'!$B$12,Paramètres!$A$1:$I$89,5,0)</f>
        <v>271.12279999999993</v>
      </c>
      <c r="CA61" s="13">
        <f t="shared" si="39"/>
        <v>65.087498202986296</v>
      </c>
      <c r="CB61" s="20">
        <f t="shared" si="10"/>
        <v>585.56626937020098</v>
      </c>
      <c r="CC61" s="59">
        <f t="shared" si="11"/>
        <v>870.59454701987306</v>
      </c>
      <c r="CD61" s="59">
        <f ca="1">AVERAGE(OFFSET($CC$3,0,0,'Données projet'!$E$12+1,1))-AVERAGE(OFFSET($H$3,0,0,'Données projet'!$E$12+1,1))</f>
        <v>297.1442218517625</v>
      </c>
      <c r="CE61" s="59">
        <f t="shared" si="40"/>
        <v>326.0112787126069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43.39802617817142</v>
      </c>
      <c r="CL61" s="21">
        <f>EXP(-LN(2)/25)*CL60+(1-EXP(-LN(2)/25))/(LN(2)/25)*Calculateur!CG61*Calculateur!CI61*VLOOKUP('Données projet'!$B$12,Paramètres!$A$1:$I$89,3,0)*0.475*44/12</f>
        <v>23.811141982646891</v>
      </c>
      <c r="CM61" s="21">
        <f>EXP(-LN(2)/2)*CM60+(1-EXP(-LN(2)/2))/(LN(2)/2)*CG61*CJ61*VLOOKUP('Données projet'!$B$12,Paramètres!$A$1:$I$89,3,0)*0.475*44/12</f>
        <v>1.6611318329871037</v>
      </c>
      <c r="CN61" s="22">
        <f t="shared" si="12"/>
        <v>68.870299993805418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67.73498481354693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15.6</v>
      </c>
      <c r="CT61" s="12">
        <f>IF('Données projet'!$A$140&gt;35,CT60+CS61-DB60,IF(A61&lt;'Données projet'!$A$140,$CQ$205^A61,IF(A61='Données projet'!$A$140,'Données projet'!$B$140,CT60+CS61-DB60)))</f>
        <v>496.80000000000024</v>
      </c>
      <c r="CU61" s="17">
        <f>CT61*VLOOKUP('Données projet'!$B$13,Paramètres!$A$1:$I$89,3,0)*VLOOKUP('Données projet'!$B$13,Paramètres!$A$1:$I$89,5,0)</f>
        <v>297.0864000000002</v>
      </c>
      <c r="CV61" s="13">
        <f t="shared" si="41"/>
        <v>70.565314499829654</v>
      </c>
      <c r="CW61" s="20">
        <f t="shared" si="13"/>
        <v>640.32673608720359</v>
      </c>
      <c r="CX61" s="59">
        <f t="shared" si="14"/>
        <v>925.35501373687566</v>
      </c>
      <c r="CY61" s="59">
        <f ca="1">AVERAGE(OFFSET($CX$3,0,0,'Données projet'!$E$13+1,1))-AVERAGE(OFFSET($H$3,0,0,'Données projet'!$E$13+1,1))</f>
        <v>352.88552266225872</v>
      </c>
      <c r="CZ61" s="59">
        <f t="shared" si="42"/>
        <v>403.29115295154782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46.672019738462311</v>
      </c>
      <c r="DG61" s="21">
        <f>EXP(-LN(2)/25)*DG60+(1-EXP(-LN(2)/25))/(LN(2)/25)*Calculateur!DB61*Calculateur!DD61*VLOOKUP('Données projet'!$B$13,Paramètres!$A$1:$I$89,3,0)*0.475*44/12</f>
        <v>26.349935430250191</v>
      </c>
      <c r="DH61" s="21">
        <f>EXP(-LN(2)/2)*DH60+(1-EXP(-LN(2)/2))/(LN(2)/2)*DB61*DE61*VLOOKUP('Données projet'!$B$13,Paramètres!$A$1:$I$89,3,0)*0.475*44/12</f>
        <v>2.2922870565093469</v>
      </c>
      <c r="DI61" s="22">
        <f t="shared" si="15"/>
        <v>75.314242225221861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67.73498481354693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67.73498481354693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67.73498481354693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67.73498481354693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67.73498481354693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1.25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4.583333333333333</v>
      </c>
      <c r="H62" s="67">
        <f t="shared" si="1"/>
        <v>238.33333333333334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67.77427776321656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263.59999999999985</v>
      </c>
      <c r="O62" s="13">
        <f>N62*VLOOKUP('Données projet'!$B$9,Paramètres!$A$1:$I$89,3,0)*VLOOKUP('Données projet'!$B$9,Paramètres!$A$1:$I$89,5,0)</f>
        <v>238.50527999999983</v>
      </c>
      <c r="P62" s="13">
        <f t="shared" si="33"/>
        <v>58.117817352909832</v>
      </c>
      <c r="Q62" s="20">
        <f t="shared" si="53"/>
        <v>516.61856122298423</v>
      </c>
      <c r="R62" s="59">
        <f t="shared" si="0"/>
        <v>801.79091302144502</v>
      </c>
      <c r="S62" s="59">
        <f ca="1">AVERAGE(OFFSET($R$3,0,0,'Données projet'!$E$9+1,1))-AVERAGE(OFFSET($H$3,0,0,'Données projet'!$E$9+1,1))</f>
        <v>467.10712490977266</v>
      </c>
      <c r="T62" s="59">
        <f t="shared" si="34"/>
        <v>282.99426855025968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9.8392827563412855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9.8392827563412855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67.77427776321656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196.41023999999999</v>
      </c>
      <c r="AK62" s="13">
        <f t="shared" si="35"/>
        <v>48.954417448783772</v>
      </c>
      <c r="AL62" s="20">
        <f t="shared" si="4"/>
        <v>427.34344505663171</v>
      </c>
      <c r="AM62" s="59">
        <f t="shared" si="5"/>
        <v>712.5157968550925</v>
      </c>
      <c r="AN62" s="59">
        <f ca="1">AVERAGE(OFFSET($AM$3,0,0,'Données projet'!$E$10+1,1))-AVERAGE(OFFSET($H$3,0,0,'Données projet'!$E$10+1,1))</f>
        <v>399.57236812003225</v>
      </c>
      <c r="AO62" s="59">
        <f t="shared" si="36"/>
        <v>245.95971136213691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7.7611583810795484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7.7611583810795484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67.77427776321656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15.6</v>
      </c>
      <c r="BD62" s="12">
        <f>IF('Données projet'!$A$88&gt;35,BD61+BC62-BL61,IF(A62&lt;'Données projet'!$A$88,$BA$205^A62,IF(A62='Données projet'!$A$88,'Données projet'!$B$88,BD61+BC62-BL61)))</f>
        <v>512.4000000000002</v>
      </c>
      <c r="BE62" s="13">
        <f>BD62*VLOOKUP('Données projet'!$B$11,Paramètres!$A$1:$I$89,3,0)*VLOOKUP('Données projet'!$B$11,Paramètres!$A$1:$I$89,5,0)</f>
        <v>306.41520000000014</v>
      </c>
      <c r="BF62" s="13">
        <f t="shared" si="37"/>
        <v>72.519675217547672</v>
      </c>
      <c r="BG62" s="20">
        <f t="shared" si="7"/>
        <v>659.97824100389573</v>
      </c>
      <c r="BH62" s="59">
        <f t="shared" si="8"/>
        <v>945.15059280235641</v>
      </c>
      <c r="BI62" s="59">
        <f ca="1">AVERAGE(OFFSET($BH$3,0,0,'Données projet'!$E$11+1,1))-AVERAGE(OFFSET($H$3,0,0,'Données projet'!$E$11+1,1))</f>
        <v>352.88552266225872</v>
      </c>
      <c r="BJ62" s="59">
        <f t="shared" si="38"/>
        <v>403.29115295154782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45.756809898512209</v>
      </c>
      <c r="BQ62" s="21">
        <f>EXP(-LN(2)/25)*BQ61+(1-EXP(-LN(2)/25))/(LN(2)/25)*Calculateur!BL62*Calculateur!BN62*VLOOKUP('Données projet'!$B$11,Paramètres!$A$1:$I$89,3,0)*0.475*44/12</f>
        <v>25.629395060227118</v>
      </c>
      <c r="BR62" s="21">
        <f>EXP(-LN(2)/2)*BR61+(1-EXP(-LN(2)/2))/(LN(2)/2)*BL62*BO62*VLOOKUP('Données projet'!$B$11,Paramètres!$A$1:$I$89,3,0)*0.475*44/12</f>
        <v>1.6208917220839101</v>
      </c>
      <c r="BS62" s="22">
        <f t="shared" si="9"/>
        <v>73.007096680823238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67.77427776321656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16.8</v>
      </c>
      <c r="BY62" s="12">
        <f>IF('Données projet'!$A$114&gt;35,BY61+BX62-CG61,IF(A62&lt;'Données projet'!$A$114,$BV$205^A62,IF(A62='Données projet'!$A$114,'Données projet'!$B$114,BY61+BX62-CG61)))</f>
        <v>630.19999999999982</v>
      </c>
      <c r="BZ62" s="13">
        <f>BY62*VLOOKUP('Données projet'!$B$12,Paramètres!$A$1:$I$89,3,0)*VLOOKUP('Données projet'!$B$12,Paramètres!$A$1:$I$89,5,0)</f>
        <v>278.54839999999996</v>
      </c>
      <c r="CA62" s="13">
        <f t="shared" si="39"/>
        <v>66.660151334743531</v>
      </c>
      <c r="CB62" s="20">
        <f t="shared" si="10"/>
        <v>601.2382269080116</v>
      </c>
      <c r="CC62" s="59">
        <f t="shared" si="11"/>
        <v>886.41057870647228</v>
      </c>
      <c r="CD62" s="59">
        <f ca="1">AVERAGE(OFFSET($CC$3,0,0,'Données projet'!$E$12+1,1))-AVERAGE(OFFSET($H$3,0,0,'Données projet'!$E$12+1,1))</f>
        <v>297.1442218517625</v>
      </c>
      <c r="CE62" s="59">
        <f t="shared" si="40"/>
        <v>326.0112787126069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42.547017354999731</v>
      </c>
      <c r="CL62" s="21">
        <f>EXP(-LN(2)/25)*CL61+(1-EXP(-LN(2)/25))/(LN(2)/25)*Calculateur!CG62*Calculateur!CI62*VLOOKUP('Données projet'!$B$12,Paramètres!$A$1:$I$89,3,0)*0.475*44/12</f>
        <v>23.160025052957877</v>
      </c>
      <c r="CM62" s="21">
        <f>EXP(-LN(2)/2)*CM61+(1-EXP(-LN(2)/2))/(LN(2)/2)*CG62*CJ62*VLOOKUP('Données projet'!$B$12,Paramètres!$A$1:$I$89,3,0)*0.475*44/12</f>
        <v>1.1745975835500206</v>
      </c>
      <c r="CN62" s="22">
        <f t="shared" si="12"/>
        <v>66.881639991507626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67.77427776321656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15.6</v>
      </c>
      <c r="CT62" s="12">
        <f>IF('Données projet'!$A$140&gt;35,CT61+CS62-DB61,IF(A62&lt;'Données projet'!$A$140,$CQ$205^A62,IF(A62='Données projet'!$A$140,'Données projet'!$B$140,CT61+CS62-DB61)))</f>
        <v>512.4000000000002</v>
      </c>
      <c r="CU62" s="17">
        <f>CT62*VLOOKUP('Données projet'!$B$13,Paramètres!$A$1:$I$89,3,0)*VLOOKUP('Données projet'!$B$13,Paramètres!$A$1:$I$89,5,0)</f>
        <v>306.41520000000014</v>
      </c>
      <c r="CV62" s="13">
        <f t="shared" si="41"/>
        <v>72.519675217547672</v>
      </c>
      <c r="CW62" s="20">
        <f t="shared" si="13"/>
        <v>659.97824100389573</v>
      </c>
      <c r="CX62" s="59">
        <f t="shared" si="14"/>
        <v>945.15059280235641</v>
      </c>
      <c r="CY62" s="59">
        <f ca="1">AVERAGE(OFFSET($CX$3,0,0,'Données projet'!$E$13+1,1))-AVERAGE(OFFSET($H$3,0,0,'Données projet'!$E$13+1,1))</f>
        <v>352.88552266225872</v>
      </c>
      <c r="CZ62" s="59">
        <f t="shared" si="42"/>
        <v>403.29115295154782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45.756809898512209</v>
      </c>
      <c r="DG62" s="21">
        <f>EXP(-LN(2)/25)*DG61+(1-EXP(-LN(2)/25))/(LN(2)/25)*Calculateur!DB62*Calculateur!DD62*VLOOKUP('Données projet'!$B$13,Paramètres!$A$1:$I$89,3,0)*0.475*44/12</f>
        <v>25.629395060227118</v>
      </c>
      <c r="DH62" s="21">
        <f>EXP(-LN(2)/2)*DH61+(1-EXP(-LN(2)/2))/(LN(2)/2)*DB62*DE62*VLOOKUP('Données projet'!$B$13,Paramètres!$A$1:$I$89,3,0)*0.475*44/12</f>
        <v>1.6208917220839101</v>
      </c>
      <c r="DI62" s="22">
        <f t="shared" si="15"/>
        <v>73.007096680823238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67.77427776321656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67.77427776321656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67.77427776321656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67.77427776321656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67.77427776321656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1.25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4.583333333333333</v>
      </c>
      <c r="H63" s="67">
        <f t="shared" si="1"/>
        <v>238.33333333333334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67.812889068055284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272.99999999999983</v>
      </c>
      <c r="O63" s="13">
        <f>N63*VLOOKUP('Données projet'!$B$9,Paramètres!$A$1:$I$89,3,0)*VLOOKUP('Données projet'!$B$9,Paramètres!$A$1:$I$89,5,0)</f>
        <v>247.01039999999983</v>
      </c>
      <c r="P63" s="13">
        <f t="shared" si="33"/>
        <v>59.945315462121762</v>
      </c>
      <c r="Q63" s="20">
        <f t="shared" si="53"/>
        <v>534.61453776319513</v>
      </c>
      <c r="R63" s="59">
        <f t="shared" si="0"/>
        <v>819.92846434606452</v>
      </c>
      <c r="S63" s="59">
        <f ca="1">AVERAGE(OFFSET($R$3,0,0,'Données projet'!$E$9+1,1))-AVERAGE(OFFSET($H$3,0,0,'Données projet'!$E$9+1,1))</f>
        <v>467.10712490977266</v>
      </c>
      <c r="T63" s="59">
        <f t="shared" si="34"/>
        <v>282.99426855025968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14.463446173576536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14.463446173576536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67.812889068055284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203.64239999999998</v>
      </c>
      <c r="AK63" s="13">
        <f t="shared" si="35"/>
        <v>50.543814227115405</v>
      </c>
      <c r="AL63" s="20">
        <f t="shared" si="4"/>
        <v>442.70765644555928</v>
      </c>
      <c r="AM63" s="59">
        <f t="shared" si="5"/>
        <v>728.02158302842872</v>
      </c>
      <c r="AN63" s="59">
        <f ca="1">AVERAGE(OFFSET($AM$3,0,0,'Données projet'!$E$10+1,1))-AVERAGE(OFFSET($H$3,0,0,'Données projet'!$E$10+1,1))</f>
        <v>399.57236812003225</v>
      </c>
      <c r="AO63" s="59">
        <f t="shared" si="36"/>
        <v>245.95971136213691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11.408666593812526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11.408666593812526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67.812889068055284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528</v>
      </c>
      <c r="BB63" s="12">
        <f>VLOOKUP(A63,'Données projet'!$A$87:$I$107,9,0)</f>
        <v>15.6</v>
      </c>
      <c r="BC63" s="12">
        <f t="array" ref="BC63">INDEX(BB:BB,MIN(IF(ISNUMBER(BB63:BB259),ROW(BB63:BB259),"")))</f>
        <v>15.6</v>
      </c>
      <c r="BD63" s="12">
        <f>IF('Données projet'!$A$88&gt;35,BD62+BC63-BL62,IF(A63&lt;'Données projet'!$A$88,$BA$205^A63,IF(A63='Données projet'!$A$88,'Données projet'!$B$88,BD62+BC63-BL62)))</f>
        <v>528.00000000000023</v>
      </c>
      <c r="BE63" s="13">
        <f>BD63*VLOOKUP('Données projet'!$B$11,Paramètres!$A$1:$I$89,3,0)*VLOOKUP('Données projet'!$B$11,Paramètres!$A$1:$I$89,5,0)</f>
        <v>315.74400000000014</v>
      </c>
      <c r="BF63" s="13">
        <f t="shared" si="37"/>
        <v>74.467121212440205</v>
      </c>
      <c r="BG63" s="20">
        <f t="shared" si="7"/>
        <v>679.61770277833352</v>
      </c>
      <c r="BH63" s="59">
        <f t="shared" si="8"/>
        <v>964.93162936120291</v>
      </c>
      <c r="BI63" s="59">
        <f ca="1">AVERAGE(OFFSET($BH$3,0,0,'Données projet'!$E$11+1,1))-AVERAGE(OFFSET($H$3,0,0,'Données projet'!$E$11+1,1))</f>
        <v>352.88552266225872</v>
      </c>
      <c r="BJ63" s="59">
        <f t="shared" si="38"/>
        <v>403.29115295154782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528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7.6500000000000012E-2</v>
      </c>
      <c r="BO63" s="16">
        <f>IF(ISNA(VLOOKUP(A63,'Données projet'!$A$87:$I$107,7,0)),0%,VLOOKUP(A63,'Données projet'!$A$87:$I$107,7,0))</f>
        <v>0.13</v>
      </c>
      <c r="BP63" s="21">
        <f>EXP(-LN(2)/35)*BP62+(1-EXP(-LN(2)/35))/(LN(2)/35)*BL63*BM63*VLOOKUP('Données projet'!$B$11,Paramètres!$A$1:$I$89,3,0)*0.475*44/12</f>
        <v>176.79879850206586</v>
      </c>
      <c r="BQ63" s="21">
        <f>EXP(-LN(2)/25)*BQ62+(1-EXP(-LN(2)/25))/(LN(2)/25)*Calculateur!BL63*Calculateur!BN63*VLOOKUP('Données projet'!$B$11,Paramètres!$A$1:$I$89,3,0)*0.475*44/12</f>
        <v>56.844784514627932</v>
      </c>
      <c r="BR63" s="21">
        <f>EXP(-LN(2)/2)*BR62+(1-EXP(-LN(2)/2))/(LN(2)/2)*BL63*BO63*VLOOKUP('Données projet'!$B$11,Paramètres!$A$1:$I$89,3,0)*0.475*44/12</f>
        <v>47.620565619780209</v>
      </c>
      <c r="BS63" s="22">
        <f t="shared" si="9"/>
        <v>281.26414863647403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67.812889068055284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647</v>
      </c>
      <c r="BW63" s="12">
        <f>VLOOKUP(A63,'Données projet'!$A$113:$I$133,9,0)</f>
        <v>16.8</v>
      </c>
      <c r="BX63" s="12">
        <f t="array" ref="BX63">INDEX(BW:BW,MIN(IF(ISNUMBER(BW63:BW259),ROW(BW63:BW259),"")))</f>
        <v>16.8</v>
      </c>
      <c r="BY63" s="12">
        <f>IF('Données projet'!$A$114&gt;35,BY62+BX63-CG62,IF(A63&lt;'Données projet'!$A$114,$BV$205^A63,IF(A63='Données projet'!$A$114,'Données projet'!$B$114,BY62+BX63-CG62)))</f>
        <v>646.99999999999977</v>
      </c>
      <c r="BZ63" s="13">
        <f>BY63*VLOOKUP('Données projet'!$B$12,Paramètres!$A$1:$I$89,3,0)*VLOOKUP('Données projet'!$B$12,Paramètres!$A$1:$I$89,5,0)</f>
        <v>285.97399999999993</v>
      </c>
      <c r="CA63" s="13">
        <f t="shared" si="39"/>
        <v>68.227931453928662</v>
      </c>
      <c r="CB63" s="20">
        <f t="shared" si="10"/>
        <v>616.90169728225885</v>
      </c>
      <c r="CC63" s="59">
        <f t="shared" si="11"/>
        <v>902.21562386512824</v>
      </c>
      <c r="CD63" s="59">
        <f ca="1">AVERAGE(OFFSET($CC$3,0,0,'Données projet'!$E$12+1,1))-AVERAGE(OFFSET($H$3,0,0,'Données projet'!$E$12+1,1))</f>
        <v>297.1442218517625</v>
      </c>
      <c r="CE63" s="59">
        <f t="shared" si="40"/>
        <v>326.0112787126069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647</v>
      </c>
      <c r="CH63" s="16">
        <f>IF(ISNA(VLOOKUP(A63,'Données projet'!$A$113:$I$133,5,0)),0%,VLOOKUP(A63,'Données projet'!$A$113:$I$133,5,0)*VLOOKUP('Données projet'!$B$12,Paramètres!$A$1:$I$89,7,0))</f>
        <v>0.38500000000000001</v>
      </c>
      <c r="CI63" s="16">
        <f>IF(ISNA(VLOOKUP(A63,'Données projet'!$A$113:$I$133,6,0)),0%,VLOOKUP(A63,'Données projet'!$A$113:$I$133,6,0)*VLOOKUP('Données projet'!$B$12,Paramètres!$A$1:$I$89,7,0))</f>
        <v>9.3500000000000014E-2</v>
      </c>
      <c r="CJ63" s="16">
        <f>IF(ISNA(VLOOKUP(A63,'Données projet'!$A$113:$I$133,7,0)),0%,VLOOKUP(A63,'Données projet'!$A$113:$I$133,7,0))</f>
        <v>0.13</v>
      </c>
      <c r="CK63" s="21">
        <f>EXP(-LN(2)/35)*CK62+(1-EXP(-LN(2)/35))/(LN(2)/35)*CG63*CH63*VLOOKUP('Données projet'!$B$12,Paramètres!$A$1:$I$89,3,0)*0.475*44/12</f>
        <v>187.76742957403516</v>
      </c>
      <c r="CL63" s="21">
        <f>EXP(-LN(2)/25)*CL62+(1-EXP(-LN(2)/25))/(LN(2)/25)*Calculateur!CG63*Calculateur!CI63*VLOOKUP('Données projet'!$B$12,Paramètres!$A$1:$I$89,3,0)*0.475*44/12</f>
        <v>57.857487555894423</v>
      </c>
      <c r="CM63" s="21">
        <f>EXP(-LN(2)/2)*CM62+(1-EXP(-LN(2)/2))/(LN(2)/2)*CG63*CJ63*VLOOKUP('Données projet'!$B$12,Paramètres!$A$1:$I$89,3,0)*0.475*44/12</f>
        <v>42.923135793361929</v>
      </c>
      <c r="CN63" s="22">
        <f t="shared" si="12"/>
        <v>288.54805292329155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67.812889068055284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528</v>
      </c>
      <c r="CR63" s="12">
        <f>VLOOKUP(A63,'Données projet'!$A$139:$I$159,9,0)</f>
        <v>15.6</v>
      </c>
      <c r="CS63" s="12">
        <f t="array" ref="CS63">INDEX(CR:CR,MIN(IF(ISNUMBER(CR63:CR259),ROW(CR63:CR259),"")))</f>
        <v>15.6</v>
      </c>
      <c r="CT63" s="12">
        <f>IF('Données projet'!$A$140&gt;35,CT62+CS63-DB62,IF(A63&lt;'Données projet'!$A$140,$CQ$205^A63,IF(A63='Données projet'!$A$140,'Données projet'!$B$140,CT62+CS63-DB62)))</f>
        <v>528.00000000000023</v>
      </c>
      <c r="CU63" s="17">
        <f>CT63*VLOOKUP('Données projet'!$B$13,Paramètres!$A$1:$I$89,3,0)*VLOOKUP('Données projet'!$B$13,Paramètres!$A$1:$I$89,5,0)</f>
        <v>315.74400000000014</v>
      </c>
      <c r="CV63" s="13">
        <f t="shared" si="41"/>
        <v>74.467121212440205</v>
      </c>
      <c r="CW63" s="20">
        <f t="shared" si="13"/>
        <v>679.61770277833352</v>
      </c>
      <c r="CX63" s="59">
        <f t="shared" si="14"/>
        <v>964.93162936120291</v>
      </c>
      <c r="CY63" s="59">
        <f ca="1">AVERAGE(OFFSET($CX$3,0,0,'Données projet'!$E$13+1,1))-AVERAGE(OFFSET($H$3,0,0,'Données projet'!$E$13+1,1))</f>
        <v>352.88552266225872</v>
      </c>
      <c r="CZ63" s="59">
        <f t="shared" si="42"/>
        <v>403.29115295154782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528</v>
      </c>
      <c r="DC63" s="16">
        <f>IF(ISNA(VLOOKUP(A63,'Données projet'!$A$139:$I$159,5,0)),0%,VLOOKUP(A63,'Données projet'!$A$139:$I$159,5,0)*VLOOKUP('Données projet'!$B$13,Paramètres!$A$1:$I$89,7,0))</f>
        <v>0.315</v>
      </c>
      <c r="DD63" s="16">
        <f>IF(ISNA(VLOOKUP(A63,'Données projet'!$A$139:$I$159,6,0)),0%,VLOOKUP(A63,'Données projet'!$A$139:$I$159,6,0)*VLOOKUP('Données projet'!$B$13,Paramètres!$A$1:$I$89,7,0))</f>
        <v>7.6500000000000012E-2</v>
      </c>
      <c r="DE63" s="16">
        <f>IF(ISNA(VLOOKUP(A63,'Données projet'!$A$139:$I$159,7,0)),0%,VLOOKUP(A63,'Données projet'!$A$139:$I$159,7,0))</f>
        <v>0.13</v>
      </c>
      <c r="DF63" s="21">
        <f>EXP(-LN(2)/35)*DF62+(1-EXP(-LN(2)/35))/(LN(2)/35)*DB63*DC63*VLOOKUP('Données projet'!$B$13,Paramètres!$A$1:$I$89,3,0)*0.475*44/12</f>
        <v>176.79879850206586</v>
      </c>
      <c r="DG63" s="21">
        <f>EXP(-LN(2)/25)*DG62+(1-EXP(-LN(2)/25))/(LN(2)/25)*Calculateur!DB63*Calculateur!DD63*VLOOKUP('Données projet'!$B$13,Paramètres!$A$1:$I$89,3,0)*0.475*44/12</f>
        <v>56.844784514627932</v>
      </c>
      <c r="DH63" s="21">
        <f>EXP(-LN(2)/2)*DH62+(1-EXP(-LN(2)/2))/(LN(2)/2)*DB63*DE63*VLOOKUP('Données projet'!$B$13,Paramètres!$A$1:$I$89,3,0)*0.475*44/12</f>
        <v>47.620565619780209</v>
      </c>
      <c r="DI63" s="22">
        <f t="shared" si="15"/>
        <v>281.26414863647403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67.812889068055284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67.812889068055284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67.812889068055284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67.812889068055284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67.812889068055284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1.25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4.583333333333333</v>
      </c>
      <c r="H64" s="67">
        <f t="shared" si="1"/>
        <v>238.33333333333334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67.850830553077003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253.79999999999984</v>
      </c>
      <c r="O64" s="13">
        <f>N64*VLOOKUP('Données projet'!$B$9,Paramètres!$A$1:$I$89,3,0)*VLOOKUP('Données projet'!$B$9,Paramètres!$A$1:$I$89,5,0)</f>
        <v>229.63823999999985</v>
      </c>
      <c r="P64" s="13">
        <f t="shared" si="33"/>
        <v>56.204453396569633</v>
      </c>
      <c r="Q64" s="20">
        <f t="shared" si="53"/>
        <v>497.84269099902514</v>
      </c>
      <c r="R64" s="59">
        <f t="shared" si="0"/>
        <v>783.2957363603075</v>
      </c>
      <c r="S64" s="59">
        <f ca="1">AVERAGE(OFFSET($R$3,0,0,'Données projet'!$E$9+1,1))-AVERAGE(OFFSET($H$3,0,0,'Données projet'!$E$9+1,1))</f>
        <v>467.10712490977266</v>
      </c>
      <c r="T64" s="59">
        <f t="shared" si="34"/>
        <v>282.99426855025968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14.179826815943782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14.179826815943782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67.850830553077003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190.51031999999995</v>
      </c>
      <c r="AK64" s="13">
        <f t="shared" si="35"/>
        <v>47.652759738576151</v>
      </c>
      <c r="AL64" s="20">
        <f t="shared" si="4"/>
        <v>414.80069721135334</v>
      </c>
      <c r="AM64" s="59">
        <f t="shared" si="5"/>
        <v>700.2537425726357</v>
      </c>
      <c r="AN64" s="59">
        <f ca="1">AVERAGE(OFFSET($AM$3,0,0,'Données projet'!$E$10+1,1))-AVERAGE(OFFSET($H$3,0,0,'Données projet'!$E$10+1,1))</f>
        <v>399.57236812003225</v>
      </c>
      <c r="AO64" s="59">
        <f t="shared" si="36"/>
        <v>245.95971136213691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11.18494960050738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11.18494960050738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67.850830553077003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2.2737367544323206E-13</v>
      </c>
      <c r="BE64" s="13">
        <f>BD64*VLOOKUP('Données projet'!$B$11,Paramètres!$A$1:$I$89,3,0)*VLOOKUP('Données projet'!$B$11,Paramètres!$A$1:$I$89,5,0)</f>
        <v>1.3596945791505279E-13</v>
      </c>
      <c r="BF64" s="13">
        <f t="shared" si="37"/>
        <v>1.9708830566360721E-12</v>
      </c>
      <c r="BG64" s="20">
        <f t="shared" si="7"/>
        <v>3.669434796176543E-12</v>
      </c>
      <c r="BH64" s="59">
        <f t="shared" si="8"/>
        <v>285.45304536128606</v>
      </c>
      <c r="BI64" s="59">
        <f ca="1">AVERAGE(OFFSET($BH$3,0,0,'Données projet'!$E$11+1,1))-AVERAGE(OFFSET($H$3,0,0,'Données projet'!$E$11+1,1))</f>
        <v>352.88552266225872</v>
      </c>
      <c r="BJ64" s="59">
        <f t="shared" si="38"/>
        <v>403.29115295154782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173.33188190005944</v>
      </c>
      <c r="BQ64" s="21">
        <f>EXP(-LN(2)/25)*BQ63+(1-EXP(-LN(2)/25))/(LN(2)/25)*Calculateur!BL64*Calculateur!BN64*VLOOKUP('Données projet'!$B$11,Paramètres!$A$1:$I$89,3,0)*0.475*44/12</f>
        <v>55.290360892738136</v>
      </c>
      <c r="BR64" s="21">
        <f>EXP(-LN(2)/2)*BR63+(1-EXP(-LN(2)/2))/(LN(2)/2)*BL64*BO64*VLOOKUP('Données projet'!$B$11,Paramètres!$A$1:$I$89,3,0)*0.475*44/12</f>
        <v>33.672824873685556</v>
      </c>
      <c r="BS64" s="22">
        <f t="shared" si="9"/>
        <v>262.29506766648313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67.850830553077003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-2.2737367544323206E-13</v>
      </c>
      <c r="BZ64" s="13">
        <f>BY64*VLOOKUP('Données projet'!$B$12,Paramètres!$A$1:$I$89,3,0)*VLOOKUP('Données projet'!$B$12,Paramètres!$A$1:$I$89,5,0)</f>
        <v>-1.0049916454590858E-13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297.1442218517625</v>
      </c>
      <c r="CE64" s="59">
        <f t="shared" si="40"/>
        <v>326.0112787126069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184.08542480691179</v>
      </c>
      <c r="CL64" s="21">
        <f>EXP(-LN(2)/25)*CL63+(1-EXP(-LN(2)/25))/(LN(2)/25)*Calculateur!CG64*Calculateur!CI64*VLOOKUP('Données projet'!$B$12,Paramètres!$A$1:$I$89,3,0)*0.475*44/12</f>
        <v>56.275371516085457</v>
      </c>
      <c r="CM64" s="21">
        <f>EXP(-LN(2)/2)*CM63+(1-EXP(-LN(2)/2))/(LN(2)/2)*CG64*CJ64*VLOOKUP('Données projet'!$B$12,Paramètres!$A$1:$I$89,3,0)*0.475*44/12</f>
        <v>30.35124038927724</v>
      </c>
      <c r="CN64" s="22">
        <f t="shared" si="12"/>
        <v>270.71203671227448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67.850830553077003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2.2737367544323206E-13</v>
      </c>
      <c r="CU64" s="17">
        <f>CT64*VLOOKUP('Données projet'!$B$13,Paramètres!$A$1:$I$89,3,0)*VLOOKUP('Données projet'!$B$13,Paramètres!$A$1:$I$89,5,0)</f>
        <v>1.3596945791505279E-13</v>
      </c>
      <c r="CV64" s="13">
        <f t="shared" si="41"/>
        <v>1.9708830566360721E-12</v>
      </c>
      <c r="CW64" s="20">
        <f t="shared" si="13"/>
        <v>3.669434796176543E-12</v>
      </c>
      <c r="CX64" s="59">
        <f t="shared" si="14"/>
        <v>285.45304536128606</v>
      </c>
      <c r="CY64" s="59">
        <f ca="1">AVERAGE(OFFSET($CX$3,0,0,'Données projet'!$E$13+1,1))-AVERAGE(OFFSET($H$3,0,0,'Données projet'!$E$13+1,1))</f>
        <v>352.88552266225872</v>
      </c>
      <c r="CZ64" s="59">
        <f t="shared" si="42"/>
        <v>403.29115295154782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173.33188190005944</v>
      </c>
      <c r="DG64" s="21">
        <f>EXP(-LN(2)/25)*DG63+(1-EXP(-LN(2)/25))/(LN(2)/25)*Calculateur!DB64*Calculateur!DD64*VLOOKUP('Données projet'!$B$13,Paramètres!$A$1:$I$89,3,0)*0.475*44/12</f>
        <v>55.290360892738136</v>
      </c>
      <c r="DH64" s="21">
        <f>EXP(-LN(2)/2)*DH63+(1-EXP(-LN(2)/2))/(LN(2)/2)*DB64*DE64*VLOOKUP('Données projet'!$B$13,Paramètres!$A$1:$I$89,3,0)*0.475*44/12</f>
        <v>33.672824873685556</v>
      </c>
      <c r="DI64" s="22">
        <f t="shared" si="15"/>
        <v>262.29506766648313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67.850830553077003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67.850830553077003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67.850830553077003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67.850830553077003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67.850830553077003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1.25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4.583333333333333</v>
      </c>
      <c r="H65" s="67">
        <f t="shared" si="1"/>
        <v>238.33333333333334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67.888113838158048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262.59999999999985</v>
      </c>
      <c r="O65" s="13">
        <f>N65*VLOOKUP('Données projet'!$B$9,Paramètres!$A$1:$I$89,3,0)*VLOOKUP('Données projet'!$B$9,Paramètres!$A$1:$I$89,5,0)</f>
        <v>237.60047999999986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800.29307633565759</v>
      </c>
      <c r="S65" s="59">
        <f ca="1">AVERAGE(OFFSET($R$3,0,0,'Données projet'!$E$9+1,1))-AVERAGE(OFFSET($H$3,0,0,'Données projet'!$E$9+1,1))</f>
        <v>467.10712490977266</v>
      </c>
      <c r="T65" s="59">
        <f t="shared" si="34"/>
        <v>282.99426855025968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13.901769060923479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13.901769060923479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67.888113838158048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197.36183999999994</v>
      </c>
      <c r="AK65" s="13">
        <f t="shared" si="35"/>
        <v>49.163932700585988</v>
      </c>
      <c r="AL65" s="20">
        <f t="shared" si="4"/>
        <v>429.36572078685384</v>
      </c>
      <c r="AM65" s="59">
        <f t="shared" si="5"/>
        <v>714.9554715267667</v>
      </c>
      <c r="AN65" s="59">
        <f ca="1">AVERAGE(OFFSET($AM$3,0,0,'Données projet'!$E$10+1,1))-AVERAGE(OFFSET($H$3,0,0,'Données projet'!$E$10+1,1))</f>
        <v>399.57236812003225</v>
      </c>
      <c r="AO65" s="59">
        <f t="shared" si="36"/>
        <v>245.95971136213691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10.965619560987056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10.965619560987056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67.888113838158048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2.2737367544323206E-13</v>
      </c>
      <c r="BE65" s="13">
        <f>BD65*VLOOKUP('Données projet'!$B$11,Paramètres!$A$1:$I$89,3,0)*VLOOKUP('Données projet'!$B$11,Paramètres!$A$1:$I$89,5,0)</f>
        <v>1.3596945791505279E-13</v>
      </c>
      <c r="BF65" s="13">
        <f t="shared" si="37"/>
        <v>1.9708830566360721E-12</v>
      </c>
      <c r="BG65" s="20">
        <f t="shared" si="7"/>
        <v>3.669434796176543E-12</v>
      </c>
      <c r="BH65" s="59">
        <f t="shared" si="8"/>
        <v>285.58975073991655</v>
      </c>
      <c r="BI65" s="59">
        <f ca="1">AVERAGE(OFFSET($BH$3,0,0,'Données projet'!$E$11+1,1))-AVERAGE(OFFSET($H$3,0,0,'Données projet'!$E$11+1,1))</f>
        <v>352.88552266225872</v>
      </c>
      <c r="BJ65" s="59">
        <f t="shared" si="38"/>
        <v>403.29115295154782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169.93294941800806</v>
      </c>
      <c r="BQ65" s="21">
        <f>EXP(-LN(2)/25)*BQ64+(1-EXP(-LN(2)/25))/(LN(2)/25)*Calculateur!BL65*Calculateur!BN65*VLOOKUP('Données projet'!$B$11,Paramètres!$A$1:$I$89,3,0)*0.475*44/12</f>
        <v>53.778443066532503</v>
      </c>
      <c r="BR65" s="21">
        <f>EXP(-LN(2)/2)*BR64+(1-EXP(-LN(2)/2))/(LN(2)/2)*BL65*BO65*VLOOKUP('Données projet'!$B$11,Paramètres!$A$1:$I$89,3,0)*0.475*44/12</f>
        <v>23.810282809890108</v>
      </c>
      <c r="BS65" s="22">
        <f t="shared" si="9"/>
        <v>247.52167529443068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67.888113838158048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-2.2737367544323206E-13</v>
      </c>
      <c r="BZ65" s="13">
        <f>BY65*VLOOKUP('Données projet'!$B$12,Paramètres!$A$1:$I$89,3,0)*VLOOKUP('Données projet'!$B$12,Paramètres!$A$1:$I$89,5,0)</f>
        <v>-1.0049916454590858E-13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297.1442218517625</v>
      </c>
      <c r="CE65" s="59">
        <f t="shared" si="40"/>
        <v>326.0112787126069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180.47562190747055</v>
      </c>
      <c r="CL65" s="21">
        <f>EXP(-LN(2)/25)*CL64+(1-EXP(-LN(2)/25))/(LN(2)/25)*Calculateur!CG65*Calculateur!CI65*VLOOKUP('Données projet'!$B$12,Paramètres!$A$1:$I$89,3,0)*0.475*44/12</f>
        <v>54.73651852258493</v>
      </c>
      <c r="CM65" s="21">
        <f>EXP(-LN(2)/2)*CM64+(1-EXP(-LN(2)/2))/(LN(2)/2)*CG65*CJ65*VLOOKUP('Données projet'!$B$12,Paramètres!$A$1:$I$89,3,0)*0.475*44/12</f>
        <v>21.461567896680968</v>
      </c>
      <c r="CN65" s="22">
        <f t="shared" si="12"/>
        <v>256.67370832673646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67.888113838158048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2.2737367544323206E-13</v>
      </c>
      <c r="CU65" s="17">
        <f>CT65*VLOOKUP('Données projet'!$B$13,Paramètres!$A$1:$I$89,3,0)*VLOOKUP('Données projet'!$B$13,Paramètres!$A$1:$I$89,5,0)</f>
        <v>1.3596945791505279E-13</v>
      </c>
      <c r="CV65" s="13">
        <f t="shared" si="41"/>
        <v>1.9708830566360721E-12</v>
      </c>
      <c r="CW65" s="20">
        <f t="shared" si="13"/>
        <v>3.669434796176543E-12</v>
      </c>
      <c r="CX65" s="59">
        <f t="shared" si="14"/>
        <v>285.58975073991655</v>
      </c>
      <c r="CY65" s="59">
        <f ca="1">AVERAGE(OFFSET($CX$3,0,0,'Données projet'!$E$13+1,1))-AVERAGE(OFFSET($H$3,0,0,'Données projet'!$E$13+1,1))</f>
        <v>352.88552266225872</v>
      </c>
      <c r="CZ65" s="59">
        <f t="shared" si="42"/>
        <v>403.29115295154782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169.93294941800806</v>
      </c>
      <c r="DG65" s="21">
        <f>EXP(-LN(2)/25)*DG64+(1-EXP(-LN(2)/25))/(LN(2)/25)*Calculateur!DB65*Calculateur!DD65*VLOOKUP('Données projet'!$B$13,Paramètres!$A$1:$I$89,3,0)*0.475*44/12</f>
        <v>53.778443066532503</v>
      </c>
      <c r="DH65" s="21">
        <f>EXP(-LN(2)/2)*DH64+(1-EXP(-LN(2)/2))/(LN(2)/2)*DB65*DE65*VLOOKUP('Données projet'!$B$13,Paramètres!$A$1:$I$89,3,0)*0.475*44/12</f>
        <v>23.810282809890108</v>
      </c>
      <c r="DI65" s="22">
        <f t="shared" si="15"/>
        <v>247.52167529443068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67.888113838158048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67.888113838158048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67.888113838158048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67.888113838158048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67.888113838158048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1.25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4.583333333333333</v>
      </c>
      <c r="H66" s="67">
        <f t="shared" si="1"/>
        <v>238.33333333333334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67.924750341595868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271.39999999999986</v>
      </c>
      <c r="O66" s="13">
        <f>N66*VLOOKUP('Données projet'!$B$9,Paramètres!$A$1:$I$89,3,0)*VLOOKUP('Données projet'!$B$9,Paramètres!$A$1:$I$89,5,0)</f>
        <v>245.56271999999987</v>
      </c>
      <c r="P66" s="13">
        <f t="shared" si="33"/>
        <v>59.634776048276848</v>
      </c>
      <c r="Q66" s="20">
        <f t="shared" si="53"/>
        <v>531.5523056174153</v>
      </c>
      <c r="R66" s="59">
        <f t="shared" si="0"/>
        <v>817.27639020326683</v>
      </c>
      <c r="S66" s="59">
        <f ca="1">AVERAGE(OFFSET($R$3,0,0,'Données projet'!$E$9+1,1))-AVERAGE(OFFSET($H$3,0,0,'Données projet'!$E$9+1,1))</f>
        <v>467.10712490977266</v>
      </c>
      <c r="T66" s="59">
        <f t="shared" si="34"/>
        <v>282.99426855025968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13.629163848880642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13.629163848880642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67.924750341595868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204.21335999999994</v>
      </c>
      <c r="AK66" s="13">
        <f t="shared" si="35"/>
        <v>50.669010210991836</v>
      </c>
      <c r="AL66" s="20">
        <f t="shared" si="4"/>
        <v>443.9201281174773</v>
      </c>
      <c r="AM66" s="59">
        <f t="shared" si="5"/>
        <v>729.64421270332878</v>
      </c>
      <c r="AN66" s="59">
        <f ca="1">AVERAGE(OFFSET($AM$3,0,0,'Données projet'!$E$10+1,1))-AVERAGE(OFFSET($H$3,0,0,'Données projet'!$E$10+1,1))</f>
        <v>399.57236812003225</v>
      </c>
      <c r="AO66" s="59">
        <f t="shared" si="36"/>
        <v>245.95971136213691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10.75059044976361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10.75059044976361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67.924750341595868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2.2737367544323206E-13</v>
      </c>
      <c r="BE66" s="13">
        <f>BD66*VLOOKUP('Données projet'!$B$11,Paramètres!$A$1:$I$89,3,0)*VLOOKUP('Données projet'!$B$11,Paramètres!$A$1:$I$89,5,0)</f>
        <v>1.3596945791505279E-13</v>
      </c>
      <c r="BF66" s="13">
        <f t="shared" si="37"/>
        <v>1.9708830566360721E-12</v>
      </c>
      <c r="BG66" s="20">
        <f t="shared" si="7"/>
        <v>3.669434796176543E-12</v>
      </c>
      <c r="BH66" s="59">
        <f t="shared" si="8"/>
        <v>285.72408458585522</v>
      </c>
      <c r="BI66" s="59">
        <f ca="1">AVERAGE(OFFSET($BH$3,0,0,'Données projet'!$E$11+1,1))-AVERAGE(OFFSET($H$3,0,0,'Données projet'!$E$11+1,1))</f>
        <v>352.88552266225872</v>
      </c>
      <c r="BJ66" s="59">
        <f t="shared" si="38"/>
        <v>403.29115295154782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166.60066792878558</v>
      </c>
      <c r="BQ66" s="21">
        <f>EXP(-LN(2)/25)*BQ65+(1-EXP(-LN(2)/25))/(LN(2)/25)*Calculateur!BL66*Calculateur!BN66*VLOOKUP('Données projet'!$B$11,Paramètres!$A$1:$I$89,3,0)*0.475*44/12</f>
        <v>52.307868712792761</v>
      </c>
      <c r="BR66" s="21">
        <f>EXP(-LN(2)/2)*BR65+(1-EXP(-LN(2)/2))/(LN(2)/2)*BL66*BO66*VLOOKUP('Données projet'!$B$11,Paramètres!$A$1:$I$89,3,0)*0.475*44/12</f>
        <v>16.836412436842778</v>
      </c>
      <c r="BS66" s="22">
        <f t="shared" si="9"/>
        <v>235.74494907842112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67.924750341595868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-2.2737367544323206E-13</v>
      </c>
      <c r="BZ66" s="13">
        <f>BY66*VLOOKUP('Données projet'!$B$12,Paramètres!$A$1:$I$89,3,0)*VLOOKUP('Données projet'!$B$12,Paramètres!$A$1:$I$89,5,0)</f>
        <v>-1.0049916454590858E-13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297.1442218517625</v>
      </c>
      <c r="CE66" s="59">
        <f t="shared" si="40"/>
        <v>326.0112787126069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176.93660504112501</v>
      </c>
      <c r="CL66" s="21">
        <f>EXP(-LN(2)/25)*CL65+(1-EXP(-LN(2)/25))/(LN(2)/25)*Calculateur!CG66*Calculateur!CI66*VLOOKUP('Données projet'!$B$12,Paramètres!$A$1:$I$89,3,0)*0.475*44/12</f>
        <v>53.239745545116435</v>
      </c>
      <c r="CM66" s="21">
        <f>EXP(-LN(2)/2)*CM65+(1-EXP(-LN(2)/2))/(LN(2)/2)*CG66*CJ66*VLOOKUP('Données projet'!$B$12,Paramètres!$A$1:$I$89,3,0)*0.475*44/12</f>
        <v>15.175620194638624</v>
      </c>
      <c r="CN66" s="22">
        <f t="shared" si="12"/>
        <v>245.35197078088004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67.924750341595868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2.2737367544323206E-13</v>
      </c>
      <c r="CU66" s="17">
        <f>CT66*VLOOKUP('Données projet'!$B$13,Paramètres!$A$1:$I$89,3,0)*VLOOKUP('Données projet'!$B$13,Paramètres!$A$1:$I$89,5,0)</f>
        <v>1.3596945791505279E-13</v>
      </c>
      <c r="CV66" s="13">
        <f t="shared" si="41"/>
        <v>1.9708830566360721E-12</v>
      </c>
      <c r="CW66" s="20">
        <f t="shared" si="13"/>
        <v>3.669434796176543E-12</v>
      </c>
      <c r="CX66" s="59">
        <f t="shared" si="14"/>
        <v>285.72408458585522</v>
      </c>
      <c r="CY66" s="59">
        <f ca="1">AVERAGE(OFFSET($CX$3,0,0,'Données projet'!$E$13+1,1))-AVERAGE(OFFSET($H$3,0,0,'Données projet'!$E$13+1,1))</f>
        <v>352.88552266225872</v>
      </c>
      <c r="CZ66" s="59">
        <f t="shared" si="42"/>
        <v>403.29115295154782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166.60066792878558</v>
      </c>
      <c r="DG66" s="21">
        <f>EXP(-LN(2)/25)*DG65+(1-EXP(-LN(2)/25))/(LN(2)/25)*Calculateur!DB66*Calculateur!DD66*VLOOKUP('Données projet'!$B$13,Paramètres!$A$1:$I$89,3,0)*0.475*44/12</f>
        <v>52.307868712792761</v>
      </c>
      <c r="DH66" s="21">
        <f>EXP(-LN(2)/2)*DH65+(1-EXP(-LN(2)/2))/(LN(2)/2)*DB66*DE66*VLOOKUP('Données projet'!$B$13,Paramètres!$A$1:$I$89,3,0)*0.475*44/12</f>
        <v>16.836412436842778</v>
      </c>
      <c r="DI66" s="22">
        <f t="shared" si="15"/>
        <v>235.74494907842112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67.924750341595868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67.924750341595868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67.924750341595868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67.924750341595868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67.924750341595868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1.25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4.583333333333333</v>
      </c>
      <c r="H67" s="67">
        <f t="shared" si="1"/>
        <v>238.33333333333334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67.960751283606001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280.19999999999987</v>
      </c>
      <c r="O67" s="13">
        <f>N67*VLOOKUP('Données projet'!$B$9,Paramètres!$A$1:$I$89,3,0)*VLOOKUP('Données projet'!$B$9,Paramètres!$A$1:$I$89,5,0)</f>
        <v>253.52495999999985</v>
      </c>
      <c r="P67" s="13">
        <f t="shared" si="33"/>
        <v>61.34014179842216</v>
      </c>
      <c r="Q67" s="20">
        <f t="shared" ref="Q67:Q98" si="54">(O67+P67)*0.475*44/12</f>
        <v>548.39005229891836</v>
      </c>
      <c r="R67" s="59">
        <f t="shared" ref="R67:R130" si="55">Q67+(I67+J67)*44/12</f>
        <v>834.24614033880698</v>
      </c>
      <c r="S67" s="59">
        <f ca="1">AVERAGE(OFFSET($R$3,0,0,'Données projet'!$E$9+1,1))-AVERAGE(OFFSET($H$3,0,0,'Données projet'!$E$9+1,1))</f>
        <v>467.10712490977266</v>
      </c>
      <c r="T67" s="59">
        <f t="shared" si="34"/>
        <v>282.99426855025968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13.361904258773203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13.361904258773203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67.960751283606001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211.06487999999993</v>
      </c>
      <c r="AK67" s="13">
        <f t="shared" si="35"/>
        <v>52.168220223304395</v>
      </c>
      <c r="AL67" s="20">
        <f t="shared" si="4"/>
        <v>458.46431622225504</v>
      </c>
      <c r="AM67" s="59">
        <f t="shared" si="5"/>
        <v>744.32040426214371</v>
      </c>
      <c r="AN67" s="59">
        <f ca="1">AVERAGE(OFFSET($AM$3,0,0,'Données projet'!$E$10+1,1))-AVERAGE(OFFSET($H$3,0,0,'Données projet'!$E$10+1,1))</f>
        <v>399.57236812003225</v>
      </c>
      <c r="AO67" s="59">
        <f t="shared" si="36"/>
        <v>245.95971136213691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10.539777928256449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10.539777928256449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67.960751283606001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2.2737367544323206E-13</v>
      </c>
      <c r="BE67" s="13">
        <f>BD67*VLOOKUP('Données projet'!$B$11,Paramètres!$A$1:$I$89,3,0)*VLOOKUP('Données projet'!$B$11,Paramètres!$A$1:$I$89,5,0)</f>
        <v>1.3596945791505279E-13</v>
      </c>
      <c r="BF67" s="13">
        <f t="shared" si="37"/>
        <v>1.9708830566360721E-12</v>
      </c>
      <c r="BG67" s="20">
        <f t="shared" si="7"/>
        <v>3.669434796176543E-12</v>
      </c>
      <c r="BH67" s="59">
        <f t="shared" si="8"/>
        <v>285.85608803989237</v>
      </c>
      <c r="BI67" s="59">
        <f ca="1">AVERAGE(OFFSET($BH$3,0,0,'Données projet'!$E$11+1,1))-AVERAGE(OFFSET($H$3,0,0,'Données projet'!$E$11+1,1))</f>
        <v>352.88552266225872</v>
      </c>
      <c r="BJ67" s="59">
        <f t="shared" si="38"/>
        <v>403.29115295154782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163.33373044707574</v>
      </c>
      <c r="BQ67" s="21">
        <f>EXP(-LN(2)/25)*BQ66+(1-EXP(-LN(2)/25))/(LN(2)/25)*Calculateur!BL67*Calculateur!BN67*VLOOKUP('Données projet'!$B$11,Paramètres!$A$1:$I$89,3,0)*0.475*44/12</f>
        <v>50.877507292090179</v>
      </c>
      <c r="BR67" s="21">
        <f>EXP(-LN(2)/2)*BR66+(1-EXP(-LN(2)/2))/(LN(2)/2)*BL67*BO67*VLOOKUP('Données projet'!$B$11,Paramètres!$A$1:$I$89,3,0)*0.475*44/12</f>
        <v>11.905141404945054</v>
      </c>
      <c r="BS67" s="22">
        <f t="shared" si="9"/>
        <v>226.11637914411097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67.960751283606001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-2.2737367544323206E-13</v>
      </c>
      <c r="BZ67" s="13">
        <f>BY67*VLOOKUP('Données projet'!$B$12,Paramètres!$A$1:$I$89,3,0)*VLOOKUP('Données projet'!$B$12,Paramètres!$A$1:$I$89,5,0)</f>
        <v>-1.0049916454590858E-13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297.1442218517625</v>
      </c>
      <c r="CE67" s="59">
        <f t="shared" si="40"/>
        <v>326.0112787126069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173.46698613694133</v>
      </c>
      <c r="CL67" s="21">
        <f>EXP(-LN(2)/25)*CL66+(1-EXP(-LN(2)/25))/(LN(2)/25)*Calculateur!CG67*Calculateur!CI67*VLOOKUP('Données projet'!$B$12,Paramètres!$A$1:$I$89,3,0)*0.475*44/12</f>
        <v>51.783901903428692</v>
      </c>
      <c r="CM67" s="21">
        <f>EXP(-LN(2)/2)*CM66+(1-EXP(-LN(2)/2))/(LN(2)/2)*CG67*CJ67*VLOOKUP('Données projet'!$B$12,Paramètres!$A$1:$I$89,3,0)*0.475*44/12</f>
        <v>10.730783948340486</v>
      </c>
      <c r="CN67" s="22">
        <f t="shared" si="12"/>
        <v>235.9816719887105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67.960751283606001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2.2737367544323206E-13</v>
      </c>
      <c r="CU67" s="17">
        <f>CT67*VLOOKUP('Données projet'!$B$13,Paramètres!$A$1:$I$89,3,0)*VLOOKUP('Données projet'!$B$13,Paramètres!$A$1:$I$89,5,0)</f>
        <v>1.3596945791505279E-13</v>
      </c>
      <c r="CV67" s="13">
        <f t="shared" si="41"/>
        <v>1.9708830566360721E-12</v>
      </c>
      <c r="CW67" s="20">
        <f t="shared" si="13"/>
        <v>3.669434796176543E-12</v>
      </c>
      <c r="CX67" s="59">
        <f t="shared" si="14"/>
        <v>285.85608803989237</v>
      </c>
      <c r="CY67" s="59">
        <f ca="1">AVERAGE(OFFSET($CX$3,0,0,'Données projet'!$E$13+1,1))-AVERAGE(OFFSET($H$3,0,0,'Données projet'!$E$13+1,1))</f>
        <v>352.88552266225872</v>
      </c>
      <c r="CZ67" s="59">
        <f t="shared" si="42"/>
        <v>403.29115295154782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163.33373044707574</v>
      </c>
      <c r="DG67" s="21">
        <f>EXP(-LN(2)/25)*DG66+(1-EXP(-LN(2)/25))/(LN(2)/25)*Calculateur!DB67*Calculateur!DD67*VLOOKUP('Données projet'!$B$13,Paramètres!$A$1:$I$89,3,0)*0.475*44/12</f>
        <v>50.877507292090179</v>
      </c>
      <c r="DH67" s="21">
        <f>EXP(-LN(2)/2)*DH66+(1-EXP(-LN(2)/2))/(LN(2)/2)*DB67*DE67*VLOOKUP('Données projet'!$B$13,Paramètres!$A$1:$I$89,3,0)*0.475*44/12</f>
        <v>11.905141404945054</v>
      </c>
      <c r="DI67" s="22">
        <f t="shared" si="15"/>
        <v>226.11637914411097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67.960751283606001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67.960751283606001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67.960751283606001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67.960751283606001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67.960751283606001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1.25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4.583333333333333</v>
      </c>
      <c r="H68" s="67">
        <f t="shared" ref="H68:H131" si="56">(B68+E68+F68)*44/12+(C68+D68)*0.475*44/12</f>
        <v>238.33333333333334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67.99612768975831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288.99999999999989</v>
      </c>
      <c r="O68" s="13">
        <f>N68*VLOOKUP('Données projet'!$B$9,Paramètres!$A$1:$I$89,3,0)*VLOOKUP('Données projet'!$B$9,Paramètres!$A$1:$I$89,5,0)</f>
        <v>261.48719999999986</v>
      </c>
      <c r="P68" s="13">
        <f t="shared" si="33"/>
        <v>63.039283586802334</v>
      </c>
      <c r="Q68" s="20">
        <f t="shared" si="54"/>
        <v>565.21695891368051</v>
      </c>
      <c r="R68" s="59">
        <f t="shared" si="55"/>
        <v>851.20276044279433</v>
      </c>
      <c r="S68" s="59">
        <f ca="1">AVERAGE(OFFSET($R$3,0,0,'Données projet'!$E$9+1,1))-AVERAGE(OFFSET($H$3,0,0,'Données projet'!$E$9+1,1))</f>
        <v>467.10712490977266</v>
      </c>
      <c r="T68" s="59">
        <f t="shared" si="34"/>
        <v>282.99426855025968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17.916991216932722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17.916991216932722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67.99612768975831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217.91639999999992</v>
      </c>
      <c r="AK68" s="13">
        <f t="shared" si="35"/>
        <v>53.661775051402536</v>
      </c>
      <c r="AL68" s="20">
        <f t="shared" ref="AL68:AL131" si="58">(AJ68+AK68)*0.475*44/12</f>
        <v>472.99865488119258</v>
      </c>
      <c r="AM68" s="59">
        <f t="shared" ref="AM68:AM131" si="59">AL68+(AD68+AE68)*44/12</f>
        <v>758.98445641030639</v>
      </c>
      <c r="AN68" s="59">
        <f ca="1">AVERAGE(OFFSET($AM$3,0,0,'Données projet'!$E$10+1,1))-AVERAGE(OFFSET($H$3,0,0,'Données projet'!$E$10+1,1))</f>
        <v>399.57236812003225</v>
      </c>
      <c r="AO68" s="59">
        <f t="shared" si="36"/>
        <v>245.95971136213691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14.132799106459863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14.132799106459863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67.99612768975831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2.2737367544323206E-13</v>
      </c>
      <c r="BE68" s="13">
        <f>BD68*VLOOKUP('Données projet'!$B$11,Paramètres!$A$1:$I$89,3,0)*VLOOKUP('Données projet'!$B$11,Paramètres!$A$1:$I$89,5,0)</f>
        <v>1.3596945791505279E-13</v>
      </c>
      <c r="BF68" s="13">
        <f t="shared" si="37"/>
        <v>1.9708830566360721E-12</v>
      </c>
      <c r="BG68" s="20">
        <f t="shared" ref="BG68:BG131" si="61">(BE68+BF68)*0.475*44/12</f>
        <v>3.669434796176543E-12</v>
      </c>
      <c r="BH68" s="59">
        <f t="shared" ref="BH68:BH131" si="62">BG68+(AY68+AZ68)*44/12</f>
        <v>285.98580152911751</v>
      </c>
      <c r="BI68" s="59">
        <f ca="1">AVERAGE(OFFSET($BH$3,0,0,'Données projet'!$E$11+1,1))-AVERAGE(OFFSET($H$3,0,0,'Données projet'!$E$11+1,1))</f>
        <v>352.88552266225872</v>
      </c>
      <c r="BJ68" s="59">
        <f t="shared" si="38"/>
        <v>403.29115295154782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160.13085561674714</v>
      </c>
      <c r="BQ68" s="21">
        <f>EXP(-LN(2)/25)*BQ67+(1-EXP(-LN(2)/25))/(LN(2)/25)*Calculateur!BL68*Calculateur!BN68*VLOOKUP('Données projet'!$B$11,Paramètres!$A$1:$I$89,3,0)*0.475*44/12</f>
        <v>49.486259179656145</v>
      </c>
      <c r="BR68" s="21">
        <f>EXP(-LN(2)/2)*BR67+(1-EXP(-LN(2)/2))/(LN(2)/2)*BL68*BO68*VLOOKUP('Données projet'!$B$11,Paramètres!$A$1:$I$89,3,0)*0.475*44/12</f>
        <v>8.4182062184213891</v>
      </c>
      <c r="BS68" s="22">
        <f t="shared" ref="BS68:BS131" si="63">SUM(BP68:BR68)</f>
        <v>218.03532101482466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67.99612768975831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-2.2737367544323206E-13</v>
      </c>
      <c r="BZ68" s="13">
        <f>BY68*VLOOKUP('Données projet'!$B$12,Paramètres!$A$1:$I$89,3,0)*VLOOKUP('Données projet'!$B$12,Paramètres!$A$1:$I$89,5,0)</f>
        <v>-1.0049916454590858E-13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297.1442218517625</v>
      </c>
      <c r="CE68" s="59">
        <f t="shared" si="40"/>
        <v>326.0112787126069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170.06540434321013</v>
      </c>
      <c r="CL68" s="21">
        <f>EXP(-LN(2)/25)*CL67+(1-EXP(-LN(2)/25))/(LN(2)/25)*Calculateur!CG68*Calculateur!CI68*VLOOKUP('Données projet'!$B$12,Paramètres!$A$1:$I$89,3,0)*0.475*44/12</f>
        <v>50.367868382682389</v>
      </c>
      <c r="CM68" s="21">
        <f>EXP(-LN(2)/2)*CM67+(1-EXP(-LN(2)/2))/(LN(2)/2)*CG68*CJ68*VLOOKUP('Données projet'!$B$12,Paramètres!$A$1:$I$89,3,0)*0.475*44/12</f>
        <v>7.5878100973193128</v>
      </c>
      <c r="CN68" s="22">
        <f t="shared" ref="CN68:CN131" si="66">SUM(CK68:CM68)</f>
        <v>228.02108282321183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67.99612768975831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2.2737367544323206E-13</v>
      </c>
      <c r="CU68" s="17">
        <f>CT68*VLOOKUP('Données projet'!$B$13,Paramètres!$A$1:$I$89,3,0)*VLOOKUP('Données projet'!$B$13,Paramètres!$A$1:$I$89,5,0)</f>
        <v>1.3596945791505279E-13</v>
      </c>
      <c r="CV68" s="13">
        <f t="shared" si="41"/>
        <v>1.9708830566360721E-12</v>
      </c>
      <c r="CW68" s="20">
        <f t="shared" ref="CW68:CW131" si="67">(CU68+CV68)*0.475*44/12</f>
        <v>3.669434796176543E-12</v>
      </c>
      <c r="CX68" s="59">
        <f t="shared" ref="CX68:CX131" si="68">CW68+(CO68+CP68)*44/12</f>
        <v>285.98580152911751</v>
      </c>
      <c r="CY68" s="59">
        <f ca="1">AVERAGE(OFFSET($CX$3,0,0,'Données projet'!$E$13+1,1))-AVERAGE(OFFSET($H$3,0,0,'Données projet'!$E$13+1,1))</f>
        <v>352.88552266225872</v>
      </c>
      <c r="CZ68" s="59">
        <f t="shared" si="42"/>
        <v>403.29115295154782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160.13085561674714</v>
      </c>
      <c r="DG68" s="21">
        <f>EXP(-LN(2)/25)*DG67+(1-EXP(-LN(2)/25))/(LN(2)/25)*Calculateur!DB68*Calculateur!DD68*VLOOKUP('Données projet'!$B$13,Paramètres!$A$1:$I$89,3,0)*0.475*44/12</f>
        <v>49.486259179656145</v>
      </c>
      <c r="DH68" s="21">
        <f>EXP(-LN(2)/2)*DH67+(1-EXP(-LN(2)/2))/(LN(2)/2)*DB68*DE68*VLOOKUP('Données projet'!$B$13,Paramètres!$A$1:$I$89,3,0)*0.475*44/12</f>
        <v>8.4182062184213891</v>
      </c>
      <c r="DI68" s="22">
        <f t="shared" ref="DI68:DI131" si="69">SUM(DF68:DH68)</f>
        <v>218.03532101482466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67.99612768975831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67.99612768975831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67.99612768975831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67.99612768975831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67.99612768975831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1.25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4.583333333333333</v>
      </c>
      <c r="H69" s="67">
        <f t="shared" si="56"/>
        <v>238.33333333333334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68.030890394353662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269.19999999999987</v>
      </c>
      <c r="O69" s="13">
        <f>N69*VLOOKUP('Données projet'!$B$9,Paramètres!$A$1:$I$89,3,0)*VLOOKUP('Données projet'!$B$9,Paramètres!$A$1:$I$89,5,0)</f>
        <v>243.57215999999985</v>
      </c>
      <c r="P69" s="13">
        <f t="shared" ref="P69:P132" si="87">EXP(-1.0587+0.8836*LN(O69)+0.284)</f>
        <v>59.207435995642292</v>
      </c>
      <c r="Q69" s="20">
        <f t="shared" si="54"/>
        <v>527.34112969240994</v>
      </c>
      <c r="R69" s="59">
        <f t="shared" si="55"/>
        <v>813.45439447170668</v>
      </c>
      <c r="S69" s="59">
        <f ca="1">AVERAGE(OFFSET($R$3,0,0,'Données projet'!$E$9+1,1))-AVERAGE(OFFSET($H$3,0,0,'Données projet'!$E$9+1,1))</f>
        <v>467.10712490977266</v>
      </c>
      <c r="T69" s="59">
        <f t="shared" ref="T69:T132" si="88">$T$3</f>
        <v>282.99426855025968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17.565649947454236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17.565649947454236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68.030890394353662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204.40367999999995</v>
      </c>
      <c r="AK69" s="13">
        <f t="shared" ref="AK69:AK132" si="89">EXP(-1.0587+0.8836*LN(AJ69)+0.284)</f>
        <v>50.710733146553501</v>
      </c>
      <c r="AL69" s="20">
        <f t="shared" si="58"/>
        <v>444.32426956358057</v>
      </c>
      <c r="AM69" s="59">
        <f t="shared" si="59"/>
        <v>730.43753434287737</v>
      </c>
      <c r="AN69" s="59">
        <f ca="1">AVERAGE(OFFSET($AM$3,0,0,'Données projet'!$E$10+1,1))-AVERAGE(OFFSET($H$3,0,0,'Données projet'!$E$10+1,1))</f>
        <v>399.57236812003225</v>
      </c>
      <c r="AO69" s="59">
        <f t="shared" ref="AO69:AO132" si="90">$AO$3</f>
        <v>245.95971136213691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13.85566353613847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13.85566353613847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68.030890394353662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2.2737367544323206E-13</v>
      </c>
      <c r="BE69" s="13">
        <f>BD69*VLOOKUP('Données projet'!$B$11,Paramètres!$A$1:$I$89,3,0)*VLOOKUP('Données projet'!$B$11,Paramètres!$A$1:$I$89,5,0)</f>
        <v>1.3596945791505279E-13</v>
      </c>
      <c r="BF69" s="13">
        <f t="shared" ref="BF69:BF132" si="91">EXP(-1.0587+0.8836*LN(BE69)+0.284)</f>
        <v>1.9708830566360721E-12</v>
      </c>
      <c r="BG69" s="20">
        <f t="shared" si="61"/>
        <v>3.669434796176543E-12</v>
      </c>
      <c r="BH69" s="59">
        <f t="shared" si="62"/>
        <v>286.11326477930044</v>
      </c>
      <c r="BI69" s="59">
        <f ca="1">AVERAGE(OFFSET($BH$3,0,0,'Données projet'!$E$11+1,1))-AVERAGE(OFFSET($H$3,0,0,'Données projet'!$E$11+1,1))</f>
        <v>352.88552266225872</v>
      </c>
      <c r="BJ69" s="59">
        <f t="shared" ref="BJ69:BJ132" si="92">$BJ$3</f>
        <v>403.29115295154782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156.99078720828052</v>
      </c>
      <c r="BQ69" s="21">
        <f>EXP(-LN(2)/25)*BQ68+(1-EXP(-LN(2)/25))/(LN(2)/25)*Calculateur!BL69*Calculateur!BN69*VLOOKUP('Données projet'!$B$11,Paramètres!$A$1:$I$89,3,0)*0.475*44/12</f>
        <v>48.133054820019183</v>
      </c>
      <c r="BR69" s="21">
        <f>EXP(-LN(2)/2)*BR68+(1-EXP(-LN(2)/2))/(LN(2)/2)*BL69*BO69*VLOOKUP('Données projet'!$B$11,Paramètres!$A$1:$I$89,3,0)*0.475*44/12</f>
        <v>5.952570702472527</v>
      </c>
      <c r="BS69" s="22">
        <f t="shared" si="63"/>
        <v>211.0764127307722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68.030890394353662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-2.2737367544323206E-13</v>
      </c>
      <c r="BZ69" s="13">
        <f>BY69*VLOOKUP('Données projet'!$B$12,Paramètres!$A$1:$I$89,3,0)*VLOOKUP('Données projet'!$B$12,Paramètres!$A$1:$I$89,5,0)</f>
        <v>-1.0049916454590858E-13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297.1442218517625</v>
      </c>
      <c r="CE69" s="59">
        <f t="shared" ref="CE69:CE132" si="94">$CE$3</f>
        <v>326.0112787126069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166.73052549369399</v>
      </c>
      <c r="CL69" s="21">
        <f>EXP(-LN(2)/25)*CL68+(1-EXP(-LN(2)/25))/(LN(2)/25)*Calculateur!CG69*Calculateur!CI69*VLOOKUP('Données projet'!$B$12,Paramètres!$A$1:$I$89,3,0)*0.475*44/12</f>
        <v>48.990556373026855</v>
      </c>
      <c r="CM69" s="21">
        <f>EXP(-LN(2)/2)*CM68+(1-EXP(-LN(2)/2))/(LN(2)/2)*CG69*CJ69*VLOOKUP('Données projet'!$B$12,Paramètres!$A$1:$I$89,3,0)*0.475*44/12</f>
        <v>5.3653919741702438</v>
      </c>
      <c r="CN69" s="22">
        <f t="shared" si="66"/>
        <v>221.0864738408911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68.030890394353662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2.2737367544323206E-13</v>
      </c>
      <c r="CU69" s="17">
        <f>CT69*VLOOKUP('Données projet'!$B$13,Paramètres!$A$1:$I$89,3,0)*VLOOKUP('Données projet'!$B$13,Paramètres!$A$1:$I$89,5,0)</f>
        <v>1.3596945791505279E-13</v>
      </c>
      <c r="CV69" s="13">
        <f t="shared" ref="CV69:CV132" si="95">EXP(-1.0587+0.8836*LN(CU69)+0.284)</f>
        <v>1.9708830566360721E-12</v>
      </c>
      <c r="CW69" s="20">
        <f t="shared" si="67"/>
        <v>3.669434796176543E-12</v>
      </c>
      <c r="CX69" s="59">
        <f t="shared" si="68"/>
        <v>286.11326477930044</v>
      </c>
      <c r="CY69" s="59">
        <f ca="1">AVERAGE(OFFSET($CX$3,0,0,'Données projet'!$E$13+1,1))-AVERAGE(OFFSET($H$3,0,0,'Données projet'!$E$13+1,1))</f>
        <v>352.88552266225872</v>
      </c>
      <c r="CZ69" s="59">
        <f t="shared" ref="CZ69:CZ132" si="96">$CZ$3</f>
        <v>403.29115295154782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156.99078720828052</v>
      </c>
      <c r="DG69" s="21">
        <f>EXP(-LN(2)/25)*DG68+(1-EXP(-LN(2)/25))/(LN(2)/25)*Calculateur!DB69*Calculateur!DD69*VLOOKUP('Données projet'!$B$13,Paramètres!$A$1:$I$89,3,0)*0.475*44/12</f>
        <v>48.133054820019183</v>
      </c>
      <c r="DH69" s="21">
        <f>EXP(-LN(2)/2)*DH68+(1-EXP(-LN(2)/2))/(LN(2)/2)*DB69*DE69*VLOOKUP('Données projet'!$B$13,Paramètres!$A$1:$I$89,3,0)*0.475*44/12</f>
        <v>5.952570702472527</v>
      </c>
      <c r="DI69" s="22">
        <f t="shared" si="69"/>
        <v>211.0764127307722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68.030890394353662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68.030890394353662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68.030890394353662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68.030890394353662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68.030890394353662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1.25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4.583333333333333</v>
      </c>
      <c r="H70" s="67">
        <f t="shared" si="56"/>
        <v>238.33333333333334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68.065050043742062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277.39999999999986</v>
      </c>
      <c r="O70" s="13">
        <f>N70*VLOOKUP('Données projet'!$B$9,Paramètres!$A$1:$I$89,3,0)*VLOOKUP('Données projet'!$B$9,Paramètres!$A$1:$I$89,5,0)</f>
        <v>250.99151999999987</v>
      </c>
      <c r="P70" s="13">
        <f t="shared" si="87"/>
        <v>60.798211000769349</v>
      </c>
      <c r="Q70" s="20">
        <f t="shared" si="54"/>
        <v>543.03378149300636</v>
      </c>
      <c r="R70" s="59">
        <f t="shared" si="55"/>
        <v>829.2722983200606</v>
      </c>
      <c r="S70" s="59">
        <f ca="1">AVERAGE(OFFSET($R$3,0,0,'Données projet'!$E$9+1,1))-AVERAGE(OFFSET($H$3,0,0,'Données projet'!$E$9+1,1))</f>
        <v>467.10712490977266</v>
      </c>
      <c r="T70" s="59">
        <f t="shared" si="88"/>
        <v>282.99426855025968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17.221198265973207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17.221198265973207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68.065050043742062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210.87455999999995</v>
      </c>
      <c r="AK70" s="13">
        <f t="shared" si="89"/>
        <v>52.126652811854591</v>
      </c>
      <c r="AL70" s="20">
        <f t="shared" si="58"/>
        <v>458.06044564731332</v>
      </c>
      <c r="AM70" s="59">
        <f t="shared" si="59"/>
        <v>744.2989624743675</v>
      </c>
      <c r="AN70" s="59">
        <f ca="1">AVERAGE(OFFSET($AM$3,0,0,'Données projet'!$E$10+1,1))-AVERAGE(OFFSET($H$3,0,0,'Données projet'!$E$10+1,1))</f>
        <v>399.57236812003225</v>
      </c>
      <c r="AO70" s="59">
        <f t="shared" si="90"/>
        <v>245.95971136213691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13.583962425315073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13.583962425315073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68.065050043742062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2.2737367544323206E-13</v>
      </c>
      <c r="BE70" s="13">
        <f>BD70*VLOOKUP('Données projet'!$B$11,Paramètres!$A$1:$I$89,3,0)*VLOOKUP('Données projet'!$B$11,Paramètres!$A$1:$I$89,5,0)</f>
        <v>1.3596945791505279E-13</v>
      </c>
      <c r="BF70" s="13">
        <f t="shared" si="91"/>
        <v>1.9708830566360721E-12</v>
      </c>
      <c r="BG70" s="20">
        <f t="shared" si="61"/>
        <v>3.669434796176543E-12</v>
      </c>
      <c r="BH70" s="59">
        <f t="shared" si="62"/>
        <v>286.23851682705794</v>
      </c>
      <c r="BI70" s="59">
        <f ca="1">AVERAGE(OFFSET($BH$3,0,0,'Données projet'!$E$11+1,1))-AVERAGE(OFFSET($H$3,0,0,'Données projet'!$E$11+1,1))</f>
        <v>352.88552266225872</v>
      </c>
      <c r="BJ70" s="59">
        <f t="shared" si="92"/>
        <v>403.29115295154782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153.91229362605134</v>
      </c>
      <c r="BQ70" s="21">
        <f>EXP(-LN(2)/25)*BQ69+(1-EXP(-LN(2)/25))/(LN(2)/25)*Calculateur!BL70*Calculateur!BN70*VLOOKUP('Données projet'!$B$11,Paramètres!$A$1:$I$89,3,0)*0.475*44/12</f>
        <v>46.816853904758418</v>
      </c>
      <c r="BR70" s="21">
        <f>EXP(-LN(2)/2)*BR69+(1-EXP(-LN(2)/2))/(LN(2)/2)*BL70*BO70*VLOOKUP('Données projet'!$B$11,Paramètres!$A$1:$I$89,3,0)*0.475*44/12</f>
        <v>4.2091031092106945</v>
      </c>
      <c r="BS70" s="22">
        <f t="shared" si="63"/>
        <v>204.93825064002047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68.065050043742062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-2.2737367544323206E-13</v>
      </c>
      <c r="BZ70" s="13">
        <f>BY70*VLOOKUP('Données projet'!$B$12,Paramètres!$A$1:$I$89,3,0)*VLOOKUP('Données projet'!$B$12,Paramètres!$A$1:$I$89,5,0)</f>
        <v>-1.0049916454590858E-13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297.1442218517625</v>
      </c>
      <c r="CE70" s="59">
        <f t="shared" si="94"/>
        <v>326.0112787126069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163.46104158434159</v>
      </c>
      <c r="CL70" s="21">
        <f>EXP(-LN(2)/25)*CL69+(1-EXP(-LN(2)/25))/(LN(2)/25)*Calculateur!CG70*Calculateur!CI70*VLOOKUP('Données projet'!$B$12,Paramètres!$A$1:$I$89,3,0)*0.475*44/12</f>
        <v>47.650907032705042</v>
      </c>
      <c r="CM70" s="21">
        <f>EXP(-LN(2)/2)*CM69+(1-EXP(-LN(2)/2))/(LN(2)/2)*CG70*CJ70*VLOOKUP('Données projet'!$B$12,Paramètres!$A$1:$I$89,3,0)*0.475*44/12</f>
        <v>3.7939050486596573</v>
      </c>
      <c r="CN70" s="22">
        <f t="shared" si="66"/>
        <v>214.9058536657063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68.065050043742062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2.2737367544323206E-13</v>
      </c>
      <c r="CU70" s="17">
        <f>CT70*VLOOKUP('Données projet'!$B$13,Paramètres!$A$1:$I$89,3,0)*VLOOKUP('Données projet'!$B$13,Paramètres!$A$1:$I$89,5,0)</f>
        <v>1.3596945791505279E-13</v>
      </c>
      <c r="CV70" s="13">
        <f t="shared" si="95"/>
        <v>1.9708830566360721E-12</v>
      </c>
      <c r="CW70" s="20">
        <f t="shared" si="67"/>
        <v>3.669434796176543E-12</v>
      </c>
      <c r="CX70" s="59">
        <f t="shared" si="68"/>
        <v>286.23851682705794</v>
      </c>
      <c r="CY70" s="59">
        <f ca="1">AVERAGE(OFFSET($CX$3,0,0,'Données projet'!$E$13+1,1))-AVERAGE(OFFSET($H$3,0,0,'Données projet'!$E$13+1,1))</f>
        <v>352.88552266225872</v>
      </c>
      <c r="CZ70" s="59">
        <f t="shared" si="96"/>
        <v>403.29115295154782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153.91229362605134</v>
      </c>
      <c r="DG70" s="21">
        <f>EXP(-LN(2)/25)*DG69+(1-EXP(-LN(2)/25))/(LN(2)/25)*Calculateur!DB70*Calculateur!DD70*VLOOKUP('Données projet'!$B$13,Paramètres!$A$1:$I$89,3,0)*0.475*44/12</f>
        <v>46.816853904758418</v>
      </c>
      <c r="DH70" s="21">
        <f>EXP(-LN(2)/2)*DH69+(1-EXP(-LN(2)/2))/(LN(2)/2)*DB70*DE70*VLOOKUP('Données projet'!$B$13,Paramètres!$A$1:$I$89,3,0)*0.475*44/12</f>
        <v>4.2091031092106945</v>
      </c>
      <c r="DI70" s="22">
        <f t="shared" si="69"/>
        <v>204.93825064002047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68.065050043742062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68.065050043742062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68.065050043742062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68.065050043742062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68.065050043742062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1.25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4.583333333333333</v>
      </c>
      <c r="H71" s="67">
        <f t="shared" si="56"/>
        <v>238.33333333333334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68.098617099583095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285.59999999999985</v>
      </c>
      <c r="O71" s="13">
        <f>N71*VLOOKUP('Données projet'!$B$9,Paramètres!$A$1:$I$89,3,0)*VLOOKUP('Données projet'!$B$9,Paramètres!$A$1:$I$89,5,0)</f>
        <v>258.41087999999985</v>
      </c>
      <c r="P71" s="13">
        <f t="shared" si="87"/>
        <v>62.383521020316756</v>
      </c>
      <c r="Q71" s="20">
        <f t="shared" si="54"/>
        <v>558.71691511038478</v>
      </c>
      <c r="R71" s="59">
        <f t="shared" si="55"/>
        <v>845.07851114218943</v>
      </c>
      <c r="S71" s="59">
        <f ca="1">AVERAGE(OFFSET($R$3,0,0,'Données projet'!$E$9+1,1))-AVERAGE(OFFSET($H$3,0,0,'Données projet'!$E$9+1,1))</f>
        <v>467.10712490977266</v>
      </c>
      <c r="T71" s="59">
        <f t="shared" si="88"/>
        <v>282.99426855025968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16.88350107187124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16.88350107187124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68.098617099583095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217.34543999999994</v>
      </c>
      <c r="AK71" s="13">
        <f t="shared" si="89"/>
        <v>53.537523221233471</v>
      </c>
      <c r="AL71" s="20">
        <f t="shared" si="58"/>
        <v>471.78782761031488</v>
      </c>
      <c r="AM71" s="59">
        <f t="shared" si="59"/>
        <v>758.14942364211959</v>
      </c>
      <c r="AN71" s="59">
        <f ca="1">AVERAGE(OFFSET($AM$3,0,0,'Données projet'!$E$10+1,1))-AVERAGE(OFFSET($H$3,0,0,'Données projet'!$E$10+1,1))</f>
        <v>399.57236812003225</v>
      </c>
      <c r="AO71" s="59">
        <f t="shared" si="90"/>
        <v>245.95971136213691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13.31758920755361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13.31758920755361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68.098617099583095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2.2737367544323206E-13</v>
      </c>
      <c r="BE71" s="13">
        <f>BD71*VLOOKUP('Données projet'!$B$11,Paramètres!$A$1:$I$89,3,0)*VLOOKUP('Données projet'!$B$11,Paramètres!$A$1:$I$89,5,0)</f>
        <v>1.3596945791505279E-13</v>
      </c>
      <c r="BF71" s="13">
        <f t="shared" si="91"/>
        <v>1.9708830566360721E-12</v>
      </c>
      <c r="BG71" s="20">
        <f t="shared" si="61"/>
        <v>3.669434796176543E-12</v>
      </c>
      <c r="BH71" s="59">
        <f t="shared" si="62"/>
        <v>286.3615960318084</v>
      </c>
      <c r="BI71" s="59">
        <f ca="1">AVERAGE(OFFSET($BH$3,0,0,'Données projet'!$E$11+1,1))-AVERAGE(OFFSET($H$3,0,0,'Données projet'!$E$11+1,1))</f>
        <v>352.88552266225872</v>
      </c>
      <c r="BJ71" s="59">
        <f t="shared" si="92"/>
        <v>403.29115295154782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150.89416742527396</v>
      </c>
      <c r="BQ71" s="21">
        <f>EXP(-LN(2)/25)*BQ70+(1-EXP(-LN(2)/25))/(LN(2)/25)*Calculateur!BL71*Calculateur!BN71*VLOOKUP('Données projet'!$B$11,Paramètres!$A$1:$I$89,3,0)*0.475*44/12</f>
        <v>45.536644572741451</v>
      </c>
      <c r="BR71" s="21">
        <f>EXP(-LN(2)/2)*BR70+(1-EXP(-LN(2)/2))/(LN(2)/2)*BL71*BO71*VLOOKUP('Données projet'!$B$11,Paramètres!$A$1:$I$89,3,0)*0.475*44/12</f>
        <v>2.9762853512362635</v>
      </c>
      <c r="BS71" s="22">
        <f t="shared" si="63"/>
        <v>199.4070973492517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68.098617099583095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-2.2737367544323206E-13</v>
      </c>
      <c r="BZ71" s="13">
        <f>BY71*VLOOKUP('Données projet'!$B$12,Paramètres!$A$1:$I$89,3,0)*VLOOKUP('Données projet'!$B$12,Paramètres!$A$1:$I$89,5,0)</f>
        <v>-1.0049916454590858E-13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297.1442218517625</v>
      </c>
      <c r="CE71" s="59">
        <f t="shared" si="94"/>
        <v>326.0112787126069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160.25567026026332</v>
      </c>
      <c r="CL71" s="21">
        <f>EXP(-LN(2)/25)*CL70+(1-EXP(-LN(2)/25))/(LN(2)/25)*Calculateur!CG71*Calculateur!CI71*VLOOKUP('Données projet'!$B$12,Paramètres!$A$1:$I$89,3,0)*0.475*44/12</f>
        <v>46.347890474043432</v>
      </c>
      <c r="CM71" s="21">
        <f>EXP(-LN(2)/2)*CM70+(1-EXP(-LN(2)/2))/(LN(2)/2)*CG71*CJ71*VLOOKUP('Données projet'!$B$12,Paramètres!$A$1:$I$89,3,0)*0.475*44/12</f>
        <v>2.6826959870851224</v>
      </c>
      <c r="CN71" s="22">
        <f t="shared" si="66"/>
        <v>209.28625672139185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68.098617099583095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2.2737367544323206E-13</v>
      </c>
      <c r="CU71" s="17">
        <f>CT71*VLOOKUP('Données projet'!$B$13,Paramètres!$A$1:$I$89,3,0)*VLOOKUP('Données projet'!$B$13,Paramètres!$A$1:$I$89,5,0)</f>
        <v>1.3596945791505279E-13</v>
      </c>
      <c r="CV71" s="13">
        <f t="shared" si="95"/>
        <v>1.9708830566360721E-12</v>
      </c>
      <c r="CW71" s="20">
        <f t="shared" si="67"/>
        <v>3.669434796176543E-12</v>
      </c>
      <c r="CX71" s="59">
        <f t="shared" si="68"/>
        <v>286.3615960318084</v>
      </c>
      <c r="CY71" s="59">
        <f ca="1">AVERAGE(OFFSET($CX$3,0,0,'Données projet'!$E$13+1,1))-AVERAGE(OFFSET($H$3,0,0,'Données projet'!$E$13+1,1))</f>
        <v>352.88552266225872</v>
      </c>
      <c r="CZ71" s="59">
        <f t="shared" si="96"/>
        <v>403.29115295154782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150.89416742527396</v>
      </c>
      <c r="DG71" s="21">
        <f>EXP(-LN(2)/25)*DG70+(1-EXP(-LN(2)/25))/(LN(2)/25)*Calculateur!DB71*Calculateur!DD71*VLOOKUP('Données projet'!$B$13,Paramètres!$A$1:$I$89,3,0)*0.475*44/12</f>
        <v>45.536644572741451</v>
      </c>
      <c r="DH71" s="21">
        <f>EXP(-LN(2)/2)*DH70+(1-EXP(-LN(2)/2))/(LN(2)/2)*DB71*DE71*VLOOKUP('Données projet'!$B$13,Paramètres!$A$1:$I$89,3,0)*0.475*44/12</f>
        <v>2.9762853512362635</v>
      </c>
      <c r="DI71" s="22">
        <f t="shared" si="69"/>
        <v>199.4070973492517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68.098617099583095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68.098617099583095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68.098617099583095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68.098617099583095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68.098617099583095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1.25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4.583333333333333</v>
      </c>
      <c r="H72" s="67">
        <f t="shared" si="56"/>
        <v>238.33333333333334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68.131601842049989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293.79999999999984</v>
      </c>
      <c r="O72" s="13">
        <f>N72*VLOOKUP('Données projet'!$B$9,Paramètres!$A$1:$I$89,3,0)*VLOOKUP('Données projet'!$B$9,Paramètres!$A$1:$I$89,5,0)</f>
        <v>265.83023999999983</v>
      </c>
      <c r="P72" s="13">
        <f t="shared" si="87"/>
        <v>63.963540982526439</v>
      </c>
      <c r="Q72" s="20">
        <f t="shared" si="54"/>
        <v>574.39083521123325</v>
      </c>
      <c r="R72" s="59">
        <f t="shared" si="55"/>
        <v>860.87337529874981</v>
      </c>
      <c r="S72" s="59">
        <f ca="1">AVERAGE(OFFSET($R$3,0,0,'Données projet'!$E$9+1,1))-AVERAGE(OFFSET($H$3,0,0,'Données projet'!$E$9+1,1))</f>
        <v>467.10712490977266</v>
      </c>
      <c r="T72" s="59">
        <f t="shared" si="88"/>
        <v>282.99426855025968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16.552425913770666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16.552425913770666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68.131601842049989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223.81631999999999</v>
      </c>
      <c r="AK72" s="13">
        <f t="shared" si="89"/>
        <v>54.94351196072666</v>
      </c>
      <c r="AL72" s="20">
        <f t="shared" si="58"/>
        <v>485.50670733159899</v>
      </c>
      <c r="AM72" s="59">
        <f t="shared" si="59"/>
        <v>771.9892474191156</v>
      </c>
      <c r="AN72" s="59">
        <f ca="1">AVERAGE(OFFSET($AM$3,0,0,'Données projet'!$E$10+1,1))-AVERAGE(OFFSET($H$3,0,0,'Données projet'!$E$10+1,1))</f>
        <v>399.57236812003225</v>
      </c>
      <c r="AO72" s="59">
        <f t="shared" si="90"/>
        <v>245.95971136213691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13.056439406120827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13.056439406120827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68.131601842049989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2.2737367544323206E-13</v>
      </c>
      <c r="BE72" s="13">
        <f>BD72*VLOOKUP('Données projet'!$B$11,Paramètres!$A$1:$I$89,3,0)*VLOOKUP('Données projet'!$B$11,Paramètres!$A$1:$I$89,5,0)</f>
        <v>1.3596945791505279E-13</v>
      </c>
      <c r="BF72" s="13">
        <f t="shared" si="91"/>
        <v>1.9708830566360721E-12</v>
      </c>
      <c r="BG72" s="20">
        <f t="shared" si="61"/>
        <v>3.669434796176543E-12</v>
      </c>
      <c r="BH72" s="59">
        <f t="shared" si="62"/>
        <v>286.48254008752031</v>
      </c>
      <c r="BI72" s="59">
        <f ca="1">AVERAGE(OFFSET($BH$3,0,0,'Données projet'!$E$11+1,1))-AVERAGE(OFFSET($H$3,0,0,'Données projet'!$E$11+1,1))</f>
        <v>352.88552266225872</v>
      </c>
      <c r="BJ72" s="59">
        <f t="shared" si="92"/>
        <v>403.29115295154782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147.93522483841863</v>
      </c>
      <c r="BQ72" s="21">
        <f>EXP(-LN(2)/25)*BQ71+(1-EXP(-LN(2)/25))/(LN(2)/25)*Calculateur!BL72*Calculateur!BN72*VLOOKUP('Données projet'!$B$11,Paramètres!$A$1:$I$89,3,0)*0.475*44/12</f>
        <v>44.291442632231771</v>
      </c>
      <c r="BR72" s="21">
        <f>EXP(-LN(2)/2)*BR71+(1-EXP(-LN(2)/2))/(LN(2)/2)*BL72*BO72*VLOOKUP('Données projet'!$B$11,Paramètres!$A$1:$I$89,3,0)*0.475*44/12</f>
        <v>2.1045515546053473</v>
      </c>
      <c r="BS72" s="22">
        <f t="shared" si="63"/>
        <v>194.33121902525573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68.131601842049989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-2.2737367544323206E-13</v>
      </c>
      <c r="BZ72" s="13">
        <f>BY72*VLOOKUP('Données projet'!$B$12,Paramètres!$A$1:$I$89,3,0)*VLOOKUP('Données projet'!$B$12,Paramètres!$A$1:$I$89,5,0)</f>
        <v>-1.0049916454590858E-13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297.1442218517625</v>
      </c>
      <c r="CE72" s="59">
        <f t="shared" si="94"/>
        <v>326.0112787126069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157.11315431276677</v>
      </c>
      <c r="CL72" s="21">
        <f>EXP(-LN(2)/25)*CL71+(1-EXP(-LN(2)/25))/(LN(2)/25)*Calculateur!CG72*Calculateur!CI72*VLOOKUP('Données projet'!$B$12,Paramètres!$A$1:$I$89,3,0)*0.475*44/12</f>
        <v>45.080504971701082</v>
      </c>
      <c r="CM72" s="21">
        <f>EXP(-LN(2)/2)*CM71+(1-EXP(-LN(2)/2))/(LN(2)/2)*CG72*CJ72*VLOOKUP('Données projet'!$B$12,Paramètres!$A$1:$I$89,3,0)*0.475*44/12</f>
        <v>1.8969525243298289</v>
      </c>
      <c r="CN72" s="22">
        <f t="shared" si="66"/>
        <v>204.09061180879769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68.131601842049989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2.2737367544323206E-13</v>
      </c>
      <c r="CU72" s="17">
        <f>CT72*VLOOKUP('Données projet'!$B$13,Paramètres!$A$1:$I$89,3,0)*VLOOKUP('Données projet'!$B$13,Paramètres!$A$1:$I$89,5,0)</f>
        <v>1.3596945791505279E-13</v>
      </c>
      <c r="CV72" s="13">
        <f t="shared" si="95"/>
        <v>1.9708830566360721E-12</v>
      </c>
      <c r="CW72" s="20">
        <f t="shared" si="67"/>
        <v>3.669434796176543E-12</v>
      </c>
      <c r="CX72" s="59">
        <f t="shared" si="68"/>
        <v>286.48254008752031</v>
      </c>
      <c r="CY72" s="59">
        <f ca="1">AVERAGE(OFFSET($CX$3,0,0,'Données projet'!$E$13+1,1))-AVERAGE(OFFSET($H$3,0,0,'Données projet'!$E$13+1,1))</f>
        <v>352.88552266225872</v>
      </c>
      <c r="CZ72" s="59">
        <f t="shared" si="96"/>
        <v>403.29115295154782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147.93522483841863</v>
      </c>
      <c r="DG72" s="21">
        <f>EXP(-LN(2)/25)*DG71+(1-EXP(-LN(2)/25))/(LN(2)/25)*Calculateur!DB72*Calculateur!DD72*VLOOKUP('Données projet'!$B$13,Paramètres!$A$1:$I$89,3,0)*0.475*44/12</f>
        <v>44.291442632231771</v>
      </c>
      <c r="DH72" s="21">
        <f>EXP(-LN(2)/2)*DH71+(1-EXP(-LN(2)/2))/(LN(2)/2)*DB72*DE72*VLOOKUP('Données projet'!$B$13,Paramètres!$A$1:$I$89,3,0)*0.475*44/12</f>
        <v>2.1045515546053473</v>
      </c>
      <c r="DI72" s="22">
        <f t="shared" si="69"/>
        <v>194.33121902525573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68.131601842049989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68.131601842049989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68.131601842049989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68.131601842049989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68.131601842049989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1.25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4.583333333333333</v>
      </c>
      <c r="H73" s="67">
        <f t="shared" si="56"/>
        <v>238.33333333333334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68.164014372977917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301.99999999999983</v>
      </c>
      <c r="O73" s="13">
        <f>N73*VLOOKUP('Données projet'!$B$9,Paramètres!$A$1:$I$89,3,0)*VLOOKUP('Données projet'!$B$9,Paramètres!$A$1:$I$89,5,0)</f>
        <v>273.24959999999982</v>
      </c>
      <c r="P73" s="13">
        <f t="shared" si="87"/>
        <v>65.538435495514264</v>
      </c>
      <c r="Q73" s="20">
        <f t="shared" si="54"/>
        <v>590.05582848802032</v>
      </c>
      <c r="R73" s="59">
        <f t="shared" si="55"/>
        <v>876.65721452227262</v>
      </c>
      <c r="S73" s="59">
        <f ca="1">AVERAGE(OFFSET($R$3,0,0,'Données projet'!$E$9+1,1))-AVERAGE(OFFSET($H$3,0,0,'Données projet'!$E$9+1,1))</f>
        <v>467.10712490977266</v>
      </c>
      <c r="T73" s="59">
        <f t="shared" si="88"/>
        <v>282.99426855025968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22.249225125981042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22.249225125981042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68.164014372977917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230.28719999999998</v>
      </c>
      <c r="AK73" s="13">
        <f t="shared" si="89"/>
        <v>56.344776374959956</v>
      </c>
      <c r="AL73" s="20">
        <f t="shared" si="58"/>
        <v>499.2173588530552</v>
      </c>
      <c r="AM73" s="59">
        <f t="shared" si="59"/>
        <v>785.8187448873075</v>
      </c>
      <c r="AN73" s="59">
        <f ca="1">AVERAGE(OFFSET($AM$3,0,0,'Données projet'!$E$10+1,1))-AVERAGE(OFFSET($H$3,0,0,'Données projet'!$E$10+1,1))</f>
        <v>399.57236812003225</v>
      </c>
      <c r="AO73" s="59">
        <f t="shared" si="90"/>
        <v>245.95971136213691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17.550035336441944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17.550035336441944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68.164014372977917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2.2737367544323206E-13</v>
      </c>
      <c r="BE73" s="13">
        <f>BD73*VLOOKUP('Données projet'!$B$11,Paramètres!$A$1:$I$89,3,0)*VLOOKUP('Données projet'!$B$11,Paramètres!$A$1:$I$89,5,0)</f>
        <v>1.3596945791505279E-13</v>
      </c>
      <c r="BF73" s="13">
        <f t="shared" si="91"/>
        <v>1.9708830566360721E-12</v>
      </c>
      <c r="BG73" s="20">
        <f t="shared" si="61"/>
        <v>3.669434796176543E-12</v>
      </c>
      <c r="BH73" s="59">
        <f t="shared" si="62"/>
        <v>286.60138603425605</v>
      </c>
      <c r="BI73" s="59">
        <f ca="1">AVERAGE(OFFSET($BH$3,0,0,'Données projet'!$E$11+1,1))-AVERAGE(OFFSET($H$3,0,0,'Données projet'!$E$11+1,1))</f>
        <v>352.88552266225872</v>
      </c>
      <c r="BJ73" s="59">
        <f t="shared" si="92"/>
        <v>403.29115295154782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145.03430531091476</v>
      </c>
      <c r="BQ73" s="21">
        <f>EXP(-LN(2)/25)*BQ72+(1-EXP(-LN(2)/25))/(LN(2)/25)*Calculateur!BL73*Calculateur!BN73*VLOOKUP('Données projet'!$B$11,Paramètres!$A$1:$I$89,3,0)*0.475*44/12</f>
        <v>43.080290804267655</v>
      </c>
      <c r="BR73" s="21">
        <f>EXP(-LN(2)/2)*BR72+(1-EXP(-LN(2)/2))/(LN(2)/2)*BL73*BO73*VLOOKUP('Données projet'!$B$11,Paramètres!$A$1:$I$89,3,0)*0.475*44/12</f>
        <v>1.4881426756181317</v>
      </c>
      <c r="BS73" s="22">
        <f t="shared" si="63"/>
        <v>189.60273879080054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68.164014372977917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-2.2737367544323206E-13</v>
      </c>
      <c r="BZ73" s="13">
        <f>BY73*VLOOKUP('Données projet'!$B$12,Paramètres!$A$1:$I$89,3,0)*VLOOKUP('Données projet'!$B$12,Paramètres!$A$1:$I$89,5,0)</f>
        <v>-1.0049916454590858E-13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297.1442218517625</v>
      </c>
      <c r="CE73" s="59">
        <f t="shared" si="94"/>
        <v>326.0112787126069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154.03226118625517</v>
      </c>
      <c r="CL73" s="21">
        <f>EXP(-LN(2)/25)*CL72+(1-EXP(-LN(2)/25))/(LN(2)/25)*Calculateur!CG73*Calculateur!CI73*VLOOKUP('Données projet'!$B$12,Paramètres!$A$1:$I$89,3,0)*0.475*44/12</f>
        <v>43.847776192569192</v>
      </c>
      <c r="CM73" s="21">
        <f>EXP(-LN(2)/2)*CM72+(1-EXP(-LN(2)/2))/(LN(2)/2)*CG73*CJ73*VLOOKUP('Données projet'!$B$12,Paramètres!$A$1:$I$89,3,0)*0.475*44/12</f>
        <v>1.3413479935425614</v>
      </c>
      <c r="CN73" s="22">
        <f t="shared" si="66"/>
        <v>199.22138537236694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68.164014372977917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2.2737367544323206E-13</v>
      </c>
      <c r="CU73" s="17">
        <f>CT73*VLOOKUP('Données projet'!$B$13,Paramètres!$A$1:$I$89,3,0)*VLOOKUP('Données projet'!$B$13,Paramètres!$A$1:$I$89,5,0)</f>
        <v>1.3596945791505279E-13</v>
      </c>
      <c r="CV73" s="13">
        <f t="shared" si="95"/>
        <v>1.9708830566360721E-12</v>
      </c>
      <c r="CW73" s="20">
        <f t="shared" si="67"/>
        <v>3.669434796176543E-12</v>
      </c>
      <c r="CX73" s="59">
        <f t="shared" si="68"/>
        <v>286.60138603425605</v>
      </c>
      <c r="CY73" s="59">
        <f ca="1">AVERAGE(OFFSET($CX$3,0,0,'Données projet'!$E$13+1,1))-AVERAGE(OFFSET($H$3,0,0,'Données projet'!$E$13+1,1))</f>
        <v>352.88552266225872</v>
      </c>
      <c r="CZ73" s="59">
        <f t="shared" si="96"/>
        <v>403.29115295154782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145.03430531091476</v>
      </c>
      <c r="DG73" s="21">
        <f>EXP(-LN(2)/25)*DG72+(1-EXP(-LN(2)/25))/(LN(2)/25)*Calculateur!DB73*Calculateur!DD73*VLOOKUP('Données projet'!$B$13,Paramètres!$A$1:$I$89,3,0)*0.475*44/12</f>
        <v>43.080290804267655</v>
      </c>
      <c r="DH73" s="21">
        <f>EXP(-LN(2)/2)*DH72+(1-EXP(-LN(2)/2))/(LN(2)/2)*DB73*DE73*VLOOKUP('Données projet'!$B$13,Paramètres!$A$1:$I$89,3,0)*0.475*44/12</f>
        <v>1.4881426756181317</v>
      </c>
      <c r="DI73" s="22">
        <f t="shared" si="69"/>
        <v>189.60273879080054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68.164014372977917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68.164014372977917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68.164014372977917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68.164014372977917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68.164014372977917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1.25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4.583333333333333</v>
      </c>
      <c r="H74" s="67">
        <f t="shared" si="56"/>
        <v>238.33333333333334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68.195864618957813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281.59999999999985</v>
      </c>
      <c r="O74" s="13">
        <f>N74*VLOOKUP('Données projet'!$B$9,Paramètres!$A$1:$I$89,3,0)*VLOOKUP('Données projet'!$B$9,Paramètres!$A$1:$I$89,5,0)</f>
        <v>254.79167999999984</v>
      </c>
      <c r="P74" s="13">
        <f t="shared" si="87"/>
        <v>61.610870508448471</v>
      </c>
      <c r="Q74" s="20">
        <f t="shared" si="54"/>
        <v>551.06777546888077</v>
      </c>
      <c r="R74" s="59">
        <f t="shared" si="55"/>
        <v>837.78594573839268</v>
      </c>
      <c r="S74" s="59">
        <f ca="1">AVERAGE(OFFSET($R$3,0,0,'Données projet'!$E$9+1,1))-AVERAGE(OFFSET($H$3,0,0,'Données projet'!$E$9+1,1))</f>
        <v>467.10712490977266</v>
      </c>
      <c r="T74" s="59">
        <f t="shared" si="88"/>
        <v>282.99426855025968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21.812931391947885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21.812931391947885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68.195864618957813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216.20351999999997</v>
      </c>
      <c r="AK74" s="13">
        <f t="shared" si="89"/>
        <v>53.288905450648613</v>
      </c>
      <c r="AL74" s="20">
        <f t="shared" si="58"/>
        <v>469.36597432654622</v>
      </c>
      <c r="AM74" s="59">
        <f t="shared" si="59"/>
        <v>756.0841445960582</v>
      </c>
      <c r="AN74" s="59">
        <f ca="1">AVERAGE(OFFSET($AM$3,0,0,'Données projet'!$E$10+1,1))-AVERAGE(OFFSET($H$3,0,0,'Données projet'!$E$10+1,1))</f>
        <v>399.57236812003225</v>
      </c>
      <c r="AO74" s="59">
        <f t="shared" si="90"/>
        <v>245.95971136213691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17.205889847958893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17.205889847958893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68.195864618957813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2.2737367544323206E-13</v>
      </c>
      <c r="BE74" s="13">
        <f>BD74*VLOOKUP('Données projet'!$B$11,Paramètres!$A$1:$I$89,3,0)*VLOOKUP('Données projet'!$B$11,Paramètres!$A$1:$I$89,5,0)</f>
        <v>1.3596945791505279E-13</v>
      </c>
      <c r="BF74" s="13">
        <f t="shared" si="91"/>
        <v>1.9708830566360721E-12</v>
      </c>
      <c r="BG74" s="20">
        <f t="shared" si="61"/>
        <v>3.669434796176543E-12</v>
      </c>
      <c r="BH74" s="59">
        <f t="shared" si="62"/>
        <v>286.71817026951567</v>
      </c>
      <c r="BI74" s="59">
        <f ca="1">AVERAGE(OFFSET($BH$3,0,0,'Données projet'!$E$11+1,1))-AVERAGE(OFFSET($H$3,0,0,'Données projet'!$E$11+1,1))</f>
        <v>352.88552266225872</v>
      </c>
      <c r="BJ74" s="59">
        <f t="shared" si="92"/>
        <v>403.29115295154782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142.19027104595904</v>
      </c>
      <c r="BQ74" s="21">
        <f>EXP(-LN(2)/25)*BQ73+(1-EXP(-LN(2)/25))/(LN(2)/25)*Calculateur!BL74*Calculateur!BN74*VLOOKUP('Données projet'!$B$11,Paramètres!$A$1:$I$89,3,0)*0.475*44/12</f>
        <v>41.902257986730923</v>
      </c>
      <c r="BR74" s="21">
        <f>EXP(-LN(2)/2)*BR73+(1-EXP(-LN(2)/2))/(LN(2)/2)*BL74*BO74*VLOOKUP('Données projet'!$B$11,Paramètres!$A$1:$I$89,3,0)*0.475*44/12</f>
        <v>1.0522757773026736</v>
      </c>
      <c r="BS74" s="22">
        <f t="shared" si="63"/>
        <v>185.14480480999262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68.195864618957813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-2.2737367544323206E-13</v>
      </c>
      <c r="BZ74" s="13">
        <f>BY74*VLOOKUP('Données projet'!$B$12,Paramètres!$A$1:$I$89,3,0)*VLOOKUP('Données projet'!$B$12,Paramètres!$A$1:$I$89,5,0)</f>
        <v>-1.0049916454590858E-13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297.1442218517625</v>
      </c>
      <c r="CE74" s="59">
        <f t="shared" si="94"/>
        <v>326.0112787126069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151.0117824947952</v>
      </c>
      <c r="CL74" s="21">
        <f>EXP(-LN(2)/25)*CL73+(1-EXP(-LN(2)/25))/(LN(2)/25)*Calculateur!CG74*Calculateur!CI74*VLOOKUP('Données projet'!$B$12,Paramètres!$A$1:$I$89,3,0)*0.475*44/12</f>
        <v>42.648756446729053</v>
      </c>
      <c r="CM74" s="21">
        <f>EXP(-LN(2)/2)*CM73+(1-EXP(-LN(2)/2))/(LN(2)/2)*CG74*CJ74*VLOOKUP('Données projet'!$B$12,Paramètres!$A$1:$I$89,3,0)*0.475*44/12</f>
        <v>0.94847626216491454</v>
      </c>
      <c r="CN74" s="22">
        <f t="shared" si="66"/>
        <v>194.60901520368915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68.195864618957813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2.2737367544323206E-13</v>
      </c>
      <c r="CU74" s="17">
        <f>CT74*VLOOKUP('Données projet'!$B$13,Paramètres!$A$1:$I$89,3,0)*VLOOKUP('Données projet'!$B$13,Paramètres!$A$1:$I$89,5,0)</f>
        <v>1.3596945791505279E-13</v>
      </c>
      <c r="CV74" s="13">
        <f t="shared" si="95"/>
        <v>1.9708830566360721E-12</v>
      </c>
      <c r="CW74" s="20">
        <f t="shared" si="67"/>
        <v>3.669434796176543E-12</v>
      </c>
      <c r="CX74" s="59">
        <f t="shared" si="68"/>
        <v>286.71817026951567</v>
      </c>
      <c r="CY74" s="59">
        <f ca="1">AVERAGE(OFFSET($CX$3,0,0,'Données projet'!$E$13+1,1))-AVERAGE(OFFSET($H$3,0,0,'Données projet'!$E$13+1,1))</f>
        <v>352.88552266225872</v>
      </c>
      <c r="CZ74" s="59">
        <f t="shared" si="96"/>
        <v>403.29115295154782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142.19027104595904</v>
      </c>
      <c r="DG74" s="21">
        <f>EXP(-LN(2)/25)*DG73+(1-EXP(-LN(2)/25))/(LN(2)/25)*Calculateur!DB74*Calculateur!DD74*VLOOKUP('Données projet'!$B$13,Paramètres!$A$1:$I$89,3,0)*0.475*44/12</f>
        <v>41.902257986730923</v>
      </c>
      <c r="DH74" s="21">
        <f>EXP(-LN(2)/2)*DH73+(1-EXP(-LN(2)/2))/(LN(2)/2)*DB74*DE74*VLOOKUP('Données projet'!$B$13,Paramètres!$A$1:$I$89,3,0)*0.475*44/12</f>
        <v>1.0522757773026736</v>
      </c>
      <c r="DI74" s="22">
        <f t="shared" si="69"/>
        <v>185.14480480999262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68.195864618957813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68.195864618957813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68.195864618957813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68.195864618957813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68.195864618957813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1.25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4.583333333333333</v>
      </c>
      <c r="H75" s="67">
        <f t="shared" si="56"/>
        <v>238.33333333333334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68.22716233437643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289.19999999999987</v>
      </c>
      <c r="O75" s="13">
        <f>N75*VLOOKUP('Données projet'!$B$9,Paramètres!$A$1:$I$89,3,0)*VLOOKUP('Données projet'!$B$9,Paramètres!$A$1:$I$89,5,0)</f>
        <v>261.66815999999989</v>
      </c>
      <c r="P75" s="13">
        <f t="shared" si="87"/>
        <v>63.077829793082856</v>
      </c>
      <c r="Q75" s="20">
        <f t="shared" si="54"/>
        <v>565.59926555628579</v>
      </c>
      <c r="R75" s="59">
        <f t="shared" si="55"/>
        <v>852.43219411566611</v>
      </c>
      <c r="S75" s="59">
        <f ca="1">AVERAGE(OFFSET($R$3,0,0,'Données projet'!$E$9+1,1))-AVERAGE(OFFSET($H$3,0,0,'Données projet'!$E$9+1,1))</f>
        <v>467.10712490977266</v>
      </c>
      <c r="T75" s="59">
        <f t="shared" si="88"/>
        <v>282.99426855025968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21.385193111926217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21.385193111926217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68.22716233437643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222.10343999999995</v>
      </c>
      <c r="AK75" s="13">
        <f t="shared" si="89"/>
        <v>54.571804516465022</v>
      </c>
      <c r="AL75" s="20">
        <f t="shared" si="58"/>
        <v>481.87605086617651</v>
      </c>
      <c r="AM75" s="59">
        <f t="shared" si="59"/>
        <v>768.70897942555678</v>
      </c>
      <c r="AN75" s="59">
        <f ca="1">AVERAGE(OFFSET($AM$3,0,0,'Données projet'!$E$10+1,1))-AVERAGE(OFFSET($H$3,0,0,'Données projet'!$E$10+1,1))</f>
        <v>399.57236812003225</v>
      </c>
      <c r="AO75" s="59">
        <f t="shared" si="90"/>
        <v>245.95971136213691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16.868492842596975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16.868492842596975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68.22716233437643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2.2737367544323206E-13</v>
      </c>
      <c r="BE75" s="13">
        <f>BD75*VLOOKUP('Données projet'!$B$11,Paramètres!$A$1:$I$89,3,0)*VLOOKUP('Données projet'!$B$11,Paramètres!$A$1:$I$89,5,0)</f>
        <v>1.3596945791505279E-13</v>
      </c>
      <c r="BF75" s="13">
        <f t="shared" si="91"/>
        <v>1.9708830566360721E-12</v>
      </c>
      <c r="BG75" s="20">
        <f t="shared" si="61"/>
        <v>3.669434796176543E-12</v>
      </c>
      <c r="BH75" s="59">
        <f t="shared" si="62"/>
        <v>286.83292855938396</v>
      </c>
      <c r="BI75" s="59">
        <f ca="1">AVERAGE(OFFSET($BH$3,0,0,'Données projet'!$E$11+1,1))-AVERAGE(OFFSET($H$3,0,0,'Données projet'!$E$11+1,1))</f>
        <v>352.88552266225872</v>
      </c>
      <c r="BJ75" s="59">
        <f t="shared" si="92"/>
        <v>403.29115295154782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139.4020065582495</v>
      </c>
      <c r="BQ75" s="21">
        <f>EXP(-LN(2)/25)*BQ74+(1-EXP(-LN(2)/25))/(LN(2)/25)*Calculateur!BL75*Calculateur!BN75*VLOOKUP('Données projet'!$B$11,Paramètres!$A$1:$I$89,3,0)*0.475*44/12</f>
        <v>40.75643853853979</v>
      </c>
      <c r="BR75" s="21">
        <f>EXP(-LN(2)/2)*BR74+(1-EXP(-LN(2)/2))/(LN(2)/2)*BL75*BO75*VLOOKUP('Données projet'!$B$11,Paramètres!$A$1:$I$89,3,0)*0.475*44/12</f>
        <v>0.74407133780906587</v>
      </c>
      <c r="BS75" s="22">
        <f t="shared" si="63"/>
        <v>180.90251643459834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68.22716233437643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-2.2737367544323206E-13</v>
      </c>
      <c r="BZ75" s="13">
        <f>BY75*VLOOKUP('Données projet'!$B$12,Paramètres!$A$1:$I$89,3,0)*VLOOKUP('Données projet'!$B$12,Paramètres!$A$1:$I$89,5,0)</f>
        <v>-1.0049916454590858E-13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297.1442218517625</v>
      </c>
      <c r="CE75" s="59">
        <f t="shared" si="94"/>
        <v>326.0112787126069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148.05053354816468</v>
      </c>
      <c r="CL75" s="21">
        <f>EXP(-LN(2)/25)*CL74+(1-EXP(-LN(2)/25))/(LN(2)/25)*Calculateur!CG75*Calculateur!CI75*VLOOKUP('Données projet'!$B$12,Paramètres!$A$1:$I$89,3,0)*0.475*44/12</f>
        <v>41.482523958892621</v>
      </c>
      <c r="CM75" s="21">
        <f>EXP(-LN(2)/2)*CM74+(1-EXP(-LN(2)/2))/(LN(2)/2)*CG75*CJ75*VLOOKUP('Données projet'!$B$12,Paramètres!$A$1:$I$89,3,0)*0.475*44/12</f>
        <v>0.67067399677128081</v>
      </c>
      <c r="CN75" s="22">
        <f t="shared" si="66"/>
        <v>190.20373150382858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68.22716233437643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2.2737367544323206E-13</v>
      </c>
      <c r="CU75" s="17">
        <f>CT75*VLOOKUP('Données projet'!$B$13,Paramètres!$A$1:$I$89,3,0)*VLOOKUP('Données projet'!$B$13,Paramètres!$A$1:$I$89,5,0)</f>
        <v>1.3596945791505279E-13</v>
      </c>
      <c r="CV75" s="13">
        <f t="shared" si="95"/>
        <v>1.9708830566360721E-12</v>
      </c>
      <c r="CW75" s="20">
        <f t="shared" si="67"/>
        <v>3.669434796176543E-12</v>
      </c>
      <c r="CX75" s="59">
        <f t="shared" si="68"/>
        <v>286.83292855938396</v>
      </c>
      <c r="CY75" s="59">
        <f ca="1">AVERAGE(OFFSET($CX$3,0,0,'Données projet'!$E$13+1,1))-AVERAGE(OFFSET($H$3,0,0,'Données projet'!$E$13+1,1))</f>
        <v>352.88552266225872</v>
      </c>
      <c r="CZ75" s="59">
        <f t="shared" si="96"/>
        <v>403.29115295154782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139.4020065582495</v>
      </c>
      <c r="DG75" s="21">
        <f>EXP(-LN(2)/25)*DG74+(1-EXP(-LN(2)/25))/(LN(2)/25)*Calculateur!DB75*Calculateur!DD75*VLOOKUP('Données projet'!$B$13,Paramètres!$A$1:$I$89,3,0)*0.475*44/12</f>
        <v>40.75643853853979</v>
      </c>
      <c r="DH75" s="21">
        <f>EXP(-LN(2)/2)*DH74+(1-EXP(-LN(2)/2))/(LN(2)/2)*DB75*DE75*VLOOKUP('Données projet'!$B$13,Paramètres!$A$1:$I$89,3,0)*0.475*44/12</f>
        <v>0.74407133780906587</v>
      </c>
      <c r="DI75" s="22">
        <f t="shared" si="69"/>
        <v>180.90251643459834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68.22716233437643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68.22716233437643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68.22716233437643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68.22716233437643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68.22716233437643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1.25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4.583333333333333</v>
      </c>
      <c r="H76" s="67">
        <f t="shared" si="56"/>
        <v>238.33333333333334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68.257917104403759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296.7999999999999</v>
      </c>
      <c r="O76" s="13">
        <f>N76*VLOOKUP('Données projet'!$B$9,Paramètres!$A$1:$I$89,3,0)*VLOOKUP('Données projet'!$B$9,Paramètres!$A$1:$I$89,5,0)</f>
        <v>268.5446399999999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867.06864728193523</v>
      </c>
      <c r="S76" s="59">
        <f ca="1">AVERAGE(OFFSET($R$3,0,0,'Données projet'!$E$9+1,1))-AVERAGE(OFFSET($H$3,0,0,'Données projet'!$E$9+1,1))</f>
        <v>467.10712490977266</v>
      </c>
      <c r="T76" s="59">
        <f t="shared" si="88"/>
        <v>282.99426855025968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20.965842518681185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20.965842518681185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68.257917104403759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228.00335999999993</v>
      </c>
      <c r="AK76" s="13">
        <f t="shared" si="89"/>
        <v>55.850742452867522</v>
      </c>
      <c r="AL76" s="20">
        <f t="shared" si="58"/>
        <v>494.37922843874412</v>
      </c>
      <c r="AM76" s="59">
        <f t="shared" si="59"/>
        <v>781.3249244882245</v>
      </c>
      <c r="AN76" s="59">
        <f ca="1">AVERAGE(OFFSET($AM$3,0,0,'Données projet'!$E$10+1,1))-AVERAGE(OFFSET($H$3,0,0,'Données projet'!$E$10+1,1))</f>
        <v>399.57236812003225</v>
      </c>
      <c r="AO76" s="59">
        <f t="shared" si="90"/>
        <v>245.95971136213691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16.53771198671835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16.53771198671835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68.257917104403759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2.2737367544323206E-13</v>
      </c>
      <c r="BE76" s="13">
        <f>BD76*VLOOKUP('Données projet'!$B$11,Paramètres!$A$1:$I$89,3,0)*VLOOKUP('Données projet'!$B$11,Paramètres!$A$1:$I$89,5,0)</f>
        <v>1.3596945791505279E-13</v>
      </c>
      <c r="BF76" s="13">
        <f t="shared" si="91"/>
        <v>1.9708830566360721E-12</v>
      </c>
      <c r="BG76" s="20">
        <f t="shared" si="61"/>
        <v>3.669434796176543E-12</v>
      </c>
      <c r="BH76" s="59">
        <f t="shared" si="62"/>
        <v>286.94569604948413</v>
      </c>
      <c r="BI76" s="59">
        <f ca="1">AVERAGE(OFFSET($BH$3,0,0,'Données projet'!$E$11+1,1))-AVERAGE(OFFSET($H$3,0,0,'Données projet'!$E$11+1,1))</f>
        <v>352.88552266225872</v>
      </c>
      <c r="BJ76" s="59">
        <f t="shared" si="92"/>
        <v>403.29115295154782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136.66841823647053</v>
      </c>
      <c r="BQ76" s="21">
        <f>EXP(-LN(2)/25)*BQ75+(1-EXP(-LN(2)/25))/(LN(2)/25)*Calculateur!BL76*Calculateur!BN76*VLOOKUP('Données projet'!$B$11,Paramètres!$A$1:$I$89,3,0)*0.475*44/12</f>
        <v>39.641951583415469</v>
      </c>
      <c r="BR76" s="21">
        <f>EXP(-LN(2)/2)*BR75+(1-EXP(-LN(2)/2))/(LN(2)/2)*BL76*BO76*VLOOKUP('Données projet'!$B$11,Paramètres!$A$1:$I$89,3,0)*0.475*44/12</f>
        <v>0.52613788865133682</v>
      </c>
      <c r="BS76" s="22">
        <f t="shared" si="63"/>
        <v>176.83650770853734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68.257917104403759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-2.2737367544323206E-13</v>
      </c>
      <c r="BZ76" s="13">
        <f>BY76*VLOOKUP('Données projet'!$B$12,Paramètres!$A$1:$I$89,3,0)*VLOOKUP('Données projet'!$B$12,Paramètres!$A$1:$I$89,5,0)</f>
        <v>-1.0049916454590858E-13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297.1442218517625</v>
      </c>
      <c r="CE76" s="59">
        <f t="shared" si="94"/>
        <v>326.0112787126069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145.14735288719407</v>
      </c>
      <c r="CL76" s="21">
        <f>EXP(-LN(2)/25)*CL75+(1-EXP(-LN(2)/25))/(LN(2)/25)*Calculateur!CG76*Calculateur!CI76*VLOOKUP('Données projet'!$B$12,Paramètres!$A$1:$I$89,3,0)*0.475*44/12</f>
        <v>40.348182159765578</v>
      </c>
      <c r="CM76" s="21">
        <f>EXP(-LN(2)/2)*CM75+(1-EXP(-LN(2)/2))/(LN(2)/2)*CG76*CJ76*VLOOKUP('Données projet'!$B$12,Paramètres!$A$1:$I$89,3,0)*0.475*44/12</f>
        <v>0.47423813108245738</v>
      </c>
      <c r="CN76" s="22">
        <f t="shared" si="66"/>
        <v>185.96977317804209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68.257917104403759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2.2737367544323206E-13</v>
      </c>
      <c r="CU76" s="17">
        <f>CT76*VLOOKUP('Données projet'!$B$13,Paramètres!$A$1:$I$89,3,0)*VLOOKUP('Données projet'!$B$13,Paramètres!$A$1:$I$89,5,0)</f>
        <v>1.3596945791505279E-13</v>
      </c>
      <c r="CV76" s="13">
        <f t="shared" si="95"/>
        <v>1.9708830566360721E-12</v>
      </c>
      <c r="CW76" s="20">
        <f t="shared" si="67"/>
        <v>3.669434796176543E-12</v>
      </c>
      <c r="CX76" s="59">
        <f t="shared" si="68"/>
        <v>286.94569604948413</v>
      </c>
      <c r="CY76" s="59">
        <f ca="1">AVERAGE(OFFSET($CX$3,0,0,'Données projet'!$E$13+1,1))-AVERAGE(OFFSET($H$3,0,0,'Données projet'!$E$13+1,1))</f>
        <v>352.88552266225872</v>
      </c>
      <c r="CZ76" s="59">
        <f t="shared" si="96"/>
        <v>403.29115295154782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136.66841823647053</v>
      </c>
      <c r="DG76" s="21">
        <f>EXP(-LN(2)/25)*DG75+(1-EXP(-LN(2)/25))/(LN(2)/25)*Calculateur!DB76*Calculateur!DD76*VLOOKUP('Données projet'!$B$13,Paramètres!$A$1:$I$89,3,0)*0.475*44/12</f>
        <v>39.641951583415469</v>
      </c>
      <c r="DH76" s="21">
        <f>EXP(-LN(2)/2)*DH75+(1-EXP(-LN(2)/2))/(LN(2)/2)*DB76*DE76*VLOOKUP('Données projet'!$B$13,Paramètres!$A$1:$I$89,3,0)*0.475*44/12</f>
        <v>0.52613788865133682</v>
      </c>
      <c r="DI76" s="22">
        <f t="shared" si="69"/>
        <v>176.83650770853734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68.257917104403759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68.257917104403759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68.257917104403759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68.257917104403759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68.257917104403759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1.25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4.583333333333333</v>
      </c>
      <c r="H77" s="67">
        <f t="shared" si="56"/>
        <v>238.33333333333334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68.288138347928466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304.39999999999992</v>
      </c>
      <c r="O77" s="13">
        <f>N77*VLOOKUP('Données projet'!$B$9,Paramètres!$A$1:$I$89,3,0)*VLOOKUP('Données projet'!$B$9,Paramètres!$A$1:$I$89,5,0)</f>
        <v>275.42111999999992</v>
      </c>
      <c r="P77" s="13">
        <f t="shared" si="87"/>
        <v>65.998433293601067</v>
      </c>
      <c r="Q77" s="20">
        <f t="shared" si="54"/>
        <v>594.63905531968828</v>
      </c>
      <c r="R77" s="59">
        <f t="shared" si="55"/>
        <v>881.69556259542605</v>
      </c>
      <c r="S77" s="59">
        <f ca="1">AVERAGE(OFFSET($R$3,0,0,'Données projet'!$E$9+1,1))-AVERAGE(OFFSET($H$3,0,0,'Données projet'!$E$9+1,1))</f>
        <v>467.10712490977266</v>
      </c>
      <c r="T77" s="59">
        <f t="shared" si="88"/>
        <v>282.99426855025968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20.554715134791085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20.554715134791085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68.288138347928466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233.90327999999994</v>
      </c>
      <c r="AK77" s="13">
        <f t="shared" si="89"/>
        <v>57.125833544518095</v>
      </c>
      <c r="AL77" s="20">
        <f t="shared" si="58"/>
        <v>506.87570609003552</v>
      </c>
      <c r="AM77" s="59">
        <f t="shared" si="59"/>
        <v>793.93221336577324</v>
      </c>
      <c r="AN77" s="59">
        <f ca="1">AVERAGE(OFFSET($AM$3,0,0,'Données projet'!$E$10+1,1))-AVERAGE(OFFSET($H$3,0,0,'Données projet'!$E$10+1,1))</f>
        <v>399.57236812003225</v>
      </c>
      <c r="AO77" s="59">
        <f t="shared" si="90"/>
        <v>245.95971136213691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16.213417541667106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16.213417541667106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68.288138347928466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2.2737367544323206E-13</v>
      </c>
      <c r="BE77" s="13">
        <f>BD77*VLOOKUP('Données projet'!$B$11,Paramètres!$A$1:$I$89,3,0)*VLOOKUP('Données projet'!$B$11,Paramètres!$A$1:$I$89,5,0)</f>
        <v>1.3596945791505279E-13</v>
      </c>
      <c r="BF77" s="13">
        <f t="shared" si="91"/>
        <v>1.9708830566360721E-12</v>
      </c>
      <c r="BG77" s="20">
        <f t="shared" si="61"/>
        <v>3.669434796176543E-12</v>
      </c>
      <c r="BH77" s="59">
        <f t="shared" si="62"/>
        <v>287.05650727574141</v>
      </c>
      <c r="BI77" s="59">
        <f ca="1">AVERAGE(OFFSET($BH$3,0,0,'Données projet'!$E$11+1,1))-AVERAGE(OFFSET($H$3,0,0,'Données projet'!$E$11+1,1))</f>
        <v>352.88552266225872</v>
      </c>
      <c r="BJ77" s="59">
        <f t="shared" si="92"/>
        <v>403.29115295154782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133.98843391435739</v>
      </c>
      <c r="BQ77" s="21">
        <f>EXP(-LN(2)/25)*BQ76+(1-EXP(-LN(2)/25))/(LN(2)/25)*Calculateur!BL77*Calculateur!BN77*VLOOKUP('Données projet'!$B$11,Paramètres!$A$1:$I$89,3,0)*0.475*44/12</f>
        <v>38.557940332687345</v>
      </c>
      <c r="BR77" s="21">
        <f>EXP(-LN(2)/2)*BR76+(1-EXP(-LN(2)/2))/(LN(2)/2)*BL77*BO77*VLOOKUP('Données projet'!$B$11,Paramètres!$A$1:$I$89,3,0)*0.475*44/12</f>
        <v>0.37203566890453293</v>
      </c>
      <c r="BS77" s="22">
        <f t="shared" si="63"/>
        <v>172.91840991594927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68.288138347928466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-2.2737367544323206E-13</v>
      </c>
      <c r="BZ77" s="13">
        <f>BY77*VLOOKUP('Données projet'!$B$12,Paramètres!$A$1:$I$89,3,0)*VLOOKUP('Données projet'!$B$12,Paramètres!$A$1:$I$89,5,0)</f>
        <v>-1.0049916454590858E-13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297.1442218517625</v>
      </c>
      <c r="CE77" s="59">
        <f t="shared" si="94"/>
        <v>326.0112787126069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142.30110182821974</v>
      </c>
      <c r="CL77" s="21">
        <f>EXP(-LN(2)/25)*CL76+(1-EXP(-LN(2)/25))/(LN(2)/25)*Calculateur!CG77*Calculateur!CI77*VLOOKUP('Données projet'!$B$12,Paramètres!$A$1:$I$89,3,0)*0.475*44/12</f>
        <v>39.244858996788103</v>
      </c>
      <c r="CM77" s="21">
        <f>EXP(-LN(2)/2)*CM76+(1-EXP(-LN(2)/2))/(LN(2)/2)*CG77*CJ77*VLOOKUP('Données projet'!$B$12,Paramètres!$A$1:$I$89,3,0)*0.475*44/12</f>
        <v>0.33533699838564046</v>
      </c>
      <c r="CN77" s="22">
        <f t="shared" si="66"/>
        <v>181.88129782339348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68.288138347928466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2.2737367544323206E-13</v>
      </c>
      <c r="CU77" s="17">
        <f>CT77*VLOOKUP('Données projet'!$B$13,Paramètres!$A$1:$I$89,3,0)*VLOOKUP('Données projet'!$B$13,Paramètres!$A$1:$I$89,5,0)</f>
        <v>1.3596945791505279E-13</v>
      </c>
      <c r="CV77" s="13">
        <f t="shared" si="95"/>
        <v>1.9708830566360721E-12</v>
      </c>
      <c r="CW77" s="20">
        <f t="shared" si="67"/>
        <v>3.669434796176543E-12</v>
      </c>
      <c r="CX77" s="59">
        <f t="shared" si="68"/>
        <v>287.05650727574141</v>
      </c>
      <c r="CY77" s="59">
        <f ca="1">AVERAGE(OFFSET($CX$3,0,0,'Données projet'!$E$13+1,1))-AVERAGE(OFFSET($H$3,0,0,'Données projet'!$E$13+1,1))</f>
        <v>352.88552266225872</v>
      </c>
      <c r="CZ77" s="59">
        <f t="shared" si="96"/>
        <v>403.29115295154782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133.98843391435739</v>
      </c>
      <c r="DG77" s="21">
        <f>EXP(-LN(2)/25)*DG76+(1-EXP(-LN(2)/25))/(LN(2)/25)*Calculateur!DB77*Calculateur!DD77*VLOOKUP('Données projet'!$B$13,Paramètres!$A$1:$I$89,3,0)*0.475*44/12</f>
        <v>38.557940332687345</v>
      </c>
      <c r="DH77" s="21">
        <f>EXP(-LN(2)/2)*DH76+(1-EXP(-LN(2)/2))/(LN(2)/2)*DB77*DE77*VLOOKUP('Données projet'!$B$13,Paramètres!$A$1:$I$89,3,0)*0.475*44/12</f>
        <v>0.37203566890453293</v>
      </c>
      <c r="DI77" s="22">
        <f t="shared" si="69"/>
        <v>172.91840991594927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68.288138347928466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68.288138347928466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68.288138347928466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68.288138347928466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68.288138347928466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1.25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4.583333333333333</v>
      </c>
      <c r="H78" s="67">
        <f t="shared" si="56"/>
        <v>238.33333333333334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68.317835320442597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311.99999999999994</v>
      </c>
      <c r="O78" s="13">
        <f>N78*VLOOKUP('Données projet'!$B$9,Paramètres!$A$1:$I$89,3,0)*VLOOKUP('Données projet'!$B$9,Paramètres!$A$1:$I$89,5,0)</f>
        <v>282.29759999999993</v>
      </c>
      <c r="P78" s="13">
        <f t="shared" si="87"/>
        <v>67.452326629470178</v>
      </c>
      <c r="Q78" s="20">
        <f t="shared" si="54"/>
        <v>609.14778887966042</v>
      </c>
      <c r="R78" s="59">
        <f t="shared" si="55"/>
        <v>896.31318505461661</v>
      </c>
      <c r="S78" s="59">
        <f ca="1">AVERAGE(OFFSET($R$3,0,0,'Données projet'!$E$9+1,1))-AVERAGE(OFFSET($H$3,0,0,'Données projet'!$E$9+1,1))</f>
        <v>467.10712490977266</v>
      </c>
      <c r="T78" s="59">
        <f t="shared" si="88"/>
        <v>282.99426855025968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26.173031896532631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26.173031896532631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68.317835320442597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239.80319999999992</v>
      </c>
      <c r="AK78" s="13">
        <f t="shared" si="89"/>
        <v>58.397185982155214</v>
      </c>
      <c r="AL78" s="20">
        <f t="shared" si="58"/>
        <v>519.36567225225349</v>
      </c>
      <c r="AM78" s="59">
        <f t="shared" si="59"/>
        <v>806.53106842720968</v>
      </c>
      <c r="AN78" s="59">
        <f ca="1">AVERAGE(OFFSET($AM$3,0,0,'Données projet'!$E$10+1,1))-AVERAGE(OFFSET($H$3,0,0,'Données projet'!$E$10+1,1))</f>
        <v>399.57236812003225</v>
      </c>
      <c r="AO78" s="59">
        <f t="shared" si="90"/>
        <v>245.95971136213691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20.645107056316686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20.645107056316686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68.317835320442597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2.2737367544323206E-13</v>
      </c>
      <c r="BE78" s="13">
        <f>BD78*VLOOKUP('Données projet'!$B$11,Paramètres!$A$1:$I$89,3,0)*VLOOKUP('Données projet'!$B$11,Paramètres!$A$1:$I$89,5,0)</f>
        <v>1.3596945791505279E-13</v>
      </c>
      <c r="BF78" s="13">
        <f t="shared" si="91"/>
        <v>1.9708830566360721E-12</v>
      </c>
      <c r="BG78" s="20">
        <f t="shared" si="61"/>
        <v>3.669434796176543E-12</v>
      </c>
      <c r="BH78" s="59">
        <f t="shared" si="62"/>
        <v>287.16539617495988</v>
      </c>
      <c r="BI78" s="59">
        <f ca="1">AVERAGE(OFFSET($BH$3,0,0,'Données projet'!$E$11+1,1))-AVERAGE(OFFSET($H$3,0,0,'Données projet'!$E$11+1,1))</f>
        <v>352.88552266225872</v>
      </c>
      <c r="BJ78" s="59">
        <f t="shared" si="92"/>
        <v>403.29115295154782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131.36100245017187</v>
      </c>
      <c r="BQ78" s="21">
        <f>EXP(-LN(2)/25)*BQ77+(1-EXP(-LN(2)/25))/(LN(2)/25)*Calculateur!BL78*Calculateur!BN78*VLOOKUP('Données projet'!$B$11,Paramètres!$A$1:$I$89,3,0)*0.475*44/12</f>
        <v>37.503571426616055</v>
      </c>
      <c r="BR78" s="21">
        <f>EXP(-LN(2)/2)*BR77+(1-EXP(-LN(2)/2))/(LN(2)/2)*BL78*BO78*VLOOKUP('Données projet'!$B$11,Paramètres!$A$1:$I$89,3,0)*0.475*44/12</f>
        <v>0.26306894432566841</v>
      </c>
      <c r="BS78" s="22">
        <f t="shared" si="63"/>
        <v>169.1276428211136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68.317835320442597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-2.2737367544323206E-13</v>
      </c>
      <c r="BZ78" s="13">
        <f>BY78*VLOOKUP('Données projet'!$B$12,Paramètres!$A$1:$I$89,3,0)*VLOOKUP('Données projet'!$B$12,Paramètres!$A$1:$I$89,5,0)</f>
        <v>-1.0049916454590858E-13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297.1442218517625</v>
      </c>
      <c r="CE78" s="59">
        <f t="shared" si="94"/>
        <v>326.0112787126069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139.51066401647017</v>
      </c>
      <c r="CL78" s="21">
        <f>EXP(-LN(2)/25)*CL77+(1-EXP(-LN(2)/25))/(LN(2)/25)*Calculateur!CG78*Calculateur!CI78*VLOOKUP('Données projet'!$B$12,Paramètres!$A$1:$I$89,3,0)*0.475*44/12</f>
        <v>38.171706263723493</v>
      </c>
      <c r="CM78" s="21">
        <f>EXP(-LN(2)/2)*CM77+(1-EXP(-LN(2)/2))/(LN(2)/2)*CG78*CJ78*VLOOKUP('Données projet'!$B$12,Paramètres!$A$1:$I$89,3,0)*0.475*44/12</f>
        <v>0.23711906554122872</v>
      </c>
      <c r="CN78" s="22">
        <f t="shared" si="66"/>
        <v>177.91948934573489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68.317835320442597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2.2737367544323206E-13</v>
      </c>
      <c r="CU78" s="17">
        <f>CT78*VLOOKUP('Données projet'!$B$13,Paramètres!$A$1:$I$89,3,0)*VLOOKUP('Données projet'!$B$13,Paramètres!$A$1:$I$89,5,0)</f>
        <v>1.3596945791505279E-13</v>
      </c>
      <c r="CV78" s="13">
        <f t="shared" si="95"/>
        <v>1.9708830566360721E-12</v>
      </c>
      <c r="CW78" s="20">
        <f t="shared" si="67"/>
        <v>3.669434796176543E-12</v>
      </c>
      <c r="CX78" s="59">
        <f t="shared" si="68"/>
        <v>287.16539617495988</v>
      </c>
      <c r="CY78" s="59">
        <f ca="1">AVERAGE(OFFSET($CX$3,0,0,'Données projet'!$E$13+1,1))-AVERAGE(OFFSET($H$3,0,0,'Données projet'!$E$13+1,1))</f>
        <v>352.88552266225872</v>
      </c>
      <c r="CZ78" s="59">
        <f t="shared" si="96"/>
        <v>403.29115295154782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131.36100245017187</v>
      </c>
      <c r="DG78" s="21">
        <f>EXP(-LN(2)/25)*DG77+(1-EXP(-LN(2)/25))/(LN(2)/25)*Calculateur!DB78*Calculateur!DD78*VLOOKUP('Données projet'!$B$13,Paramètres!$A$1:$I$89,3,0)*0.475*44/12</f>
        <v>37.503571426616055</v>
      </c>
      <c r="DH78" s="21">
        <f>EXP(-LN(2)/2)*DH77+(1-EXP(-LN(2)/2))/(LN(2)/2)*DB78*DE78*VLOOKUP('Données projet'!$B$13,Paramètres!$A$1:$I$89,3,0)*0.475*44/12</f>
        <v>0.26306894432566841</v>
      </c>
      <c r="DI78" s="22">
        <f t="shared" si="69"/>
        <v>169.1276428211136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68.317835320442597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68.317835320442597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68.317835320442597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68.317835320442597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68.317835320442597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1.25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4.583333333333333</v>
      </c>
      <c r="H79" s="67">
        <f t="shared" si="56"/>
        <v>238.33333333333334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68.347017116876103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291.19999999999993</v>
      </c>
      <c r="O79" s="13">
        <f>N79*VLOOKUP('Données projet'!$B$9,Paramètres!$A$1:$I$89,3,0)*VLOOKUP('Données projet'!$B$9,Paramètres!$A$1:$I$89,5,0)</f>
        <v>263.47775999999993</v>
      </c>
      <c r="P79" s="13">
        <f t="shared" si="87"/>
        <v>63.46312159763346</v>
      </c>
      <c r="Q79" s="20">
        <f t="shared" si="54"/>
        <v>569.42203544921142</v>
      </c>
      <c r="R79" s="59">
        <f t="shared" si="55"/>
        <v>856.69443154442388</v>
      </c>
      <c r="S79" s="59">
        <f ca="1">AVERAGE(OFFSET($R$3,0,0,'Données projet'!$E$9+1,1))-AVERAGE(OFFSET($H$3,0,0,'Données projet'!$E$9+1,1))</f>
        <v>467.10712490977266</v>
      </c>
      <c r="T79" s="59">
        <f t="shared" si="88"/>
        <v>282.99426855025968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25.659794705014772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25.659794705014772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68.347017116876103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225.52919999999992</v>
      </c>
      <c r="AK79" s="13">
        <f t="shared" si="89"/>
        <v>55.314888425951921</v>
      </c>
      <c r="AL79" s="20">
        <f t="shared" si="58"/>
        <v>489.13678734186618</v>
      </c>
      <c r="AM79" s="59">
        <f t="shared" si="59"/>
        <v>776.40918343707858</v>
      </c>
      <c r="AN79" s="59">
        <f ca="1">AVERAGE(OFFSET($AM$3,0,0,'Données projet'!$E$10+1,1))-AVERAGE(OFFSET($H$3,0,0,'Données projet'!$E$10+1,1))</f>
        <v>399.57236812003225</v>
      </c>
      <c r="AO79" s="59">
        <f t="shared" si="90"/>
        <v>245.95971136213691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20.240269099214235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20.240269099214235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68.347017116876103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2.2737367544323206E-13</v>
      </c>
      <c r="BE79" s="13">
        <f>BD79*VLOOKUP('Données projet'!$B$11,Paramètres!$A$1:$I$89,3,0)*VLOOKUP('Données projet'!$B$11,Paramètres!$A$1:$I$89,5,0)</f>
        <v>1.3596945791505279E-13</v>
      </c>
      <c r="BF79" s="13">
        <f t="shared" si="91"/>
        <v>1.9708830566360721E-12</v>
      </c>
      <c r="BG79" s="20">
        <f t="shared" si="61"/>
        <v>3.669434796176543E-12</v>
      </c>
      <c r="BH79" s="59">
        <f t="shared" si="62"/>
        <v>287.2723960952161</v>
      </c>
      <c r="BI79" s="59">
        <f ca="1">AVERAGE(OFFSET($BH$3,0,0,'Données projet'!$E$11+1,1))-AVERAGE(OFFSET($H$3,0,0,'Données projet'!$E$11+1,1))</f>
        <v>352.88552266225872</v>
      </c>
      <c r="BJ79" s="59">
        <f t="shared" si="92"/>
        <v>403.29115295154782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128.78509331442407</v>
      </c>
      <c r="BQ79" s="21">
        <f>EXP(-LN(2)/25)*BQ78+(1-EXP(-LN(2)/25))/(LN(2)/25)*Calculateur!BL79*Calculateur!BN79*VLOOKUP('Données projet'!$B$11,Paramètres!$A$1:$I$89,3,0)*0.475*44/12</f>
        <v>36.478034293728136</v>
      </c>
      <c r="BR79" s="21">
        <f>EXP(-LN(2)/2)*BR78+(1-EXP(-LN(2)/2))/(LN(2)/2)*BL79*BO79*VLOOKUP('Données projet'!$B$11,Paramètres!$A$1:$I$89,3,0)*0.475*44/12</f>
        <v>0.18601783445226647</v>
      </c>
      <c r="BS79" s="22">
        <f t="shared" si="63"/>
        <v>165.44914544260448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68.347017116876103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-2.2737367544323206E-13</v>
      </c>
      <c r="BZ79" s="13">
        <f>BY79*VLOOKUP('Données projet'!$B$12,Paramètres!$A$1:$I$89,3,0)*VLOOKUP('Données projet'!$B$12,Paramètres!$A$1:$I$89,5,0)</f>
        <v>-1.0049916454590858E-13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297.1442218517625</v>
      </c>
      <c r="CE79" s="59">
        <f t="shared" si="94"/>
        <v>326.0112787126069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136.77494498821</v>
      </c>
      <c r="CL79" s="21">
        <f>EXP(-LN(2)/25)*CL78+(1-EXP(-LN(2)/25))/(LN(2)/25)*Calculateur!CG79*Calculateur!CI79*VLOOKUP('Données projet'!$B$12,Paramètres!$A$1:$I$89,3,0)*0.475*44/12</f>
        <v>37.127898948579187</v>
      </c>
      <c r="CM79" s="21">
        <f>EXP(-LN(2)/2)*CM78+(1-EXP(-LN(2)/2))/(LN(2)/2)*CG79*CJ79*VLOOKUP('Données projet'!$B$12,Paramètres!$A$1:$I$89,3,0)*0.475*44/12</f>
        <v>0.16766849919282026</v>
      </c>
      <c r="CN79" s="22">
        <f t="shared" si="66"/>
        <v>174.07051243598198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68.347017116876103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2.2737367544323206E-13</v>
      </c>
      <c r="CU79" s="17">
        <f>CT79*VLOOKUP('Données projet'!$B$13,Paramètres!$A$1:$I$89,3,0)*VLOOKUP('Données projet'!$B$13,Paramètres!$A$1:$I$89,5,0)</f>
        <v>1.3596945791505279E-13</v>
      </c>
      <c r="CV79" s="13">
        <f t="shared" si="95"/>
        <v>1.9708830566360721E-12</v>
      </c>
      <c r="CW79" s="20">
        <f t="shared" si="67"/>
        <v>3.669434796176543E-12</v>
      </c>
      <c r="CX79" s="59">
        <f t="shared" si="68"/>
        <v>287.2723960952161</v>
      </c>
      <c r="CY79" s="59">
        <f ca="1">AVERAGE(OFFSET($CX$3,0,0,'Données projet'!$E$13+1,1))-AVERAGE(OFFSET($H$3,0,0,'Données projet'!$E$13+1,1))</f>
        <v>352.88552266225872</v>
      </c>
      <c r="CZ79" s="59">
        <f t="shared" si="96"/>
        <v>403.29115295154782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128.78509331442407</v>
      </c>
      <c r="DG79" s="21">
        <f>EXP(-LN(2)/25)*DG78+(1-EXP(-LN(2)/25))/(LN(2)/25)*Calculateur!DB79*Calculateur!DD79*VLOOKUP('Données projet'!$B$13,Paramètres!$A$1:$I$89,3,0)*0.475*44/12</f>
        <v>36.478034293728136</v>
      </c>
      <c r="DH79" s="21">
        <f>EXP(-LN(2)/2)*DH78+(1-EXP(-LN(2)/2))/(LN(2)/2)*DB79*DE79*VLOOKUP('Données projet'!$B$13,Paramètres!$A$1:$I$89,3,0)*0.475*44/12</f>
        <v>0.18601783445226647</v>
      </c>
      <c r="DI79" s="22">
        <f t="shared" si="69"/>
        <v>165.44914544260448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68.347017116876103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68.347017116876103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68.347017116876103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68.347017116876103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68.347017116876103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1.25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4.583333333333333</v>
      </c>
      <c r="H80" s="67">
        <f t="shared" si="56"/>
        <v>238.33333333333334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68.375692674382208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298.39999999999992</v>
      </c>
      <c r="O80" s="13">
        <f>N80*VLOOKUP('Données projet'!$B$9,Paramètres!$A$1:$I$89,3,0)*VLOOKUP('Données projet'!$B$9,Paramètres!$A$1:$I$89,5,0)</f>
        <v>269.99231999999995</v>
      </c>
      <c r="P80" s="13">
        <f t="shared" si="87"/>
        <v>64.847639395310239</v>
      </c>
      <c r="Q80" s="20">
        <f t="shared" si="54"/>
        <v>583.17959594683191</v>
      </c>
      <c r="R80" s="59">
        <f t="shared" si="55"/>
        <v>870.55713575289997</v>
      </c>
      <c r="S80" s="59">
        <f ca="1">AVERAGE(OFFSET($R$3,0,0,'Données projet'!$E$9+1,1))-AVERAGE(OFFSET($H$3,0,0,'Données projet'!$E$9+1,1))</f>
        <v>467.10712490977266</v>
      </c>
      <c r="T80" s="59">
        <f t="shared" si="88"/>
        <v>282.99426855025968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25.156621781778799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25.156621781778799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68.375692674382208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231.23879999999991</v>
      </c>
      <c r="AK80" s="13">
        <f t="shared" si="89"/>
        <v>56.55045525673966</v>
      </c>
      <c r="AL80" s="20">
        <f t="shared" si="58"/>
        <v>501.23295290548805</v>
      </c>
      <c r="AM80" s="59">
        <f t="shared" si="59"/>
        <v>788.61049271155616</v>
      </c>
      <c r="AN80" s="59">
        <f ca="1">AVERAGE(OFFSET($AM$3,0,0,'Données projet'!$E$10+1,1))-AVERAGE(OFFSET($H$3,0,0,'Données projet'!$E$10+1,1))</f>
        <v>399.57236812003225</v>
      </c>
      <c r="AO80" s="59">
        <f t="shared" si="90"/>
        <v>245.95971136213691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19.843369767523793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19.843369767523793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68.375692674382208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2.2737367544323206E-13</v>
      </c>
      <c r="BE80" s="13">
        <f>BD80*VLOOKUP('Données projet'!$B$11,Paramètres!$A$1:$I$89,3,0)*VLOOKUP('Données projet'!$B$11,Paramètres!$A$1:$I$89,5,0)</f>
        <v>1.3596945791505279E-13</v>
      </c>
      <c r="BF80" s="13">
        <f t="shared" si="91"/>
        <v>1.9708830566360721E-12</v>
      </c>
      <c r="BG80" s="20">
        <f t="shared" si="61"/>
        <v>3.669434796176543E-12</v>
      </c>
      <c r="BH80" s="59">
        <f t="shared" si="62"/>
        <v>287.37753980607181</v>
      </c>
      <c r="BI80" s="59">
        <f ca="1">AVERAGE(OFFSET($BH$3,0,0,'Données projet'!$E$11+1,1))-AVERAGE(OFFSET($H$3,0,0,'Données projet'!$E$11+1,1))</f>
        <v>352.88552266225872</v>
      </c>
      <c r="BJ80" s="59">
        <f t="shared" si="92"/>
        <v>403.29115295154782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126.25969618567886</v>
      </c>
      <c r="BQ80" s="21">
        <f>EXP(-LN(2)/25)*BQ79+(1-EXP(-LN(2)/25))/(LN(2)/25)*Calculateur!BL80*Calculateur!BN80*VLOOKUP('Données projet'!$B$11,Paramètres!$A$1:$I$89,3,0)*0.475*44/12</f>
        <v>35.480540527669689</v>
      </c>
      <c r="BR80" s="21">
        <f>EXP(-LN(2)/2)*BR79+(1-EXP(-LN(2)/2))/(LN(2)/2)*BL80*BO80*VLOOKUP('Données projet'!$B$11,Paramètres!$A$1:$I$89,3,0)*0.475*44/12</f>
        <v>0.1315344721628342</v>
      </c>
      <c r="BS80" s="22">
        <f t="shared" si="63"/>
        <v>161.87177118551139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68.375692674382208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-2.2737367544323206E-13</v>
      </c>
      <c r="BZ80" s="13">
        <f>BY80*VLOOKUP('Données projet'!$B$12,Paramètres!$A$1:$I$89,3,0)*VLOOKUP('Données projet'!$B$12,Paramètres!$A$1:$I$89,5,0)</f>
        <v>-1.0049916454590858E-13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297.1442218517625</v>
      </c>
      <c r="CE80" s="59">
        <f t="shared" si="94"/>
        <v>326.0112787126069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134.09287174147016</v>
      </c>
      <c r="CL80" s="21">
        <f>EXP(-LN(2)/25)*CL79+(1-EXP(-LN(2)/25))/(LN(2)/25)*Calculateur!CG80*Calculateur!CI80*VLOOKUP('Données projet'!$B$12,Paramètres!$A$1:$I$89,3,0)*0.475*44/12</f>
        <v>36.112634599358941</v>
      </c>
      <c r="CM80" s="21">
        <f>EXP(-LN(2)/2)*CM79+(1-EXP(-LN(2)/2))/(LN(2)/2)*CG80*CJ80*VLOOKUP('Données projet'!$B$12,Paramètres!$A$1:$I$89,3,0)*0.475*44/12</f>
        <v>0.11855953277061439</v>
      </c>
      <c r="CN80" s="22">
        <f t="shared" si="66"/>
        <v>170.32406587359972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68.375692674382208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2.2737367544323206E-13</v>
      </c>
      <c r="CU80" s="17">
        <f>CT80*VLOOKUP('Données projet'!$B$13,Paramètres!$A$1:$I$89,3,0)*VLOOKUP('Données projet'!$B$13,Paramètres!$A$1:$I$89,5,0)</f>
        <v>1.3596945791505279E-13</v>
      </c>
      <c r="CV80" s="13">
        <f t="shared" si="95"/>
        <v>1.9708830566360721E-12</v>
      </c>
      <c r="CW80" s="20">
        <f t="shared" si="67"/>
        <v>3.669434796176543E-12</v>
      </c>
      <c r="CX80" s="59">
        <f t="shared" si="68"/>
        <v>287.37753980607181</v>
      </c>
      <c r="CY80" s="59">
        <f ca="1">AVERAGE(OFFSET($CX$3,0,0,'Données projet'!$E$13+1,1))-AVERAGE(OFFSET($H$3,0,0,'Données projet'!$E$13+1,1))</f>
        <v>352.88552266225872</v>
      </c>
      <c r="CZ80" s="59">
        <f t="shared" si="96"/>
        <v>403.29115295154782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126.25969618567886</v>
      </c>
      <c r="DG80" s="21">
        <f>EXP(-LN(2)/25)*DG79+(1-EXP(-LN(2)/25))/(LN(2)/25)*Calculateur!DB80*Calculateur!DD80*VLOOKUP('Données projet'!$B$13,Paramètres!$A$1:$I$89,3,0)*0.475*44/12</f>
        <v>35.480540527669689</v>
      </c>
      <c r="DH80" s="21">
        <f>EXP(-LN(2)/2)*DH79+(1-EXP(-LN(2)/2))/(LN(2)/2)*DB80*DE80*VLOOKUP('Données projet'!$B$13,Paramètres!$A$1:$I$89,3,0)*0.475*44/12</f>
        <v>0.1315344721628342</v>
      </c>
      <c r="DI80" s="22">
        <f t="shared" si="69"/>
        <v>161.87177118551139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68.375692674382208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68.375692674382208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68.375692674382208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68.375692674382208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68.375692674382208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1.25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4.583333333333333</v>
      </c>
      <c r="H81" s="67">
        <f t="shared" si="56"/>
        <v>238.33333333333334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68.403870775074509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305.59999999999991</v>
      </c>
      <c r="O81" s="13">
        <f>N81*VLOOKUP('Données projet'!$B$9,Paramètres!$A$1:$I$89,3,0)*VLOOKUP('Données projet'!$B$9,Paramètres!$A$1:$I$89,5,0)</f>
        <v>276.50687999999991</v>
      </c>
      <c r="P81" s="13">
        <f t="shared" si="87"/>
        <v>66.228273722513677</v>
      </c>
      <c r="Q81" s="20">
        <f t="shared" si="54"/>
        <v>596.93039273337774</v>
      </c>
      <c r="R81" s="59">
        <f t="shared" si="55"/>
        <v>884.41125224198436</v>
      </c>
      <c r="S81" s="59">
        <f ca="1">AVERAGE(OFFSET($R$3,0,0,'Données projet'!$E$9+1,1))-AVERAGE(OFFSET($H$3,0,0,'Données projet'!$E$9+1,1))</f>
        <v>467.10712490977266</v>
      </c>
      <c r="T81" s="59">
        <f t="shared" si="88"/>
        <v>282.99426855025968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24.663315772662308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24.663315772662308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68.403870775074509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236.94839999999991</v>
      </c>
      <c r="AK81" s="13">
        <f t="shared" si="89"/>
        <v>57.782475694292401</v>
      </c>
      <c r="AL81" s="20">
        <f t="shared" si="58"/>
        <v>513.32294183422573</v>
      </c>
      <c r="AM81" s="59">
        <f t="shared" si="59"/>
        <v>800.80380134283223</v>
      </c>
      <c r="AN81" s="59">
        <f ca="1">AVERAGE(OFFSET($AM$3,0,0,'Données projet'!$E$10+1,1))-AVERAGE(OFFSET($H$3,0,0,'Données projet'!$E$10+1,1))</f>
        <v>399.57236812003225</v>
      </c>
      <c r="AO81" s="59">
        <f t="shared" si="90"/>
        <v>245.95971136213691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19.45425338964311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19.45425338964311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68.403870775074509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2.2737367544323206E-13</v>
      </c>
      <c r="BE81" s="13">
        <f>BD81*VLOOKUP('Données projet'!$B$11,Paramètres!$A$1:$I$89,3,0)*VLOOKUP('Données projet'!$B$11,Paramètres!$A$1:$I$89,5,0)</f>
        <v>1.3596945791505279E-13</v>
      </c>
      <c r="BF81" s="13">
        <f t="shared" si="91"/>
        <v>1.9708830566360721E-12</v>
      </c>
      <c r="BG81" s="20">
        <f t="shared" si="61"/>
        <v>3.669434796176543E-12</v>
      </c>
      <c r="BH81" s="59">
        <f t="shared" si="62"/>
        <v>287.48085950861025</v>
      </c>
      <c r="BI81" s="59">
        <f ca="1">AVERAGE(OFFSET($BH$3,0,0,'Données projet'!$E$11+1,1))-AVERAGE(OFFSET($H$3,0,0,'Données projet'!$E$11+1,1))</f>
        <v>352.88552266225872</v>
      </c>
      <c r="BJ81" s="59">
        <f t="shared" si="92"/>
        <v>403.29115295154782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123.78382055428818</v>
      </c>
      <c r="BQ81" s="21">
        <f>EXP(-LN(2)/25)*BQ80+(1-EXP(-LN(2)/25))/(LN(2)/25)*Calculateur!BL81*Calculateur!BN81*VLOOKUP('Données projet'!$B$11,Paramètres!$A$1:$I$89,3,0)*0.475*44/12</f>
        <v>34.510323281100028</v>
      </c>
      <c r="BR81" s="21">
        <f>EXP(-LN(2)/2)*BR80+(1-EXP(-LN(2)/2))/(LN(2)/2)*BL81*BO81*VLOOKUP('Données projet'!$B$11,Paramètres!$A$1:$I$89,3,0)*0.475*44/12</f>
        <v>9.3008917226133234E-2</v>
      </c>
      <c r="BS81" s="22">
        <f t="shared" si="63"/>
        <v>158.38715275261436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68.403870775074509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-2.2737367544323206E-13</v>
      </c>
      <c r="BZ81" s="13">
        <f>BY81*VLOOKUP('Données projet'!$B$12,Paramètres!$A$1:$I$89,3,0)*VLOOKUP('Données projet'!$B$12,Paramètres!$A$1:$I$89,5,0)</f>
        <v>-1.0049916454590858E-13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297.1442218517625</v>
      </c>
      <c r="CE81" s="59">
        <f t="shared" si="94"/>
        <v>326.0112787126069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131.46339231519573</v>
      </c>
      <c r="CL81" s="21">
        <f>EXP(-LN(2)/25)*CL80+(1-EXP(-LN(2)/25))/(LN(2)/25)*Calculateur!CG81*Calculateur!CI81*VLOOKUP('Données projet'!$B$12,Paramètres!$A$1:$I$89,3,0)*0.475*44/12</f>
        <v>35.125132707158556</v>
      </c>
      <c r="CM81" s="21">
        <f>EXP(-LN(2)/2)*CM80+(1-EXP(-LN(2)/2))/(LN(2)/2)*CG81*CJ81*VLOOKUP('Données projet'!$B$12,Paramètres!$A$1:$I$89,3,0)*0.475*44/12</f>
        <v>8.3834249596410143E-2</v>
      </c>
      <c r="CN81" s="22">
        <f t="shared" si="66"/>
        <v>166.67235927195071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68.403870775074509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2.2737367544323206E-13</v>
      </c>
      <c r="CU81" s="17">
        <f>CT81*VLOOKUP('Données projet'!$B$13,Paramètres!$A$1:$I$89,3,0)*VLOOKUP('Données projet'!$B$13,Paramètres!$A$1:$I$89,5,0)</f>
        <v>1.3596945791505279E-13</v>
      </c>
      <c r="CV81" s="13">
        <f t="shared" si="95"/>
        <v>1.9708830566360721E-12</v>
      </c>
      <c r="CW81" s="20">
        <f t="shared" si="67"/>
        <v>3.669434796176543E-12</v>
      </c>
      <c r="CX81" s="59">
        <f t="shared" si="68"/>
        <v>287.48085950861025</v>
      </c>
      <c r="CY81" s="59">
        <f ca="1">AVERAGE(OFFSET($CX$3,0,0,'Données projet'!$E$13+1,1))-AVERAGE(OFFSET($H$3,0,0,'Données projet'!$E$13+1,1))</f>
        <v>352.88552266225872</v>
      </c>
      <c r="CZ81" s="59">
        <f t="shared" si="96"/>
        <v>403.29115295154782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123.78382055428818</v>
      </c>
      <c r="DG81" s="21">
        <f>EXP(-LN(2)/25)*DG80+(1-EXP(-LN(2)/25))/(LN(2)/25)*Calculateur!DB81*Calculateur!DD81*VLOOKUP('Données projet'!$B$13,Paramètres!$A$1:$I$89,3,0)*0.475*44/12</f>
        <v>34.510323281100028</v>
      </c>
      <c r="DH81" s="21">
        <f>EXP(-LN(2)/2)*DH80+(1-EXP(-LN(2)/2))/(LN(2)/2)*DB81*DE81*VLOOKUP('Données projet'!$B$13,Paramètres!$A$1:$I$89,3,0)*0.475*44/12</f>
        <v>9.3008917226133234E-2</v>
      </c>
      <c r="DI81" s="22">
        <f t="shared" si="69"/>
        <v>158.38715275261436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68.403870775074509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68.403870775074509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68.403870775074509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68.403870775074509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68.403870775074509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1.25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4.583333333333333</v>
      </c>
      <c r="H82" s="67">
        <f t="shared" si="56"/>
        <v>238.33333333333334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68.431560048716619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312.7999999999999</v>
      </c>
      <c r="O82" s="13">
        <f>N82*VLOOKUP('Données projet'!$B$9,Paramètres!$A$1:$I$89,3,0)*VLOOKUP('Données projet'!$B$9,Paramètres!$A$1:$I$89,5,0)</f>
        <v>283.02143999999987</v>
      </c>
      <c r="P82" s="13">
        <f t="shared" si="87"/>
        <v>67.605126603830598</v>
      </c>
      <c r="Q82" s="20">
        <f t="shared" si="54"/>
        <v>610.67460350167141</v>
      </c>
      <c r="R82" s="59">
        <f t="shared" si="55"/>
        <v>898.25699034696572</v>
      </c>
      <c r="S82" s="59">
        <f ca="1">AVERAGE(OFFSET($R$3,0,0,'Données projet'!$E$9+1,1))-AVERAGE(OFFSET($H$3,0,0,'Données projet'!$E$9+1,1))</f>
        <v>467.10712490977266</v>
      </c>
      <c r="T82" s="59">
        <f t="shared" si="88"/>
        <v>282.99426855025968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24.179683193497635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24.179683193497635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68.431560048716619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242.6579999999999</v>
      </c>
      <c r="AK82" s="13">
        <f t="shared" si="89"/>
        <v>59.011045025839607</v>
      </c>
      <c r="AL82" s="20">
        <f t="shared" si="58"/>
        <v>525.40692008667054</v>
      </c>
      <c r="AM82" s="59">
        <f t="shared" si="59"/>
        <v>812.98930693196485</v>
      </c>
      <c r="AN82" s="59">
        <f ca="1">AVERAGE(OFFSET($AM$3,0,0,'Données projet'!$E$10+1,1))-AVERAGE(OFFSET($H$3,0,0,'Données projet'!$E$10+1,1))</f>
        <v>399.57236812003225</v>
      </c>
      <c r="AO82" s="59">
        <f t="shared" si="90"/>
        <v>245.95971136213691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19.072767346595114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19.072767346595114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68.431560048716619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2.2737367544323206E-13</v>
      </c>
      <c r="BE82" s="13">
        <f>BD82*VLOOKUP('Données projet'!$B$11,Paramètres!$A$1:$I$89,3,0)*VLOOKUP('Données projet'!$B$11,Paramètres!$A$1:$I$89,5,0)</f>
        <v>1.3596945791505279E-13</v>
      </c>
      <c r="BF82" s="13">
        <f t="shared" si="91"/>
        <v>1.9708830566360721E-12</v>
      </c>
      <c r="BG82" s="20">
        <f t="shared" si="61"/>
        <v>3.669434796176543E-12</v>
      </c>
      <c r="BH82" s="59">
        <f t="shared" si="62"/>
        <v>287.58238684529795</v>
      </c>
      <c r="BI82" s="59">
        <f ca="1">AVERAGE(OFFSET($BH$3,0,0,'Données projet'!$E$11+1,1))-AVERAGE(OFFSET($H$3,0,0,'Données projet'!$E$11+1,1))</f>
        <v>352.88552266225872</v>
      </c>
      <c r="BJ82" s="59">
        <f t="shared" si="92"/>
        <v>403.29115295154782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121.35649533389406</v>
      </c>
      <c r="BQ82" s="21">
        <f>EXP(-LN(2)/25)*BQ81+(1-EXP(-LN(2)/25))/(LN(2)/25)*Calculateur!BL82*Calculateur!BN82*VLOOKUP('Données projet'!$B$11,Paramètres!$A$1:$I$89,3,0)*0.475*44/12</f>
        <v>33.56663667615932</v>
      </c>
      <c r="BR82" s="21">
        <f>EXP(-LN(2)/2)*BR81+(1-EXP(-LN(2)/2))/(LN(2)/2)*BL82*BO82*VLOOKUP('Données projet'!$B$11,Paramètres!$A$1:$I$89,3,0)*0.475*44/12</f>
        <v>6.5767236081417102E-2</v>
      </c>
      <c r="BS82" s="22">
        <f t="shared" si="63"/>
        <v>154.98889924613482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68.431560048716619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-2.2737367544323206E-13</v>
      </c>
      <c r="BZ82" s="13">
        <f>BY82*VLOOKUP('Données projet'!$B$12,Paramètres!$A$1:$I$89,3,0)*VLOOKUP('Données projet'!$B$12,Paramètres!$A$1:$I$89,5,0)</f>
        <v>-1.0049916454590858E-13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297.1442218517625</v>
      </c>
      <c r="CE82" s="59">
        <f t="shared" si="94"/>
        <v>326.0112787126069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128.88547537664647</v>
      </c>
      <c r="CL82" s="21">
        <f>EXP(-LN(2)/25)*CL81+(1-EXP(-LN(2)/25))/(LN(2)/25)*Calculateur!CG82*Calculateur!CI82*VLOOKUP('Données projet'!$B$12,Paramètres!$A$1:$I$89,3,0)*0.475*44/12</f>
        <v>34.164634106130855</v>
      </c>
      <c r="CM82" s="21">
        <f>EXP(-LN(2)/2)*CM81+(1-EXP(-LN(2)/2))/(LN(2)/2)*CG82*CJ82*VLOOKUP('Données projet'!$B$12,Paramètres!$A$1:$I$89,3,0)*0.475*44/12</f>
        <v>5.92797663853072E-2</v>
      </c>
      <c r="CN82" s="22">
        <f t="shared" si="66"/>
        <v>163.10938924916263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68.431560048716619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2.2737367544323206E-13</v>
      </c>
      <c r="CU82" s="17">
        <f>CT82*VLOOKUP('Données projet'!$B$13,Paramètres!$A$1:$I$89,3,0)*VLOOKUP('Données projet'!$B$13,Paramètres!$A$1:$I$89,5,0)</f>
        <v>1.3596945791505279E-13</v>
      </c>
      <c r="CV82" s="13">
        <f t="shared" si="95"/>
        <v>1.9708830566360721E-12</v>
      </c>
      <c r="CW82" s="20">
        <f t="shared" si="67"/>
        <v>3.669434796176543E-12</v>
      </c>
      <c r="CX82" s="59">
        <f t="shared" si="68"/>
        <v>287.58238684529795</v>
      </c>
      <c r="CY82" s="59">
        <f ca="1">AVERAGE(OFFSET($CX$3,0,0,'Données projet'!$E$13+1,1))-AVERAGE(OFFSET($H$3,0,0,'Données projet'!$E$13+1,1))</f>
        <v>352.88552266225872</v>
      </c>
      <c r="CZ82" s="59">
        <f t="shared" si="96"/>
        <v>403.29115295154782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121.35649533389406</v>
      </c>
      <c r="DG82" s="21">
        <f>EXP(-LN(2)/25)*DG81+(1-EXP(-LN(2)/25))/(LN(2)/25)*Calculateur!DB82*Calculateur!DD82*VLOOKUP('Données projet'!$B$13,Paramètres!$A$1:$I$89,3,0)*0.475*44/12</f>
        <v>33.56663667615932</v>
      </c>
      <c r="DH82" s="21">
        <f>EXP(-LN(2)/2)*DH81+(1-EXP(-LN(2)/2))/(LN(2)/2)*DB82*DE82*VLOOKUP('Données projet'!$B$13,Paramètres!$A$1:$I$89,3,0)*0.475*44/12</f>
        <v>6.5767236081417102E-2</v>
      </c>
      <c r="DI82" s="22">
        <f t="shared" si="69"/>
        <v>154.98889924613482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68.431560048716619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68.431560048716619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68.431560048716619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68.431560048716619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68.431560048716619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1.25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4.583333333333333</v>
      </c>
      <c r="H83" s="67">
        <f t="shared" si="56"/>
        <v>238.33333333333334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68.458768975364961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319.99999999999989</v>
      </c>
      <c r="O83" s="13">
        <f>N83*VLOOKUP('Données projet'!$B$9,Paramètres!$A$1:$I$89,3,0)*VLOOKUP('Données projet'!$B$9,Paramètres!$A$1:$I$89,5,0)</f>
        <v>289.53599999999989</v>
      </c>
      <c r="P83" s="13">
        <f t="shared" si="87"/>
        <v>68.97829509904436</v>
      </c>
      <c r="Q83" s="20">
        <f t="shared" si="54"/>
        <v>624.41239729750203</v>
      </c>
      <c r="R83" s="59">
        <f t="shared" si="55"/>
        <v>912.0945502071736</v>
      </c>
      <c r="S83" s="59">
        <f ca="1">AVERAGE(OFFSET($R$3,0,0,'Données projet'!$E$9+1,1))-AVERAGE(OFFSET($H$3,0,0,'Données projet'!$E$9+1,1))</f>
        <v>467.10712490977266</v>
      </c>
      <c r="T83" s="59">
        <f t="shared" si="88"/>
        <v>282.99426855025968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30.931192980299443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30.931192980299443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68.458768975364961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248.3675999999999</v>
      </c>
      <c r="AK83" s="13">
        <f t="shared" si="89"/>
        <v>60.236253798706286</v>
      </c>
      <c r="AL83" s="20">
        <f t="shared" si="58"/>
        <v>537.48504536607982</v>
      </c>
      <c r="AM83" s="59">
        <f t="shared" si="59"/>
        <v>825.16719827575139</v>
      </c>
      <c r="AN83" s="59">
        <f ca="1">AVERAGE(OFFSET($AM$3,0,0,'Données projet'!$E$10+1,1))-AVERAGE(OFFSET($H$3,0,0,'Données projet'!$E$10+1,1))</f>
        <v>399.57236812003225</v>
      </c>
      <c r="AO83" s="59">
        <f t="shared" si="90"/>
        <v>245.95971136213691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24.398311704287924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24.398311704287924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68.458768975364961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2.2737367544323206E-13</v>
      </c>
      <c r="BE83" s="13">
        <f>BD83*VLOOKUP('Données projet'!$B$11,Paramètres!$A$1:$I$89,3,0)*VLOOKUP('Données projet'!$B$11,Paramètres!$A$1:$I$89,5,0)</f>
        <v>1.3596945791505279E-13</v>
      </c>
      <c r="BF83" s="13">
        <f t="shared" si="91"/>
        <v>1.9708830566360721E-12</v>
      </c>
      <c r="BG83" s="20">
        <f t="shared" si="61"/>
        <v>3.669434796176543E-12</v>
      </c>
      <c r="BH83" s="59">
        <f t="shared" si="62"/>
        <v>287.68215290967521</v>
      </c>
      <c r="BI83" s="59">
        <f ca="1">AVERAGE(OFFSET($BH$3,0,0,'Données projet'!$E$11+1,1))-AVERAGE(OFFSET($H$3,0,0,'Données projet'!$E$11+1,1))</f>
        <v>352.88552266225872</v>
      </c>
      <c r="BJ83" s="59">
        <f t="shared" si="92"/>
        <v>403.29115295154782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118.97676848054967</v>
      </c>
      <c r="BQ83" s="21">
        <f>EXP(-LN(2)/25)*BQ82+(1-EXP(-LN(2)/25))/(LN(2)/25)*Calculateur!BL83*Calculateur!BN83*VLOOKUP('Données projet'!$B$11,Paramètres!$A$1:$I$89,3,0)*0.475*44/12</f>
        <v>32.648755231057038</v>
      </c>
      <c r="BR83" s="21">
        <f>EXP(-LN(2)/2)*BR82+(1-EXP(-LN(2)/2))/(LN(2)/2)*BL83*BO83*VLOOKUP('Données projet'!$B$11,Paramètres!$A$1:$I$89,3,0)*0.475*44/12</f>
        <v>4.6504458613066617E-2</v>
      </c>
      <c r="BS83" s="22">
        <f t="shared" si="63"/>
        <v>151.67202817021979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68.458768975364961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-2.2737367544323206E-13</v>
      </c>
      <c r="BZ83" s="13">
        <f>BY83*VLOOKUP('Données projet'!$B$12,Paramètres!$A$1:$I$89,3,0)*VLOOKUP('Données projet'!$B$12,Paramètres!$A$1:$I$89,5,0)</f>
        <v>-1.0049916454590858E-13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297.1442218517625</v>
      </c>
      <c r="CE83" s="59">
        <f t="shared" si="94"/>
        <v>326.0112787126069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126.35810981688809</v>
      </c>
      <c r="CL83" s="21">
        <f>EXP(-LN(2)/25)*CL82+(1-EXP(-LN(2)/25))/(LN(2)/25)*Calculateur!CG83*Calculateur!CI83*VLOOKUP('Données projet'!$B$12,Paramètres!$A$1:$I$89,3,0)*0.475*44/12</f>
        <v>33.23040038985868</v>
      </c>
      <c r="CM83" s="21">
        <f>EXP(-LN(2)/2)*CM82+(1-EXP(-LN(2)/2))/(LN(2)/2)*CG83*CJ83*VLOOKUP('Données projet'!$B$12,Paramètres!$A$1:$I$89,3,0)*0.475*44/12</f>
        <v>4.1917124798205078E-2</v>
      </c>
      <c r="CN83" s="22">
        <f t="shared" si="66"/>
        <v>159.63042733154498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68.458768975364961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2.2737367544323206E-13</v>
      </c>
      <c r="CU83" s="17">
        <f>CT83*VLOOKUP('Données projet'!$B$13,Paramètres!$A$1:$I$89,3,0)*VLOOKUP('Données projet'!$B$13,Paramètres!$A$1:$I$89,5,0)</f>
        <v>1.3596945791505279E-13</v>
      </c>
      <c r="CV83" s="13">
        <f t="shared" si="95"/>
        <v>1.9708830566360721E-12</v>
      </c>
      <c r="CW83" s="20">
        <f t="shared" si="67"/>
        <v>3.669434796176543E-12</v>
      </c>
      <c r="CX83" s="59">
        <f t="shared" si="68"/>
        <v>287.68215290967521</v>
      </c>
      <c r="CY83" s="59">
        <f ca="1">AVERAGE(OFFSET($CX$3,0,0,'Données projet'!$E$13+1,1))-AVERAGE(OFFSET($H$3,0,0,'Données projet'!$E$13+1,1))</f>
        <v>352.88552266225872</v>
      </c>
      <c r="CZ83" s="59">
        <f t="shared" si="96"/>
        <v>403.29115295154782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118.97676848054967</v>
      </c>
      <c r="DG83" s="21">
        <f>EXP(-LN(2)/25)*DG82+(1-EXP(-LN(2)/25))/(LN(2)/25)*Calculateur!DB83*Calculateur!DD83*VLOOKUP('Données projet'!$B$13,Paramètres!$A$1:$I$89,3,0)*0.475*44/12</f>
        <v>32.648755231057038</v>
      </c>
      <c r="DH83" s="21">
        <f>EXP(-LN(2)/2)*DH82+(1-EXP(-LN(2)/2))/(LN(2)/2)*DB83*DE83*VLOOKUP('Données projet'!$B$13,Paramètres!$A$1:$I$89,3,0)*0.475*44/12</f>
        <v>4.6504458613066617E-2</v>
      </c>
      <c r="DI83" s="22">
        <f t="shared" si="69"/>
        <v>151.67202817021979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68.458768975364961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68.458768975364961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68.458768975364961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68.458768975364961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68.458768975364961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1.25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4.583333333333333</v>
      </c>
      <c r="H84" s="67">
        <f t="shared" si="56"/>
        <v>238.33333333333334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68.485505887966013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298.59999999999991</v>
      </c>
      <c r="O84" s="13">
        <f>N84*VLOOKUP('Données projet'!$B$9,Paramètres!$A$1:$I$89,3,0)*VLOOKUP('Données projet'!$B$9,Paramètres!$A$1:$I$89,5,0)</f>
        <v>270.17327999999992</v>
      </c>
      <c r="P84" s="13">
        <f t="shared" si="87"/>
        <v>64.886042303882988</v>
      </c>
      <c r="Q84" s="20">
        <f t="shared" si="54"/>
        <v>583.56165301259614</v>
      </c>
      <c r="R84" s="59">
        <f t="shared" si="55"/>
        <v>871.34184126847151</v>
      </c>
      <c r="S84" s="59">
        <f ca="1">AVERAGE(OFFSET($R$3,0,0,'Données projet'!$E$9+1,1))-AVERAGE(OFFSET($H$3,0,0,'Données projet'!$E$9+1,1))</f>
        <v>467.10712490977266</v>
      </c>
      <c r="T84" s="59">
        <f t="shared" si="88"/>
        <v>282.99426855025968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30.324651152120609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30.324651152120609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68.485505887966013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233.90327999999991</v>
      </c>
      <c r="AK84" s="13">
        <f t="shared" si="89"/>
        <v>57.125833544518095</v>
      </c>
      <c r="AL84" s="20">
        <f t="shared" si="58"/>
        <v>506.87570609003546</v>
      </c>
      <c r="AM84" s="59">
        <f t="shared" si="59"/>
        <v>794.65589434591084</v>
      </c>
      <c r="AN84" s="59">
        <f ca="1">AVERAGE(OFFSET($AM$3,0,0,'Données projet'!$E$10+1,1))-AVERAGE(OFFSET($H$3,0,0,'Données projet'!$E$10+1,1))</f>
        <v>399.57236812003225</v>
      </c>
      <c r="AO84" s="59">
        <f t="shared" si="90"/>
        <v>245.95971136213691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23.919875693267549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23.919875693267549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68.485505887966013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2.2737367544323206E-13</v>
      </c>
      <c r="BE84" s="13">
        <f>BD84*VLOOKUP('Données projet'!$B$11,Paramètres!$A$1:$I$89,3,0)*VLOOKUP('Données projet'!$B$11,Paramètres!$A$1:$I$89,5,0)</f>
        <v>1.3596945791505279E-13</v>
      </c>
      <c r="BF84" s="13">
        <f t="shared" si="91"/>
        <v>1.9708830566360721E-12</v>
      </c>
      <c r="BG84" s="20">
        <f t="shared" si="61"/>
        <v>3.669434796176543E-12</v>
      </c>
      <c r="BH84" s="59">
        <f t="shared" si="62"/>
        <v>287.78018825587907</v>
      </c>
      <c r="BI84" s="59">
        <f ca="1">AVERAGE(OFFSET($BH$3,0,0,'Données projet'!$E$11+1,1))-AVERAGE(OFFSET($H$3,0,0,'Données projet'!$E$11+1,1))</f>
        <v>352.88552266225872</v>
      </c>
      <c r="BJ84" s="59">
        <f t="shared" si="92"/>
        <v>403.29115295154782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116.6437066193093</v>
      </c>
      <c r="BQ84" s="21">
        <f>EXP(-LN(2)/25)*BQ83+(1-EXP(-LN(2)/25))/(LN(2)/25)*Calculateur!BL84*Calculateur!BN84*VLOOKUP('Données projet'!$B$11,Paramètres!$A$1:$I$89,3,0)*0.475*44/12</f>
        <v>31.755973302340365</v>
      </c>
      <c r="BR84" s="21">
        <f>EXP(-LN(2)/2)*BR83+(1-EXP(-LN(2)/2))/(LN(2)/2)*BL84*BO84*VLOOKUP('Données projet'!$B$11,Paramètres!$A$1:$I$89,3,0)*0.475*44/12</f>
        <v>3.2883618040708551E-2</v>
      </c>
      <c r="BS84" s="22">
        <f t="shared" si="63"/>
        <v>148.43256353969036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68.485505887966013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-2.2737367544323206E-13</v>
      </c>
      <c r="BZ84" s="13">
        <f>BY84*VLOOKUP('Données projet'!$B$12,Paramètres!$A$1:$I$89,3,0)*VLOOKUP('Données projet'!$B$12,Paramètres!$A$1:$I$89,5,0)</f>
        <v>-1.0049916454590858E-13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297.1442218517625</v>
      </c>
      <c r="CE84" s="59">
        <f t="shared" si="94"/>
        <v>326.0112787126069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123.8803043542158</v>
      </c>
      <c r="CL84" s="21">
        <f>EXP(-LN(2)/25)*CL83+(1-EXP(-LN(2)/25))/(LN(2)/25)*Calculateur!CG84*Calculateur!CI84*VLOOKUP('Données projet'!$B$12,Paramètres!$A$1:$I$89,3,0)*0.475*44/12</f>
        <v>32.321713343687186</v>
      </c>
      <c r="CM84" s="21">
        <f>EXP(-LN(2)/2)*CM83+(1-EXP(-LN(2)/2))/(LN(2)/2)*CG84*CJ84*VLOOKUP('Données projet'!$B$12,Paramètres!$A$1:$I$89,3,0)*0.475*44/12</f>
        <v>2.9639883192653607E-2</v>
      </c>
      <c r="CN84" s="22">
        <f t="shared" si="66"/>
        <v>156.23165758109565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68.485505887966013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2.2737367544323206E-13</v>
      </c>
      <c r="CU84" s="17">
        <f>CT84*VLOOKUP('Données projet'!$B$13,Paramètres!$A$1:$I$89,3,0)*VLOOKUP('Données projet'!$B$13,Paramètres!$A$1:$I$89,5,0)</f>
        <v>1.3596945791505279E-13</v>
      </c>
      <c r="CV84" s="13">
        <f t="shared" si="95"/>
        <v>1.9708830566360721E-12</v>
      </c>
      <c r="CW84" s="20">
        <f t="shared" si="67"/>
        <v>3.669434796176543E-12</v>
      </c>
      <c r="CX84" s="59">
        <f t="shared" si="68"/>
        <v>287.78018825587907</v>
      </c>
      <c r="CY84" s="59">
        <f ca="1">AVERAGE(OFFSET($CX$3,0,0,'Données projet'!$E$13+1,1))-AVERAGE(OFFSET($H$3,0,0,'Données projet'!$E$13+1,1))</f>
        <v>352.88552266225872</v>
      </c>
      <c r="CZ84" s="59">
        <f t="shared" si="96"/>
        <v>403.29115295154782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116.6437066193093</v>
      </c>
      <c r="DG84" s="21">
        <f>EXP(-LN(2)/25)*DG83+(1-EXP(-LN(2)/25))/(LN(2)/25)*Calculateur!DB84*Calculateur!DD84*VLOOKUP('Données projet'!$B$13,Paramètres!$A$1:$I$89,3,0)*0.475*44/12</f>
        <v>31.755973302340365</v>
      </c>
      <c r="DH84" s="21">
        <f>EXP(-LN(2)/2)*DH83+(1-EXP(-LN(2)/2))/(LN(2)/2)*DB84*DE84*VLOOKUP('Données projet'!$B$13,Paramètres!$A$1:$I$89,3,0)*0.475*44/12</f>
        <v>3.2883618040708551E-2</v>
      </c>
      <c r="DI84" s="22">
        <f t="shared" si="69"/>
        <v>148.43256353969036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68.485505887966013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68.485505887966013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68.485505887966013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68.485505887966013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68.485505887966013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1.25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4.583333333333333</v>
      </c>
      <c r="H85" s="67">
        <f t="shared" si="56"/>
        <v>238.33333333333334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68.511778974908211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305.19999999999993</v>
      </c>
      <c r="O85" s="13">
        <f>N85*VLOOKUP('Données projet'!$B$9,Paramètres!$A$1:$I$89,3,0)*VLOOKUP('Données projet'!$B$9,Paramètres!$A$1:$I$89,5,0)</f>
        <v>276.14495999999991</v>
      </c>
      <c r="P85" s="13">
        <f t="shared" si="87"/>
        <v>66.151671938851194</v>
      </c>
      <c r="Q85" s="20">
        <f t="shared" si="54"/>
        <v>596.16663396016554</v>
      </c>
      <c r="R85" s="59">
        <f t="shared" si="55"/>
        <v>884.04315686816233</v>
      </c>
      <c r="S85" s="59">
        <f ca="1">AVERAGE(OFFSET($R$3,0,0,'Données projet'!$E$9+1,1))-AVERAGE(OFFSET($H$3,0,0,'Données projet'!$E$9+1,1))</f>
        <v>467.10712490977266</v>
      </c>
      <c r="T85" s="59">
        <f t="shared" si="88"/>
        <v>282.99426855025968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29.730003239238378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29.730003239238378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68.511778974908211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239.42255999999992</v>
      </c>
      <c r="AK85" s="13">
        <f t="shared" si="89"/>
        <v>58.315274040589699</v>
      </c>
      <c r="AL85" s="20">
        <f t="shared" si="58"/>
        <v>518.56006095402688</v>
      </c>
      <c r="AM85" s="59">
        <f t="shared" si="59"/>
        <v>806.43658386202367</v>
      </c>
      <c r="AN85" s="59">
        <f ca="1">AVERAGE(OFFSET($AM$3,0,0,'Données projet'!$E$10+1,1))-AVERAGE(OFFSET($H$3,0,0,'Données projet'!$E$10+1,1))</f>
        <v>399.57236812003225</v>
      </c>
      <c r="AO85" s="59">
        <f t="shared" si="90"/>
        <v>245.95971136213691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23.450821520606134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23.450821520606134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68.511778974908211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2.2737367544323206E-13</v>
      </c>
      <c r="BE85" s="13">
        <f>BD85*VLOOKUP('Données projet'!$B$11,Paramètres!$A$1:$I$89,3,0)*VLOOKUP('Données projet'!$B$11,Paramètres!$A$1:$I$89,5,0)</f>
        <v>1.3596945791505279E-13</v>
      </c>
      <c r="BF85" s="13">
        <f t="shared" si="91"/>
        <v>1.9708830566360721E-12</v>
      </c>
      <c r="BG85" s="20">
        <f t="shared" si="61"/>
        <v>3.669434796176543E-12</v>
      </c>
      <c r="BH85" s="59">
        <f t="shared" si="62"/>
        <v>287.87652290800048</v>
      </c>
      <c r="BI85" s="59">
        <f ca="1">AVERAGE(OFFSET($BH$3,0,0,'Données projet'!$E$11+1,1))-AVERAGE(OFFSET($H$3,0,0,'Données projet'!$E$11+1,1))</f>
        <v>352.88552266225872</v>
      </c>
      <c r="BJ85" s="59">
        <f t="shared" si="92"/>
        <v>403.29115295154782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114.35639467814063</v>
      </c>
      <c r="BQ85" s="21">
        <f>EXP(-LN(2)/25)*BQ84+(1-EXP(-LN(2)/25))/(LN(2)/25)*Calculateur!BL85*Calculateur!BN85*VLOOKUP('Données projet'!$B$11,Paramètres!$A$1:$I$89,3,0)*0.475*44/12</f>
        <v>30.887604542413811</v>
      </c>
      <c r="BR85" s="21">
        <f>EXP(-LN(2)/2)*BR84+(1-EXP(-LN(2)/2))/(LN(2)/2)*BL85*BO85*VLOOKUP('Données projet'!$B$11,Paramètres!$A$1:$I$89,3,0)*0.475*44/12</f>
        <v>2.3252229306533308E-2</v>
      </c>
      <c r="BS85" s="22">
        <f t="shared" si="63"/>
        <v>145.26725144986096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68.511778974908211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-2.2737367544323206E-13</v>
      </c>
      <c r="BZ85" s="13">
        <f>BY85*VLOOKUP('Données projet'!$B$12,Paramètres!$A$1:$I$89,3,0)*VLOOKUP('Données projet'!$B$12,Paramètres!$A$1:$I$89,5,0)</f>
        <v>-1.0049916454590858E-13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297.1442218517625</v>
      </c>
      <c r="CE85" s="59">
        <f t="shared" si="94"/>
        <v>326.0112787126069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121.45108714535439</v>
      </c>
      <c r="CL85" s="21">
        <f>EXP(-LN(2)/25)*CL84+(1-EXP(-LN(2)/25))/(LN(2)/25)*Calculateur!CG85*Calculateur!CI85*VLOOKUP('Données projet'!$B$12,Paramètres!$A$1:$I$89,3,0)*0.475*44/12</f>
        <v>31.437874392579026</v>
      </c>
      <c r="CM85" s="21">
        <f>EXP(-LN(2)/2)*CM84+(1-EXP(-LN(2)/2))/(LN(2)/2)*CG85*CJ85*VLOOKUP('Données projet'!$B$12,Paramètres!$A$1:$I$89,3,0)*0.475*44/12</f>
        <v>2.0958562399102543E-2</v>
      </c>
      <c r="CN85" s="22">
        <f t="shared" si="66"/>
        <v>152.90992010033253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68.511778974908211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2.2737367544323206E-13</v>
      </c>
      <c r="CU85" s="17">
        <f>CT85*VLOOKUP('Données projet'!$B$13,Paramètres!$A$1:$I$89,3,0)*VLOOKUP('Données projet'!$B$13,Paramètres!$A$1:$I$89,5,0)</f>
        <v>1.3596945791505279E-13</v>
      </c>
      <c r="CV85" s="13">
        <f t="shared" si="95"/>
        <v>1.9708830566360721E-12</v>
      </c>
      <c r="CW85" s="20">
        <f t="shared" si="67"/>
        <v>3.669434796176543E-12</v>
      </c>
      <c r="CX85" s="59">
        <f t="shared" si="68"/>
        <v>287.87652290800048</v>
      </c>
      <c r="CY85" s="59">
        <f ca="1">AVERAGE(OFFSET($CX$3,0,0,'Données projet'!$E$13+1,1))-AVERAGE(OFFSET($H$3,0,0,'Données projet'!$E$13+1,1))</f>
        <v>352.88552266225872</v>
      </c>
      <c r="CZ85" s="59">
        <f t="shared" si="96"/>
        <v>403.29115295154782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114.35639467814063</v>
      </c>
      <c r="DG85" s="21">
        <f>EXP(-LN(2)/25)*DG84+(1-EXP(-LN(2)/25))/(LN(2)/25)*Calculateur!DB85*Calculateur!DD85*VLOOKUP('Données projet'!$B$13,Paramètres!$A$1:$I$89,3,0)*0.475*44/12</f>
        <v>30.887604542413811</v>
      </c>
      <c r="DH85" s="21">
        <f>EXP(-LN(2)/2)*DH84+(1-EXP(-LN(2)/2))/(LN(2)/2)*DB85*DE85*VLOOKUP('Données projet'!$B$13,Paramètres!$A$1:$I$89,3,0)*0.475*44/12</f>
        <v>2.3252229306533308E-2</v>
      </c>
      <c r="DI85" s="22">
        <f t="shared" si="69"/>
        <v>145.26725144986096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68.511778974908211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68.511778974908211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68.511778974908211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68.511778974908211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68.511778974908211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1.25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4.583333333333333</v>
      </c>
      <c r="H86" s="67">
        <f t="shared" si="56"/>
        <v>238.33333333333334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68.53759628252979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311.79999999999995</v>
      </c>
      <c r="O86" s="13">
        <f>N86*VLOOKUP('Données projet'!$B$9,Paramètres!$A$1:$I$89,3,0)*VLOOKUP('Données projet'!$B$9,Paramètres!$A$1:$I$89,5,0)</f>
        <v>282.11663999999996</v>
      </c>
      <c r="P86" s="13">
        <f t="shared" si="87"/>
        <v>67.414119514142243</v>
      </c>
      <c r="Q86" s="20">
        <f t="shared" si="54"/>
        <v>608.76607282046439</v>
      </c>
      <c r="R86" s="59">
        <f t="shared" si="55"/>
        <v>896.73725918974037</v>
      </c>
      <c r="S86" s="59">
        <f ca="1">AVERAGE(OFFSET($R$3,0,0,'Données projet'!$E$9+1,1))-AVERAGE(OFFSET($H$3,0,0,'Données projet'!$E$9+1,1))</f>
        <v>467.10712490977266</v>
      </c>
      <c r="T86" s="59">
        <f t="shared" si="88"/>
        <v>282.99426855025968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29.147016009228356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29.147016009228356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68.53759628252979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244.94183999999993</v>
      </c>
      <c r="AK86" s="13">
        <f t="shared" si="89"/>
        <v>59.501526882688026</v>
      </c>
      <c r="AL86" s="20">
        <f t="shared" si="58"/>
        <v>530.23886398734817</v>
      </c>
      <c r="AM86" s="59">
        <f t="shared" si="59"/>
        <v>818.21005035662415</v>
      </c>
      <c r="AN86" s="59">
        <f ca="1">AVERAGE(OFFSET($AM$3,0,0,'Données projet'!$E$10+1,1))-AVERAGE(OFFSET($H$3,0,0,'Données projet'!$E$10+1,1))</f>
        <v>399.57236812003225</v>
      </c>
      <c r="AO86" s="59">
        <f t="shared" si="90"/>
        <v>245.95971136213691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22.990965214175812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22.990965214175812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68.53759628252979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2.2737367544323206E-13</v>
      </c>
      <c r="BE86" s="13">
        <f>BD86*VLOOKUP('Données projet'!$B$11,Paramètres!$A$1:$I$89,3,0)*VLOOKUP('Données projet'!$B$11,Paramètres!$A$1:$I$89,5,0)</f>
        <v>1.3596945791505279E-13</v>
      </c>
      <c r="BF86" s="13">
        <f t="shared" si="91"/>
        <v>1.9708830566360721E-12</v>
      </c>
      <c r="BG86" s="20">
        <f t="shared" si="61"/>
        <v>3.669434796176543E-12</v>
      </c>
      <c r="BH86" s="59">
        <f t="shared" si="62"/>
        <v>287.97118636927962</v>
      </c>
      <c r="BI86" s="59">
        <f ca="1">AVERAGE(OFFSET($BH$3,0,0,'Données projet'!$E$11+1,1))-AVERAGE(OFFSET($H$3,0,0,'Données projet'!$E$11+1,1))</f>
        <v>352.88552266225872</v>
      </c>
      <c r="BJ86" s="59">
        <f t="shared" si="92"/>
        <v>403.29115295154782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112.11393552901576</v>
      </c>
      <c r="BQ86" s="21">
        <f>EXP(-LN(2)/25)*BQ85+(1-EXP(-LN(2)/25))/(LN(2)/25)*Calculateur!BL86*Calculateur!BN86*VLOOKUP('Données projet'!$B$11,Paramètres!$A$1:$I$89,3,0)*0.475*44/12</f>
        <v>30.042981371892978</v>
      </c>
      <c r="BR86" s="21">
        <f>EXP(-LN(2)/2)*BR85+(1-EXP(-LN(2)/2))/(LN(2)/2)*BL86*BO86*VLOOKUP('Données projet'!$B$11,Paramètres!$A$1:$I$89,3,0)*0.475*44/12</f>
        <v>1.6441809020354275E-2</v>
      </c>
      <c r="BS86" s="22">
        <f t="shared" si="63"/>
        <v>142.17335870992912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68.53759628252979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-2.2737367544323206E-13</v>
      </c>
      <c r="BZ86" s="13">
        <f>BY86*VLOOKUP('Données projet'!$B$12,Paramètres!$A$1:$I$89,3,0)*VLOOKUP('Données projet'!$B$12,Paramètres!$A$1:$I$89,5,0)</f>
        <v>-1.0049916454590858E-13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297.1442218517625</v>
      </c>
      <c r="CE86" s="59">
        <f t="shared" si="94"/>
        <v>326.0112787126069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119.06950540428257</v>
      </c>
      <c r="CL86" s="21">
        <f>EXP(-LN(2)/25)*CL85+(1-EXP(-LN(2)/25))/(LN(2)/25)*Calculateur!CG86*Calculateur!CI86*VLOOKUP('Données projet'!$B$12,Paramètres!$A$1:$I$89,3,0)*0.475*44/12</f>
        <v>30.57820406406799</v>
      </c>
      <c r="CM86" s="21">
        <f>EXP(-LN(2)/2)*CM85+(1-EXP(-LN(2)/2))/(LN(2)/2)*CG86*CJ86*VLOOKUP('Données projet'!$B$12,Paramètres!$A$1:$I$89,3,0)*0.475*44/12</f>
        <v>1.4819941596326805E-2</v>
      </c>
      <c r="CN86" s="22">
        <f t="shared" si="66"/>
        <v>149.6625294099469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68.53759628252979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2.2737367544323206E-13</v>
      </c>
      <c r="CU86" s="17">
        <f>CT86*VLOOKUP('Données projet'!$B$13,Paramètres!$A$1:$I$89,3,0)*VLOOKUP('Données projet'!$B$13,Paramètres!$A$1:$I$89,5,0)</f>
        <v>1.3596945791505279E-13</v>
      </c>
      <c r="CV86" s="13">
        <f t="shared" si="95"/>
        <v>1.9708830566360721E-12</v>
      </c>
      <c r="CW86" s="20">
        <f t="shared" si="67"/>
        <v>3.669434796176543E-12</v>
      </c>
      <c r="CX86" s="59">
        <f t="shared" si="68"/>
        <v>287.97118636927962</v>
      </c>
      <c r="CY86" s="59">
        <f ca="1">AVERAGE(OFFSET($CX$3,0,0,'Données projet'!$E$13+1,1))-AVERAGE(OFFSET($H$3,0,0,'Données projet'!$E$13+1,1))</f>
        <v>352.88552266225872</v>
      </c>
      <c r="CZ86" s="59">
        <f t="shared" si="96"/>
        <v>403.29115295154782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112.11393552901576</v>
      </c>
      <c r="DG86" s="21">
        <f>EXP(-LN(2)/25)*DG85+(1-EXP(-LN(2)/25))/(LN(2)/25)*Calculateur!DB86*Calculateur!DD86*VLOOKUP('Données projet'!$B$13,Paramètres!$A$1:$I$89,3,0)*0.475*44/12</f>
        <v>30.042981371892978</v>
      </c>
      <c r="DH86" s="21">
        <f>EXP(-LN(2)/2)*DH85+(1-EXP(-LN(2)/2))/(LN(2)/2)*DB86*DE86*VLOOKUP('Données projet'!$B$13,Paramètres!$A$1:$I$89,3,0)*0.475*44/12</f>
        <v>1.6441809020354275E-2</v>
      </c>
      <c r="DI86" s="22">
        <f t="shared" si="69"/>
        <v>142.17335870992912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68.53759628252979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68.53759628252979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68.53759628252979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68.53759628252979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68.53759628252979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1.25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4.583333333333333</v>
      </c>
      <c r="H87" s="67">
        <f t="shared" si="56"/>
        <v>238.33333333333334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68.562965717582983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318.39999999999998</v>
      </c>
      <c r="O87" s="13">
        <f>N87*VLOOKUP('Données projet'!$B$9,Paramètres!$A$1:$I$89,3,0)*VLOOKUP('Données projet'!$B$9,Paramètres!$A$1:$I$89,5,0)</f>
        <v>288.08831999999995</v>
      </c>
      <c r="P87" s="13">
        <f t="shared" si="87"/>
        <v>68.673460144735557</v>
      </c>
      <c r="Q87" s="20">
        <f t="shared" si="54"/>
        <v>621.36010041874761</v>
      </c>
      <c r="R87" s="59">
        <f t="shared" si="55"/>
        <v>909.42430804988521</v>
      </c>
      <c r="S87" s="59">
        <f ca="1">AVERAGE(OFFSET($R$3,0,0,'Données projet'!$E$9+1,1))-AVERAGE(OFFSET($H$3,0,0,'Données projet'!$E$9+1,1))</f>
        <v>467.10712490977266</v>
      </c>
      <c r="T87" s="59">
        <f t="shared" si="88"/>
        <v>282.99426855025968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28.57546080321173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28.57546080321173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68.562965717582983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250.46111999999997</v>
      </c>
      <c r="AK87" s="13">
        <f t="shared" si="89"/>
        <v>60.684672167637892</v>
      </c>
      <c r="AL87" s="20">
        <f t="shared" si="58"/>
        <v>541.91225469196922</v>
      </c>
      <c r="AM87" s="59">
        <f t="shared" si="59"/>
        <v>829.97646232310683</v>
      </c>
      <c r="AN87" s="59">
        <f ca="1">AVERAGE(OFFSET($AM$3,0,0,'Données projet'!$E$10+1,1))-AVERAGE(OFFSET($H$3,0,0,'Données projet'!$E$10+1,1))</f>
        <v>399.57236812003225</v>
      </c>
      <c r="AO87" s="59">
        <f t="shared" si="90"/>
        <v>245.95971136213691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22.540126409429938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22.540126409429938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68.562965717582983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2.2737367544323206E-13</v>
      </c>
      <c r="BE87" s="13">
        <f>BD87*VLOOKUP('Données projet'!$B$11,Paramètres!$A$1:$I$89,3,0)*VLOOKUP('Données projet'!$B$11,Paramètres!$A$1:$I$89,5,0)</f>
        <v>1.3596945791505279E-13</v>
      </c>
      <c r="BF87" s="13">
        <f t="shared" si="91"/>
        <v>1.9708830566360721E-12</v>
      </c>
      <c r="BG87" s="20">
        <f t="shared" si="61"/>
        <v>3.669434796176543E-12</v>
      </c>
      <c r="BH87" s="59">
        <f t="shared" si="62"/>
        <v>288.0642076311413</v>
      </c>
      <c r="BI87" s="59">
        <f ca="1">AVERAGE(OFFSET($BH$3,0,0,'Données projet'!$E$11+1,1))-AVERAGE(OFFSET($H$3,0,0,'Données projet'!$E$11+1,1))</f>
        <v>352.88552266225872</v>
      </c>
      <c r="BJ87" s="59">
        <f t="shared" si="92"/>
        <v>403.29115295154782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109.91544963604019</v>
      </c>
      <c r="BQ87" s="21">
        <f>EXP(-LN(2)/25)*BQ86+(1-EXP(-LN(2)/25))/(LN(2)/25)*Calculateur!BL87*Calculateur!BN87*VLOOKUP('Données projet'!$B$11,Paramètres!$A$1:$I$89,3,0)*0.475*44/12</f>
        <v>29.221454466386838</v>
      </c>
      <c r="BR87" s="21">
        <f>EXP(-LN(2)/2)*BR86+(1-EXP(-LN(2)/2))/(LN(2)/2)*BL87*BO87*VLOOKUP('Données projet'!$B$11,Paramètres!$A$1:$I$89,3,0)*0.475*44/12</f>
        <v>1.1626114653266654E-2</v>
      </c>
      <c r="BS87" s="22">
        <f t="shared" si="63"/>
        <v>139.14853021708029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68.562965717582983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-2.2737367544323206E-13</v>
      </c>
      <c r="BZ87" s="13">
        <f>BY87*VLOOKUP('Données projet'!$B$12,Paramètres!$A$1:$I$89,3,0)*VLOOKUP('Données projet'!$B$12,Paramètres!$A$1:$I$89,5,0)</f>
        <v>-1.0049916454590858E-13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297.1442218517625</v>
      </c>
      <c r="CE87" s="59">
        <f t="shared" si="94"/>
        <v>326.0112787126069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116.73462502853174</v>
      </c>
      <c r="CL87" s="21">
        <f>EXP(-LN(2)/25)*CL86+(1-EXP(-LN(2)/25))/(LN(2)/25)*Calculateur!CG87*Calculateur!CI87*VLOOKUP('Données projet'!$B$12,Paramètres!$A$1:$I$89,3,0)*0.475*44/12</f>
        <v>29.742041465898186</v>
      </c>
      <c r="CM87" s="21">
        <f>EXP(-LN(2)/2)*CM86+(1-EXP(-LN(2)/2))/(LN(2)/2)*CG87*CJ87*VLOOKUP('Données projet'!$B$12,Paramètres!$A$1:$I$89,3,0)*0.475*44/12</f>
        <v>1.0479281199551273E-2</v>
      </c>
      <c r="CN87" s="22">
        <f t="shared" si="66"/>
        <v>146.4871457756295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68.562965717582983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2.2737367544323206E-13</v>
      </c>
      <c r="CU87" s="17">
        <f>CT87*VLOOKUP('Données projet'!$B$13,Paramètres!$A$1:$I$89,3,0)*VLOOKUP('Données projet'!$B$13,Paramètres!$A$1:$I$89,5,0)</f>
        <v>1.3596945791505279E-13</v>
      </c>
      <c r="CV87" s="13">
        <f t="shared" si="95"/>
        <v>1.9708830566360721E-12</v>
      </c>
      <c r="CW87" s="20">
        <f t="shared" si="67"/>
        <v>3.669434796176543E-12</v>
      </c>
      <c r="CX87" s="59">
        <f t="shared" si="68"/>
        <v>288.0642076311413</v>
      </c>
      <c r="CY87" s="59">
        <f ca="1">AVERAGE(OFFSET($CX$3,0,0,'Données projet'!$E$13+1,1))-AVERAGE(OFFSET($H$3,0,0,'Données projet'!$E$13+1,1))</f>
        <v>352.88552266225872</v>
      </c>
      <c r="CZ87" s="59">
        <f t="shared" si="96"/>
        <v>403.29115295154782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109.91544963604019</v>
      </c>
      <c r="DG87" s="21">
        <f>EXP(-LN(2)/25)*DG86+(1-EXP(-LN(2)/25))/(LN(2)/25)*Calculateur!DB87*Calculateur!DD87*VLOOKUP('Données projet'!$B$13,Paramètres!$A$1:$I$89,3,0)*0.475*44/12</f>
        <v>29.221454466386838</v>
      </c>
      <c r="DH87" s="21">
        <f>EXP(-LN(2)/2)*DH86+(1-EXP(-LN(2)/2))/(LN(2)/2)*DB87*DE87*VLOOKUP('Données projet'!$B$13,Paramètres!$A$1:$I$89,3,0)*0.475*44/12</f>
        <v>1.1626114653266654E-2</v>
      </c>
      <c r="DI87" s="22">
        <f t="shared" si="69"/>
        <v>139.14853021708029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68.562965717582983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68.562965717582983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68.562965717582983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68.562965717582983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68.562965717582983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1.25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4.583333333333333</v>
      </c>
      <c r="H88" s="67">
        <f t="shared" si="56"/>
        <v>238.33333333333334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68.587895049655558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325</v>
      </c>
      <c r="O88" s="13">
        <f>N88*VLOOKUP('Données projet'!$B$9,Paramètres!$A$1:$I$89,3,0)*VLOOKUP('Données projet'!$B$9,Paramètres!$A$1:$I$89,5,0)</f>
        <v>294.06</v>
      </c>
      <c r="P88" s="13">
        <f t="shared" si="87"/>
        <v>69.929765653573313</v>
      </c>
      <c r="Q88" s="20">
        <f t="shared" si="54"/>
        <v>633.94884184664022</v>
      </c>
      <c r="R88" s="59">
        <f t="shared" si="55"/>
        <v>922.10445702871061</v>
      </c>
      <c r="S88" s="59">
        <f ca="1">AVERAGE(OFFSET($R$3,0,0,'Données projet'!$E$9+1,1))-AVERAGE(OFFSET($H$3,0,0,'Données projet'!$E$9+1,1))</f>
        <v>467.10712490977266</v>
      </c>
      <c r="T88" s="59">
        <f t="shared" si="88"/>
        <v>282.99426855025968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28.015113446170837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28.015113446170837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68.587895049655558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255.98039999999997</v>
      </c>
      <c r="AK88" s="13">
        <f t="shared" si="89"/>
        <v>61.864786260587792</v>
      </c>
      <c r="AL88" s="20">
        <f t="shared" si="58"/>
        <v>553.58036607052361</v>
      </c>
      <c r="AM88" s="59">
        <f t="shared" si="59"/>
        <v>841.735981252594</v>
      </c>
      <c r="AN88" s="59">
        <f ca="1">AVERAGE(OFFSET($AM$3,0,0,'Données projet'!$E$10+1,1))-AVERAGE(OFFSET($H$3,0,0,'Données projet'!$E$10+1,1))</f>
        <v>399.57236812003225</v>
      </c>
      <c r="AO88" s="59">
        <f t="shared" si="90"/>
        <v>245.95971136213691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27.797677970780757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27.797677970780757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68.587895049655558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2.2737367544323206E-13</v>
      </c>
      <c r="BE88" s="13">
        <f>BD88*VLOOKUP('Données projet'!$B$11,Paramètres!$A$1:$I$89,3,0)*VLOOKUP('Données projet'!$B$11,Paramètres!$A$1:$I$89,5,0)</f>
        <v>1.3596945791505279E-13</v>
      </c>
      <c r="BF88" s="13">
        <f t="shared" si="91"/>
        <v>1.9708830566360721E-12</v>
      </c>
      <c r="BG88" s="20">
        <f t="shared" si="61"/>
        <v>3.669434796176543E-12</v>
      </c>
      <c r="BH88" s="59">
        <f t="shared" si="62"/>
        <v>288.15561518207409</v>
      </c>
      <c r="BI88" s="59">
        <f ca="1">AVERAGE(OFFSET($BH$3,0,0,'Données projet'!$E$11+1,1))-AVERAGE(OFFSET($H$3,0,0,'Données projet'!$E$11+1,1))</f>
        <v>352.88552266225872</v>
      </c>
      <c r="BJ88" s="59">
        <f t="shared" si="92"/>
        <v>403.29115295154782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107.7600747104819</v>
      </c>
      <c r="BQ88" s="21">
        <f>EXP(-LN(2)/25)*BQ87+(1-EXP(-LN(2)/25))/(LN(2)/25)*Calculateur!BL88*Calculateur!BN88*VLOOKUP('Données projet'!$B$11,Paramètres!$A$1:$I$89,3,0)*0.475*44/12</f>
        <v>28.422392257313987</v>
      </c>
      <c r="BR88" s="21">
        <f>EXP(-LN(2)/2)*BR87+(1-EXP(-LN(2)/2))/(LN(2)/2)*BL88*BO88*VLOOKUP('Données projet'!$B$11,Paramètres!$A$1:$I$89,3,0)*0.475*44/12</f>
        <v>8.2209045101771377E-3</v>
      </c>
      <c r="BS88" s="22">
        <f t="shared" si="63"/>
        <v>136.19068787230609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68.587895049655558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-2.2737367544323206E-13</v>
      </c>
      <c r="BZ88" s="13">
        <f>BY88*VLOOKUP('Données projet'!$B$12,Paramètres!$A$1:$I$89,3,0)*VLOOKUP('Données projet'!$B$12,Paramètres!$A$1:$I$89,5,0)</f>
        <v>-1.0049916454590858E-13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297.1442218517625</v>
      </c>
      <c r="CE88" s="59">
        <f t="shared" si="94"/>
        <v>326.0112787126069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114.44553023281297</v>
      </c>
      <c r="CL88" s="21">
        <f>EXP(-LN(2)/25)*CL87+(1-EXP(-LN(2)/25))/(LN(2)/25)*Calculateur!CG88*Calculateur!CI88*VLOOKUP('Données projet'!$B$12,Paramètres!$A$1:$I$89,3,0)*0.475*44/12</f>
        <v>28.928743777947215</v>
      </c>
      <c r="CM88" s="21">
        <f>EXP(-LN(2)/2)*CM87+(1-EXP(-LN(2)/2))/(LN(2)/2)*CG88*CJ88*VLOOKUP('Données projet'!$B$12,Paramètres!$A$1:$I$89,3,0)*0.475*44/12</f>
        <v>7.4099707981634035E-3</v>
      </c>
      <c r="CN88" s="22">
        <f t="shared" si="66"/>
        <v>143.38168398155835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68.587895049655558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2.2737367544323206E-13</v>
      </c>
      <c r="CU88" s="17">
        <f>CT88*VLOOKUP('Données projet'!$B$13,Paramètres!$A$1:$I$89,3,0)*VLOOKUP('Données projet'!$B$13,Paramètres!$A$1:$I$89,5,0)</f>
        <v>1.3596945791505279E-13</v>
      </c>
      <c r="CV88" s="13">
        <f t="shared" si="95"/>
        <v>1.9708830566360721E-12</v>
      </c>
      <c r="CW88" s="20">
        <f t="shared" si="67"/>
        <v>3.669434796176543E-12</v>
      </c>
      <c r="CX88" s="59">
        <f t="shared" si="68"/>
        <v>288.15561518207409</v>
      </c>
      <c r="CY88" s="59">
        <f ca="1">AVERAGE(OFFSET($CX$3,0,0,'Données projet'!$E$13+1,1))-AVERAGE(OFFSET($H$3,0,0,'Données projet'!$E$13+1,1))</f>
        <v>352.88552266225872</v>
      </c>
      <c r="CZ88" s="59">
        <f t="shared" si="96"/>
        <v>403.29115295154782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107.7600747104819</v>
      </c>
      <c r="DG88" s="21">
        <f>EXP(-LN(2)/25)*DG87+(1-EXP(-LN(2)/25))/(LN(2)/25)*Calculateur!DB88*Calculateur!DD88*VLOOKUP('Données projet'!$B$13,Paramètres!$A$1:$I$89,3,0)*0.475*44/12</f>
        <v>28.422392257313987</v>
      </c>
      <c r="DH88" s="21">
        <f>EXP(-LN(2)/2)*DH87+(1-EXP(-LN(2)/2))/(LN(2)/2)*DB88*DE88*VLOOKUP('Données projet'!$B$13,Paramètres!$A$1:$I$89,3,0)*0.475*44/12</f>
        <v>8.2209045101771377E-3</v>
      </c>
      <c r="DI88" s="22">
        <f t="shared" si="69"/>
        <v>136.19068787230609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68.587895049655558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68.587895049655558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68.587895049655558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68.587895049655558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68.587895049655558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1.25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4.583333333333333</v>
      </c>
      <c r="H89" s="67">
        <f t="shared" si="56"/>
        <v>238.33333333333334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68.612391913550312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331.6</v>
      </c>
      <c r="O89" s="13">
        <f>N89*VLOOKUP('Données projet'!$B$9,Paramètres!$A$1:$I$89,3,0)*VLOOKUP('Données projet'!$B$9,Paramètres!$A$1:$I$89,5,0)</f>
        <v>300.03167999999999</v>
      </c>
      <c r="P89" s="13">
        <f t="shared" si="87"/>
        <v>71.183104779714938</v>
      </c>
      <c r="Q89" s="20">
        <f t="shared" si="54"/>
        <v>646.53241682467012</v>
      </c>
      <c r="R89" s="59">
        <f t="shared" si="55"/>
        <v>934.77785384102128</v>
      </c>
      <c r="S89" s="59">
        <f ca="1">AVERAGE(OFFSET($R$3,0,0,'Données projet'!$E$9+1,1))-AVERAGE(OFFSET($H$3,0,0,'Données projet'!$E$9+1,1))</f>
        <v>467.10712490977266</v>
      </c>
      <c r="T89" s="59">
        <f t="shared" si="88"/>
        <v>282.99426855025968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27.465754159023376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27.465754159023376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68.612391913550312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241.13543999999993</v>
      </c>
      <c r="AK89" s="13">
        <f t="shared" si="89"/>
        <v>58.6837587821827</v>
      </c>
      <c r="AL89" s="20">
        <f t="shared" si="58"/>
        <v>522.18510454563477</v>
      </c>
      <c r="AM89" s="59">
        <f t="shared" si="59"/>
        <v>810.43054156198593</v>
      </c>
      <c r="AN89" s="59">
        <f ca="1">AVERAGE(OFFSET($AM$3,0,0,'Données projet'!$E$10+1,1))-AVERAGE(OFFSET($H$3,0,0,'Données projet'!$E$10+1,1))</f>
        <v>399.57236812003225</v>
      </c>
      <c r="AO89" s="59">
        <f t="shared" si="90"/>
        <v>245.95971136213691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27.252582460683151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27.252582460683151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68.612391913550312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2.2737367544323206E-13</v>
      </c>
      <c r="BE89" s="13">
        <f>BD89*VLOOKUP('Données projet'!$B$11,Paramètres!$A$1:$I$89,3,0)*VLOOKUP('Données projet'!$B$11,Paramètres!$A$1:$I$89,5,0)</f>
        <v>1.3596945791505279E-13</v>
      </c>
      <c r="BF89" s="13">
        <f t="shared" si="91"/>
        <v>1.9708830566360721E-12</v>
      </c>
      <c r="BG89" s="20">
        <f t="shared" si="61"/>
        <v>3.669434796176543E-12</v>
      </c>
      <c r="BH89" s="59">
        <f t="shared" si="62"/>
        <v>288.24543701635486</v>
      </c>
      <c r="BI89" s="59">
        <f ca="1">AVERAGE(OFFSET($BH$3,0,0,'Données projet'!$E$11+1,1))-AVERAGE(OFFSET($H$3,0,0,'Données projet'!$E$11+1,1))</f>
        <v>352.88552266225872</v>
      </c>
      <c r="BJ89" s="59">
        <f t="shared" si="92"/>
        <v>403.29115295154782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105.64696537256491</v>
      </c>
      <c r="BQ89" s="21">
        <f>EXP(-LN(2)/25)*BQ88+(1-EXP(-LN(2)/25))/(LN(2)/25)*Calculateur!BL89*Calculateur!BN89*VLOOKUP('Données projet'!$B$11,Paramètres!$A$1:$I$89,3,0)*0.475*44/12</f>
        <v>27.645180446369089</v>
      </c>
      <c r="BR89" s="21">
        <f>EXP(-LN(2)/2)*BR88+(1-EXP(-LN(2)/2))/(LN(2)/2)*BL89*BO89*VLOOKUP('Données projet'!$B$11,Paramètres!$A$1:$I$89,3,0)*0.475*44/12</f>
        <v>5.8130573266333271E-3</v>
      </c>
      <c r="BS89" s="22">
        <f t="shared" si="63"/>
        <v>133.29795887626062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68.612391913550312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-2.2737367544323206E-13</v>
      </c>
      <c r="BZ89" s="13">
        <f>BY89*VLOOKUP('Données projet'!$B$12,Paramètres!$A$1:$I$89,3,0)*VLOOKUP('Données projet'!$B$12,Paramètres!$A$1:$I$89,5,0)</f>
        <v>-1.0049916454590858E-13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297.1442218517625</v>
      </c>
      <c r="CE89" s="59">
        <f t="shared" si="94"/>
        <v>326.0112787126069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112.20132318982829</v>
      </c>
      <c r="CL89" s="21">
        <f>EXP(-LN(2)/25)*CL88+(1-EXP(-LN(2)/25))/(LN(2)/25)*Calculateur!CG89*Calculateur!CI89*VLOOKUP('Données projet'!$B$12,Paramètres!$A$1:$I$89,3,0)*0.475*44/12</f>
        <v>28.137685758042732</v>
      </c>
      <c r="CM89" s="21">
        <f>EXP(-LN(2)/2)*CM88+(1-EXP(-LN(2)/2))/(LN(2)/2)*CG89*CJ89*VLOOKUP('Données projet'!$B$12,Paramètres!$A$1:$I$89,3,0)*0.475*44/12</f>
        <v>5.2396405997756374E-3</v>
      </c>
      <c r="CN89" s="22">
        <f t="shared" si="66"/>
        <v>140.34424858847078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68.612391913550312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2.2737367544323206E-13</v>
      </c>
      <c r="CU89" s="17">
        <f>CT89*VLOOKUP('Données projet'!$B$13,Paramètres!$A$1:$I$89,3,0)*VLOOKUP('Données projet'!$B$13,Paramètres!$A$1:$I$89,5,0)</f>
        <v>1.3596945791505279E-13</v>
      </c>
      <c r="CV89" s="13">
        <f t="shared" si="95"/>
        <v>1.9708830566360721E-12</v>
      </c>
      <c r="CW89" s="20">
        <f t="shared" si="67"/>
        <v>3.669434796176543E-12</v>
      </c>
      <c r="CX89" s="59">
        <f t="shared" si="68"/>
        <v>288.24543701635486</v>
      </c>
      <c r="CY89" s="59">
        <f ca="1">AVERAGE(OFFSET($CX$3,0,0,'Données projet'!$E$13+1,1))-AVERAGE(OFFSET($H$3,0,0,'Données projet'!$E$13+1,1))</f>
        <v>352.88552266225872</v>
      </c>
      <c r="CZ89" s="59">
        <f t="shared" si="96"/>
        <v>403.29115295154782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105.64696537256491</v>
      </c>
      <c r="DG89" s="21">
        <f>EXP(-LN(2)/25)*DG88+(1-EXP(-LN(2)/25))/(LN(2)/25)*Calculateur!DB89*Calculateur!DD89*VLOOKUP('Données projet'!$B$13,Paramètres!$A$1:$I$89,3,0)*0.475*44/12</f>
        <v>27.645180446369089</v>
      </c>
      <c r="DH89" s="21">
        <f>EXP(-LN(2)/2)*DH88+(1-EXP(-LN(2)/2))/(LN(2)/2)*DB89*DE89*VLOOKUP('Données projet'!$B$13,Paramètres!$A$1:$I$89,3,0)*0.475*44/12</f>
        <v>5.8130573266333271E-3</v>
      </c>
      <c r="DI89" s="22">
        <f t="shared" si="69"/>
        <v>133.29795887626062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68.612391913550312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68.612391913550312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68.612391913550312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68.612391913550312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68.612391913550312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1.25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4.583333333333333</v>
      </c>
      <c r="H90" s="67">
        <f t="shared" si="56"/>
        <v>238.33333333333334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68.636463811623287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338.20000000000005</v>
      </c>
      <c r="O90" s="13">
        <f>N90*VLOOKUP('Données projet'!$B$9,Paramètres!$A$1:$I$89,3,0)*VLOOKUP('Données projet'!$B$9,Paramètres!$A$1:$I$89,5,0)</f>
        <v>306.00336000000004</v>
      </c>
      <c r="P90" s="13">
        <f t="shared" si="87"/>
        <v>72.433543369450447</v>
      </c>
      <c r="Q90" s="20">
        <f t="shared" si="54"/>
        <v>659.11094003512619</v>
      </c>
      <c r="R90" s="59">
        <f t="shared" si="55"/>
        <v>947.44464067774493</v>
      </c>
      <c r="S90" s="59">
        <f ca="1">AVERAGE(OFFSET($R$3,0,0,'Données projet'!$E$9+1,1))-AVERAGE(OFFSET($H$3,0,0,'Données projet'!$E$9+1,1))</f>
        <v>467.10712490977266</v>
      </c>
      <c r="T90" s="59">
        <f t="shared" si="88"/>
        <v>282.99426855025968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26.927167472420798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26.927167472420798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68.636463811623287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246.27407999999991</v>
      </c>
      <c r="AK90" s="13">
        <f t="shared" si="89"/>
        <v>59.787395242924475</v>
      </c>
      <c r="AL90" s="20">
        <f t="shared" si="58"/>
        <v>533.05706938142669</v>
      </c>
      <c r="AM90" s="59">
        <f t="shared" si="59"/>
        <v>821.39077002404542</v>
      </c>
      <c r="AN90" s="59">
        <f ca="1">AVERAGE(OFFSET($AM$3,0,0,'Données projet'!$E$10+1,1))-AVERAGE(OFFSET($H$3,0,0,'Données projet'!$E$10+1,1))</f>
        <v>399.57236812003225</v>
      </c>
      <c r="AO90" s="59">
        <f t="shared" si="90"/>
        <v>245.95971136213691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26.718175941063127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26.718175941063127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68.636463811623287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2.2737367544323206E-13</v>
      </c>
      <c r="BE90" s="13">
        <f>BD90*VLOOKUP('Données projet'!$B$11,Paramètres!$A$1:$I$89,3,0)*VLOOKUP('Données projet'!$B$11,Paramètres!$A$1:$I$89,5,0)</f>
        <v>1.3596945791505279E-13</v>
      </c>
      <c r="BF90" s="13">
        <f t="shared" si="91"/>
        <v>1.9708830566360721E-12</v>
      </c>
      <c r="BG90" s="20">
        <f t="shared" si="61"/>
        <v>3.669434796176543E-12</v>
      </c>
      <c r="BH90" s="59">
        <f t="shared" si="62"/>
        <v>288.33370064262238</v>
      </c>
      <c r="BI90" s="59">
        <f ca="1">AVERAGE(OFFSET($BH$3,0,0,'Données projet'!$E$11+1,1))-AVERAGE(OFFSET($H$3,0,0,'Données projet'!$E$11+1,1))</f>
        <v>352.88552266225872</v>
      </c>
      <c r="BJ90" s="59">
        <f t="shared" si="92"/>
        <v>403.29115295154782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103.57529281989504</v>
      </c>
      <c r="BQ90" s="21">
        <f>EXP(-LN(2)/25)*BQ89+(1-EXP(-LN(2)/25))/(LN(2)/25)*Calculateur!BL90*Calculateur!BN90*VLOOKUP('Données projet'!$B$11,Paramètres!$A$1:$I$89,3,0)*0.475*44/12</f>
        <v>26.889221533266269</v>
      </c>
      <c r="BR90" s="21">
        <f>EXP(-LN(2)/2)*BR89+(1-EXP(-LN(2)/2))/(LN(2)/2)*BL90*BO90*VLOOKUP('Données projet'!$B$11,Paramètres!$A$1:$I$89,3,0)*0.475*44/12</f>
        <v>4.1104522550885689E-3</v>
      </c>
      <c r="BS90" s="22">
        <f t="shared" si="63"/>
        <v>130.4686248054164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68.636463811623287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-2.2737367544323206E-13</v>
      </c>
      <c r="BZ90" s="13">
        <f>BY90*VLOOKUP('Données projet'!$B$12,Paramètres!$A$1:$I$89,3,0)*VLOOKUP('Données projet'!$B$12,Paramètres!$A$1:$I$89,5,0)</f>
        <v>-1.0049916454590858E-13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297.1442218517625</v>
      </c>
      <c r="CE90" s="59">
        <f t="shared" si="94"/>
        <v>326.0112787126069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110.0011236781254</v>
      </c>
      <c r="CL90" s="21">
        <f>EXP(-LN(2)/25)*CL89+(1-EXP(-LN(2)/25))/(LN(2)/25)*Calculateur!CG90*Calculateur!CI90*VLOOKUP('Données projet'!$B$12,Paramètres!$A$1:$I$89,3,0)*0.475*44/12</f>
        <v>27.368259261292469</v>
      </c>
      <c r="CM90" s="21">
        <f>EXP(-LN(2)/2)*CM89+(1-EXP(-LN(2)/2))/(LN(2)/2)*CG90*CJ90*VLOOKUP('Données projet'!$B$12,Paramètres!$A$1:$I$89,3,0)*0.475*44/12</f>
        <v>3.7049853990817026E-3</v>
      </c>
      <c r="CN90" s="22">
        <f t="shared" si="66"/>
        <v>137.37308792481696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68.636463811623287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2.2737367544323206E-13</v>
      </c>
      <c r="CU90" s="17">
        <f>CT90*VLOOKUP('Données projet'!$B$13,Paramètres!$A$1:$I$89,3,0)*VLOOKUP('Données projet'!$B$13,Paramètres!$A$1:$I$89,5,0)</f>
        <v>1.3596945791505279E-13</v>
      </c>
      <c r="CV90" s="13">
        <f t="shared" si="95"/>
        <v>1.9708830566360721E-12</v>
      </c>
      <c r="CW90" s="20">
        <f t="shared" si="67"/>
        <v>3.669434796176543E-12</v>
      </c>
      <c r="CX90" s="59">
        <f t="shared" si="68"/>
        <v>288.33370064262238</v>
      </c>
      <c r="CY90" s="59">
        <f ca="1">AVERAGE(OFFSET($CX$3,0,0,'Données projet'!$E$13+1,1))-AVERAGE(OFFSET($H$3,0,0,'Données projet'!$E$13+1,1))</f>
        <v>352.88552266225872</v>
      </c>
      <c r="CZ90" s="59">
        <f t="shared" si="96"/>
        <v>403.29115295154782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103.57529281989504</v>
      </c>
      <c r="DG90" s="21">
        <f>EXP(-LN(2)/25)*DG89+(1-EXP(-LN(2)/25))/(LN(2)/25)*Calculateur!DB90*Calculateur!DD90*VLOOKUP('Données projet'!$B$13,Paramètres!$A$1:$I$89,3,0)*0.475*44/12</f>
        <v>26.889221533266269</v>
      </c>
      <c r="DH90" s="21">
        <f>EXP(-LN(2)/2)*DH89+(1-EXP(-LN(2)/2))/(LN(2)/2)*DB90*DE90*VLOOKUP('Données projet'!$B$13,Paramètres!$A$1:$I$89,3,0)*0.475*44/12</f>
        <v>4.1104522550885689E-3</v>
      </c>
      <c r="DI90" s="22">
        <f t="shared" si="69"/>
        <v>130.4686248054164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68.636463811623287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68.636463811623287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68.636463811623287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68.636463811623287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68.636463811623287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1.25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4.583333333333333</v>
      </c>
      <c r="H91" s="67">
        <f t="shared" si="56"/>
        <v>238.33333333333334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68.660118116081392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344.80000000000007</v>
      </c>
      <c r="O91" s="13">
        <f>N91*VLOOKUP('Données projet'!$B$9,Paramètres!$A$1:$I$89,3,0)*VLOOKUP('Données projet'!$B$9,Paramètres!$A$1:$I$89,5,0)</f>
        <v>311.97504000000009</v>
      </c>
      <c r="P91" s="13">
        <f t="shared" si="87"/>
        <v>73.681144552074599</v>
      </c>
      <c r="Q91" s="20">
        <f t="shared" si="54"/>
        <v>671.68452142819672</v>
      </c>
      <c r="R91" s="59">
        <f t="shared" si="55"/>
        <v>960.10495452049508</v>
      </c>
      <c r="S91" s="59">
        <f ca="1">AVERAGE(OFFSET($R$3,0,0,'Données projet'!$E$9+1,1))-AVERAGE(OFFSET($H$3,0,0,'Données projet'!$E$9+1,1))</f>
        <v>467.10712490977266</v>
      </c>
      <c r="T91" s="59">
        <f t="shared" si="88"/>
        <v>282.99426855025968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26.399142142237054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26.399142142237054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68.660118116081392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251.41271999999989</v>
      </c>
      <c r="AK91" s="13">
        <f t="shared" si="89"/>
        <v>60.888354295829195</v>
      </c>
      <c r="AL91" s="20">
        <f t="shared" si="58"/>
        <v>543.92437106523562</v>
      </c>
      <c r="AM91" s="59">
        <f t="shared" si="59"/>
        <v>832.3448041575341</v>
      </c>
      <c r="AN91" s="59">
        <f ca="1">AVERAGE(OFFSET($AM$3,0,0,'Données projet'!$E$10+1,1))-AVERAGE(OFFSET($H$3,0,0,'Données projet'!$E$10+1,1))</f>
        <v>399.57236812003225</v>
      </c>
      <c r="AO91" s="59">
        <f t="shared" si="90"/>
        <v>245.95971136213691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26.194248807337058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26.194248807337058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68.660118116081392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2.2737367544323206E-13</v>
      </c>
      <c r="BE91" s="13">
        <f>BD91*VLOOKUP('Données projet'!$B$11,Paramètres!$A$1:$I$89,3,0)*VLOOKUP('Données projet'!$B$11,Paramètres!$A$1:$I$89,5,0)</f>
        <v>1.3596945791505279E-13</v>
      </c>
      <c r="BF91" s="13">
        <f t="shared" si="91"/>
        <v>1.9708830566360721E-12</v>
      </c>
      <c r="BG91" s="20">
        <f t="shared" si="61"/>
        <v>3.669434796176543E-12</v>
      </c>
      <c r="BH91" s="59">
        <f t="shared" si="62"/>
        <v>288.42043309230212</v>
      </c>
      <c r="BI91" s="59">
        <f ca="1">AVERAGE(OFFSET($BH$3,0,0,'Données projet'!$E$11+1,1))-AVERAGE(OFFSET($H$3,0,0,'Données projet'!$E$11+1,1))</f>
        <v>352.88552266225872</v>
      </c>
      <c r="BJ91" s="59">
        <f t="shared" si="92"/>
        <v>403.29115295154782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101.54424450238754</v>
      </c>
      <c r="BQ91" s="21">
        <f>EXP(-LN(2)/25)*BQ90+(1-EXP(-LN(2)/25))/(LN(2)/25)*Calculateur!BL91*Calculateur!BN91*VLOOKUP('Données projet'!$B$11,Paramètres!$A$1:$I$89,3,0)*0.475*44/12</f>
        <v>26.153934356396398</v>
      </c>
      <c r="BR91" s="21">
        <f>EXP(-LN(2)/2)*BR90+(1-EXP(-LN(2)/2))/(LN(2)/2)*BL91*BO91*VLOOKUP('Données projet'!$B$11,Paramètres!$A$1:$I$89,3,0)*0.475*44/12</f>
        <v>2.9065286633166636E-3</v>
      </c>
      <c r="BS91" s="22">
        <f t="shared" si="63"/>
        <v>127.70108538744725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68.660118116081392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-2.2737367544323206E-13</v>
      </c>
      <c r="BZ91" s="13">
        <f>BY91*VLOOKUP('Données projet'!$B$12,Paramètres!$A$1:$I$89,3,0)*VLOOKUP('Données projet'!$B$12,Paramètres!$A$1:$I$89,5,0)</f>
        <v>-1.0049916454590858E-13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297.1442218517625</v>
      </c>
      <c r="CE91" s="59">
        <f t="shared" si="94"/>
        <v>326.0112787126069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107.84406873685781</v>
      </c>
      <c r="CL91" s="21">
        <f>EXP(-LN(2)/25)*CL90+(1-EXP(-LN(2)/25))/(LN(2)/25)*Calculateur!CG91*Calculateur!CI91*VLOOKUP('Données projet'!$B$12,Paramètres!$A$1:$I$89,3,0)*0.475*44/12</f>
        <v>26.619872772558221</v>
      </c>
      <c r="CM91" s="21">
        <f>EXP(-LN(2)/2)*CM90+(1-EXP(-LN(2)/2))/(LN(2)/2)*CG91*CJ91*VLOOKUP('Données projet'!$B$12,Paramètres!$A$1:$I$89,3,0)*0.475*44/12</f>
        <v>2.6198202998878191E-3</v>
      </c>
      <c r="CN91" s="22">
        <f t="shared" si="66"/>
        <v>134.46656132971592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68.660118116081392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2.2737367544323206E-13</v>
      </c>
      <c r="CU91" s="17">
        <f>CT91*VLOOKUP('Données projet'!$B$13,Paramètres!$A$1:$I$89,3,0)*VLOOKUP('Données projet'!$B$13,Paramètres!$A$1:$I$89,5,0)</f>
        <v>1.3596945791505279E-13</v>
      </c>
      <c r="CV91" s="13">
        <f t="shared" si="95"/>
        <v>1.9708830566360721E-12</v>
      </c>
      <c r="CW91" s="20">
        <f t="shared" si="67"/>
        <v>3.669434796176543E-12</v>
      </c>
      <c r="CX91" s="59">
        <f t="shared" si="68"/>
        <v>288.42043309230212</v>
      </c>
      <c r="CY91" s="59">
        <f ca="1">AVERAGE(OFFSET($CX$3,0,0,'Données projet'!$E$13+1,1))-AVERAGE(OFFSET($H$3,0,0,'Données projet'!$E$13+1,1))</f>
        <v>352.88552266225872</v>
      </c>
      <c r="CZ91" s="59">
        <f t="shared" si="96"/>
        <v>403.29115295154782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101.54424450238754</v>
      </c>
      <c r="DG91" s="21">
        <f>EXP(-LN(2)/25)*DG90+(1-EXP(-LN(2)/25))/(LN(2)/25)*Calculateur!DB91*Calculateur!DD91*VLOOKUP('Données projet'!$B$13,Paramètres!$A$1:$I$89,3,0)*0.475*44/12</f>
        <v>26.153934356396398</v>
      </c>
      <c r="DH91" s="21">
        <f>EXP(-LN(2)/2)*DH90+(1-EXP(-LN(2)/2))/(LN(2)/2)*DB91*DE91*VLOOKUP('Données projet'!$B$13,Paramètres!$A$1:$I$89,3,0)*0.475*44/12</f>
        <v>2.9065286633166636E-3</v>
      </c>
      <c r="DI91" s="22">
        <f t="shared" si="69"/>
        <v>127.70108538744725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68.660118116081392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68.660118116081392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68.660118116081392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68.660118116081392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68.660118116081392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1.25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4.583333333333333</v>
      </c>
      <c r="H92" s="67">
        <f t="shared" si="56"/>
        <v>238.33333333333334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68.683362071240253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351.40000000000009</v>
      </c>
      <c r="O92" s="13">
        <f>N92*VLOOKUP('Données projet'!$B$9,Paramètres!$A$1:$I$89,3,0)*VLOOKUP('Données projet'!$B$9,Paramètres!$A$1:$I$89,5,0)</f>
        <v>317.94672000000008</v>
      </c>
      <c r="P92" s="13">
        <f t="shared" si="87"/>
        <v>74.925968901822259</v>
      </c>
      <c r="Q92" s="20">
        <f t="shared" si="54"/>
        <v>684.25326650400723</v>
      </c>
      <c r="R92" s="59">
        <f t="shared" si="55"/>
        <v>972.7589274318882</v>
      </c>
      <c r="S92" s="59">
        <f ca="1">AVERAGE(OFFSET($R$3,0,0,'Données projet'!$E$9+1,1))-AVERAGE(OFFSET($H$3,0,0,'Données projet'!$E$9+1,1))</f>
        <v>467.10712490977266</v>
      </c>
      <c r="T92" s="59">
        <f t="shared" si="88"/>
        <v>282.99426855025968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25.881471066714564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25.881471066714564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68.683362071240253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256.55135999999987</v>
      </c>
      <c r="AK92" s="13">
        <f t="shared" si="89"/>
        <v>61.986696970400146</v>
      </c>
      <c r="AL92" s="20">
        <f t="shared" si="58"/>
        <v>554.78711589011334</v>
      </c>
      <c r="AM92" s="59">
        <f t="shared" si="59"/>
        <v>843.29277681799431</v>
      </c>
      <c r="AN92" s="59">
        <f ca="1">AVERAGE(OFFSET($AM$3,0,0,'Données projet'!$E$10+1,1))-AVERAGE(OFFSET($H$3,0,0,'Données projet'!$E$10+1,1))</f>
        <v>399.57236812003225</v>
      </c>
      <c r="AO92" s="59">
        <f t="shared" si="90"/>
        <v>245.95971136213691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25.68059556513936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25.68059556513936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68.683362071240253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2.2737367544323206E-13</v>
      </c>
      <c r="BE92" s="13">
        <f>BD92*VLOOKUP('Données projet'!$B$11,Paramètres!$A$1:$I$89,3,0)*VLOOKUP('Données projet'!$B$11,Paramètres!$A$1:$I$89,5,0)</f>
        <v>1.3596945791505279E-13</v>
      </c>
      <c r="BF92" s="13">
        <f t="shared" si="91"/>
        <v>1.9708830566360721E-12</v>
      </c>
      <c r="BG92" s="20">
        <f t="shared" si="61"/>
        <v>3.669434796176543E-12</v>
      </c>
      <c r="BH92" s="59">
        <f t="shared" si="62"/>
        <v>288.50566092788461</v>
      </c>
      <c r="BI92" s="59">
        <f ca="1">AVERAGE(OFFSET($BH$3,0,0,'Données projet'!$E$11+1,1))-AVERAGE(OFFSET($H$3,0,0,'Données projet'!$E$11+1,1))</f>
        <v>352.88552266225872</v>
      </c>
      <c r="BJ92" s="59">
        <f t="shared" si="92"/>
        <v>403.29115295154782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99.553023803569204</v>
      </c>
      <c r="BQ92" s="21">
        <f>EXP(-LN(2)/25)*BQ91+(1-EXP(-LN(2)/25))/(LN(2)/25)*Calculateur!BL92*Calculateur!BN92*VLOOKUP('Données projet'!$B$11,Paramètres!$A$1:$I$89,3,0)*0.475*44/12</f>
        <v>25.438753646045107</v>
      </c>
      <c r="BR92" s="21">
        <f>EXP(-LN(2)/2)*BR91+(1-EXP(-LN(2)/2))/(LN(2)/2)*BL92*BO92*VLOOKUP('Données projet'!$B$11,Paramètres!$A$1:$I$89,3,0)*0.475*44/12</f>
        <v>2.0552261275442844E-3</v>
      </c>
      <c r="BS92" s="22">
        <f t="shared" si="63"/>
        <v>124.99383267574186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68.683362071240253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-2.2737367544323206E-13</v>
      </c>
      <c r="BZ92" s="13">
        <f>BY92*VLOOKUP('Données projet'!$B$12,Paramètres!$A$1:$I$89,3,0)*VLOOKUP('Données projet'!$B$12,Paramètres!$A$1:$I$89,5,0)</f>
        <v>-1.0049916454590858E-13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297.1442218517625</v>
      </c>
      <c r="CE92" s="59">
        <f t="shared" si="94"/>
        <v>326.0112787126069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105.72931232731487</v>
      </c>
      <c r="CL92" s="21">
        <f>EXP(-LN(2)/25)*CL91+(1-EXP(-LN(2)/25))/(LN(2)/25)*Calculateur!CG92*Calculateur!CI92*VLOOKUP('Données projet'!$B$12,Paramètres!$A$1:$I$89,3,0)*0.475*44/12</f>
        <v>25.89195095171435</v>
      </c>
      <c r="CM92" s="21">
        <f>EXP(-LN(2)/2)*CM91+(1-EXP(-LN(2)/2))/(LN(2)/2)*CG92*CJ92*VLOOKUP('Données projet'!$B$12,Paramètres!$A$1:$I$89,3,0)*0.475*44/12</f>
        <v>1.8524926995408515E-3</v>
      </c>
      <c r="CN92" s="22">
        <f t="shared" si="66"/>
        <v>131.62311577172875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68.683362071240253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2.2737367544323206E-13</v>
      </c>
      <c r="CU92" s="17">
        <f>CT92*VLOOKUP('Données projet'!$B$13,Paramètres!$A$1:$I$89,3,0)*VLOOKUP('Données projet'!$B$13,Paramètres!$A$1:$I$89,5,0)</f>
        <v>1.3596945791505279E-13</v>
      </c>
      <c r="CV92" s="13">
        <f t="shared" si="95"/>
        <v>1.9708830566360721E-12</v>
      </c>
      <c r="CW92" s="20">
        <f t="shared" si="67"/>
        <v>3.669434796176543E-12</v>
      </c>
      <c r="CX92" s="59">
        <f t="shared" si="68"/>
        <v>288.50566092788461</v>
      </c>
      <c r="CY92" s="59">
        <f ca="1">AVERAGE(OFFSET($CX$3,0,0,'Données projet'!$E$13+1,1))-AVERAGE(OFFSET($H$3,0,0,'Données projet'!$E$13+1,1))</f>
        <v>352.88552266225872</v>
      </c>
      <c r="CZ92" s="59">
        <f t="shared" si="96"/>
        <v>403.29115295154782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99.553023803569204</v>
      </c>
      <c r="DG92" s="21">
        <f>EXP(-LN(2)/25)*DG91+(1-EXP(-LN(2)/25))/(LN(2)/25)*Calculateur!DB92*Calculateur!DD92*VLOOKUP('Données projet'!$B$13,Paramètres!$A$1:$I$89,3,0)*0.475*44/12</f>
        <v>25.438753646045107</v>
      </c>
      <c r="DH92" s="21">
        <f>EXP(-LN(2)/2)*DH91+(1-EXP(-LN(2)/2))/(LN(2)/2)*DB92*DE92*VLOOKUP('Données projet'!$B$13,Paramètres!$A$1:$I$89,3,0)*0.475*44/12</f>
        <v>2.0552261275442844E-3</v>
      </c>
      <c r="DI92" s="22">
        <f t="shared" si="69"/>
        <v>124.99383267574186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68.683362071240253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68.683362071240253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68.683362071240253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68.683362071240253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68.683362071240253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1.25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4.583333333333333</v>
      </c>
      <c r="H93" s="67">
        <f t="shared" si="56"/>
        <v>238.33333333333334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68.706202795742797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358.00000000000011</v>
      </c>
      <c r="O93" s="13">
        <f>N93*VLOOKUP('Données projet'!$B$9,Paramètres!$A$1:$I$89,3,0)*VLOOKUP('Données projet'!$B$9,Paramètres!$A$1:$I$89,5,0)</f>
        <v>323.91840000000008</v>
      </c>
      <c r="P93" s="13">
        <f t="shared" si="87"/>
        <v>76.168074587293091</v>
      </c>
      <c r="Q93" s="20">
        <f t="shared" si="54"/>
        <v>696.81727657286899</v>
      </c>
      <c r="R93" s="59">
        <f t="shared" si="55"/>
        <v>985.40668682392584</v>
      </c>
      <c r="S93" s="59">
        <f ca="1">AVERAGE(OFFSET($R$3,0,0,'Données projet'!$E$9+1,1))-AVERAGE(OFFSET($H$3,0,0,'Données projet'!$E$9+1,1))</f>
        <v>467.10712490977266</v>
      </c>
      <c r="T93" s="59">
        <f t="shared" si="88"/>
        <v>282.99426855025968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42.233821332745109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42.233821332745109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68.706202795742797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261.68999999999983</v>
      </c>
      <c r="AK93" s="13">
        <f t="shared" si="89"/>
        <v>63.082481711546343</v>
      </c>
      <c r="AL93" s="20">
        <f t="shared" si="58"/>
        <v>565.64540564760955</v>
      </c>
      <c r="AM93" s="59">
        <f t="shared" si="59"/>
        <v>854.23481589866651</v>
      </c>
      <c r="AN93" s="59">
        <f ca="1">AVERAGE(OFFSET($AM$3,0,0,'Données projet'!$E$10+1,1))-AVERAGE(OFFSET($H$3,0,0,'Données projet'!$E$10+1,1))</f>
        <v>399.57236812003225</v>
      </c>
      <c r="AO93" s="59">
        <f t="shared" si="90"/>
        <v>245.95971136213691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31.826489390530451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31.826489390530451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68.706202795742797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2.2737367544323206E-13</v>
      </c>
      <c r="BE93" s="13">
        <f>BD93*VLOOKUP('Données projet'!$B$11,Paramètres!$A$1:$I$89,3,0)*VLOOKUP('Données projet'!$B$11,Paramètres!$A$1:$I$89,5,0)</f>
        <v>1.3596945791505279E-13</v>
      </c>
      <c r="BF93" s="13">
        <f t="shared" si="91"/>
        <v>1.9708830566360721E-12</v>
      </c>
      <c r="BG93" s="20">
        <f t="shared" si="61"/>
        <v>3.669434796176543E-12</v>
      </c>
      <c r="BH93" s="59">
        <f t="shared" si="62"/>
        <v>288.5894102510606</v>
      </c>
      <c r="BI93" s="59">
        <f ca="1">AVERAGE(OFFSET($BH$3,0,0,'Données projet'!$E$11+1,1))-AVERAGE(OFFSET($H$3,0,0,'Données projet'!$E$11+1,1))</f>
        <v>352.88552266225872</v>
      </c>
      <c r="BJ93" s="59">
        <f t="shared" si="92"/>
        <v>403.29115295154782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97.600849728130001</v>
      </c>
      <c r="BQ93" s="21">
        <f>EXP(-LN(2)/25)*BQ92+(1-EXP(-LN(2)/25))/(LN(2)/25)*Calculateur!BL93*Calculateur!BN93*VLOOKUP('Données projet'!$B$11,Paramètres!$A$1:$I$89,3,0)*0.475*44/12</f>
        <v>24.74312958982809</v>
      </c>
      <c r="BR93" s="21">
        <f>EXP(-LN(2)/2)*BR92+(1-EXP(-LN(2)/2))/(LN(2)/2)*BL93*BO93*VLOOKUP('Données projet'!$B$11,Paramètres!$A$1:$I$89,3,0)*0.475*44/12</f>
        <v>1.4532643316583318E-3</v>
      </c>
      <c r="BS93" s="22">
        <f t="shared" si="63"/>
        <v>122.34543258228975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68.706202795742797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-2.2737367544323206E-13</v>
      </c>
      <c r="BZ93" s="13">
        <f>BY93*VLOOKUP('Données projet'!$B$12,Paramètres!$A$1:$I$89,3,0)*VLOOKUP('Données projet'!$B$12,Paramètres!$A$1:$I$89,5,0)</f>
        <v>-1.0049916454590858E-13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297.1442218517625</v>
      </c>
      <c r="CE93" s="59">
        <f t="shared" si="94"/>
        <v>326.0112787126069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103.65602500108903</v>
      </c>
      <c r="CL93" s="21">
        <f>EXP(-LN(2)/25)*CL92+(1-EXP(-LN(2)/25))/(LN(2)/25)*Calculateur!CG93*Calculateur!CI93*VLOOKUP('Données projet'!$B$12,Paramètres!$A$1:$I$89,3,0)*0.475*44/12</f>
        <v>25.183934191341198</v>
      </c>
      <c r="CM93" s="21">
        <f>EXP(-LN(2)/2)*CM92+(1-EXP(-LN(2)/2))/(LN(2)/2)*CG93*CJ93*VLOOKUP('Données projet'!$B$12,Paramètres!$A$1:$I$89,3,0)*0.475*44/12</f>
        <v>1.3099101499439098E-3</v>
      </c>
      <c r="CN93" s="22">
        <f t="shared" si="66"/>
        <v>128.84126910258018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68.706202795742797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2.2737367544323206E-13</v>
      </c>
      <c r="CU93" s="17">
        <f>CT93*VLOOKUP('Données projet'!$B$13,Paramètres!$A$1:$I$89,3,0)*VLOOKUP('Données projet'!$B$13,Paramètres!$A$1:$I$89,5,0)</f>
        <v>1.3596945791505279E-13</v>
      </c>
      <c r="CV93" s="13">
        <f t="shared" si="95"/>
        <v>1.9708830566360721E-12</v>
      </c>
      <c r="CW93" s="20">
        <f t="shared" si="67"/>
        <v>3.669434796176543E-12</v>
      </c>
      <c r="CX93" s="59">
        <f t="shared" si="68"/>
        <v>288.5894102510606</v>
      </c>
      <c r="CY93" s="59">
        <f ca="1">AVERAGE(OFFSET($CX$3,0,0,'Données projet'!$E$13+1,1))-AVERAGE(OFFSET($H$3,0,0,'Données projet'!$E$13+1,1))</f>
        <v>352.88552266225872</v>
      </c>
      <c r="CZ93" s="59">
        <f t="shared" si="96"/>
        <v>403.29115295154782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97.600849728130001</v>
      </c>
      <c r="DG93" s="21">
        <f>EXP(-LN(2)/25)*DG92+(1-EXP(-LN(2)/25))/(LN(2)/25)*Calculateur!DB93*Calculateur!DD93*VLOOKUP('Données projet'!$B$13,Paramètres!$A$1:$I$89,3,0)*0.475*44/12</f>
        <v>24.74312958982809</v>
      </c>
      <c r="DH93" s="21">
        <f>EXP(-LN(2)/2)*DH92+(1-EXP(-LN(2)/2))/(LN(2)/2)*DB93*DE93*VLOOKUP('Données projet'!$B$13,Paramètres!$A$1:$I$89,3,0)*0.475*44/12</f>
        <v>1.4532643316583318E-3</v>
      </c>
      <c r="DI93" s="22">
        <f t="shared" si="69"/>
        <v>122.34543258228975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68.706202795742797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68.706202795742797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68.706202795742797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68.706202795742797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68.706202795742797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1.25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4.583333333333333</v>
      </c>
      <c r="H94" s="67">
        <f t="shared" si="56"/>
        <v>238.33333333333334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68.728647284739438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</v>
      </c>
      <c r="N94" s="13">
        <f>IF('Données projet'!$A$36&gt;35,N93+M94-V93,IF(A94&lt;'Données projet'!$A$36,$K$205^A94,IF(A94='Données projet'!$A$36,'Données projet'!$B$36,N93+M94-V93)))</f>
        <v>308.00000000000011</v>
      </c>
      <c r="O94" s="13">
        <f>N94*VLOOKUP('Données projet'!$B$9,Paramètres!$A$1:$I$89,3,0)*VLOOKUP('Données projet'!$B$9,Paramètres!$A$1:$I$89,5,0)</f>
        <v>278.67840000000007</v>
      </c>
      <c r="P94" s="13">
        <f t="shared" si="87"/>
        <v>66.687639951856809</v>
      </c>
      <c r="Q94" s="20">
        <f t="shared" si="54"/>
        <v>601.51251958281739</v>
      </c>
      <c r="R94" s="59">
        <f t="shared" si="55"/>
        <v>890.18422629352858</v>
      </c>
      <c r="S94" s="59">
        <f ca="1">AVERAGE(OFFSET($R$3,0,0,'Données projet'!$E$9+1,1))-AVERAGE(OFFSET($H$3,0,0,'Données projet'!$E$9+1,1))</f>
        <v>467.10712490977266</v>
      </c>
      <c r="T94" s="59">
        <f t="shared" si="88"/>
        <v>282.99426855025968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41.40564185649739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41.40564185649739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68.728647284739438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2.8</v>
      </c>
      <c r="AI94" s="13">
        <f>IF('Données projet'!$A$62&gt;35,AI93+AH94-AQ93,IF(A94&lt;'Données projet'!$A$62,$AF$205^A94,IF(A94='Données projet'!$A$62,'Données projet'!$B$62,AI93+AH94-AQ93)))</f>
        <v>256.79999999999984</v>
      </c>
      <c r="AJ94" s="13">
        <f>AI94*VLOOKUP('Données projet'!$B$10,Paramètres!$A$1:$I$89,3,0)*VLOOKUP('Données projet'!$B$10,Paramètres!$A$1:$I$89,5,0)</f>
        <v>244.37087999999986</v>
      </c>
      <c r="AK94" s="13">
        <f t="shared" si="89"/>
        <v>59.378956514447275</v>
      </c>
      <c r="AL94" s="20">
        <f t="shared" si="58"/>
        <v>529.03096526266211</v>
      </c>
      <c r="AM94" s="59">
        <f t="shared" si="59"/>
        <v>817.7026719733733</v>
      </c>
      <c r="AN94" s="59">
        <f ca="1">AVERAGE(OFFSET($AM$3,0,0,'Données projet'!$E$10+1,1))-AVERAGE(OFFSET($H$3,0,0,'Données projet'!$E$10+1,1))</f>
        <v>399.57236812003225</v>
      </c>
      <c r="AO94" s="59">
        <f t="shared" si="90"/>
        <v>245.95971136213691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31.202391345823877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31.202391345823877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68.728647284739438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2.2737367544323206E-13</v>
      </c>
      <c r="BE94" s="13">
        <f>BD94*VLOOKUP('Données projet'!$B$11,Paramètres!$A$1:$I$89,3,0)*VLOOKUP('Données projet'!$B$11,Paramètres!$A$1:$I$89,5,0)</f>
        <v>1.3596945791505279E-13</v>
      </c>
      <c r="BF94" s="13">
        <f t="shared" si="91"/>
        <v>1.9708830566360721E-12</v>
      </c>
      <c r="BG94" s="20">
        <f t="shared" si="61"/>
        <v>3.669434796176543E-12</v>
      </c>
      <c r="BH94" s="59">
        <f t="shared" si="62"/>
        <v>288.67170671071494</v>
      </c>
      <c r="BI94" s="59">
        <f ca="1">AVERAGE(OFFSET($BH$3,0,0,'Données projet'!$E$11+1,1))-AVERAGE(OFFSET($H$3,0,0,'Données projet'!$E$11+1,1))</f>
        <v>352.88552266225872</v>
      </c>
      <c r="BJ94" s="59">
        <f t="shared" si="92"/>
        <v>403.29115295154782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95.686956595601544</v>
      </c>
      <c r="BQ94" s="21">
        <f>EXP(-LN(2)/25)*BQ93+(1-EXP(-LN(2)/25))/(LN(2)/25)*Calculateur!BL94*Calculateur!BN94*VLOOKUP('Données projet'!$B$11,Paramètres!$A$1:$I$89,3,0)*0.475*44/12</f>
        <v>24.066527410009606</v>
      </c>
      <c r="BR94" s="21">
        <f>EXP(-LN(2)/2)*BR93+(1-EXP(-LN(2)/2))/(LN(2)/2)*BL94*BO94*VLOOKUP('Données projet'!$B$11,Paramètres!$A$1:$I$89,3,0)*0.475*44/12</f>
        <v>1.0276130637721422E-3</v>
      </c>
      <c r="BS94" s="22">
        <f t="shared" si="63"/>
        <v>119.75451161867491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68.728647284739438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-1.0049916454590858E-13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297.1442218517625</v>
      </c>
      <c r="CE94" s="59">
        <f t="shared" si="94"/>
        <v>326.0112787126069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101.62339357475008</v>
      </c>
      <c r="CL94" s="21">
        <f>EXP(-LN(2)/25)*CL93+(1-EXP(-LN(2)/25))/(LN(2)/25)*Calculateur!CG94*Calculateur!CI94*VLOOKUP('Données projet'!$B$12,Paramètres!$A$1:$I$89,3,0)*0.475*44/12</f>
        <v>24.495278186513431</v>
      </c>
      <c r="CM94" s="21">
        <f>EXP(-LN(2)/2)*CM93+(1-EXP(-LN(2)/2))/(LN(2)/2)*CG94*CJ94*VLOOKUP('Données projet'!$B$12,Paramètres!$A$1:$I$89,3,0)*0.475*44/12</f>
        <v>9.2624634977042598E-4</v>
      </c>
      <c r="CN94" s="22">
        <f t="shared" si="66"/>
        <v>126.11959800761328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68.728647284739438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2.2737367544323206E-13</v>
      </c>
      <c r="CU94" s="17">
        <f>CT94*VLOOKUP('Données projet'!$B$13,Paramètres!$A$1:$I$89,3,0)*VLOOKUP('Données projet'!$B$13,Paramètres!$A$1:$I$89,5,0)</f>
        <v>1.3596945791505279E-13</v>
      </c>
      <c r="CV94" s="13">
        <f t="shared" si="95"/>
        <v>1.9708830566360721E-12</v>
      </c>
      <c r="CW94" s="20">
        <f t="shared" si="67"/>
        <v>3.669434796176543E-12</v>
      </c>
      <c r="CX94" s="59">
        <f t="shared" si="68"/>
        <v>288.67170671071494</v>
      </c>
      <c r="CY94" s="59">
        <f ca="1">AVERAGE(OFFSET($CX$3,0,0,'Données projet'!$E$13+1,1))-AVERAGE(OFFSET($H$3,0,0,'Données projet'!$E$13+1,1))</f>
        <v>352.88552266225872</v>
      </c>
      <c r="CZ94" s="59">
        <f t="shared" si="96"/>
        <v>403.29115295154782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95.686956595601544</v>
      </c>
      <c r="DG94" s="21">
        <f>EXP(-LN(2)/25)*DG93+(1-EXP(-LN(2)/25))/(LN(2)/25)*Calculateur!DB94*Calculateur!DD94*VLOOKUP('Données projet'!$B$13,Paramètres!$A$1:$I$89,3,0)*0.475*44/12</f>
        <v>24.066527410009606</v>
      </c>
      <c r="DH94" s="21">
        <f>EXP(-LN(2)/2)*DH93+(1-EXP(-LN(2)/2))/(LN(2)/2)*DB94*DE94*VLOOKUP('Données projet'!$B$13,Paramètres!$A$1:$I$89,3,0)*0.475*44/12</f>
        <v>1.0276130637721422E-3</v>
      </c>
      <c r="DI94" s="22">
        <f t="shared" si="69"/>
        <v>119.75451161867491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68.728647284739438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68.728647284739438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68.728647284739438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68.728647284739438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68.728647284739438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1.25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4.583333333333333</v>
      </c>
      <c r="H95" s="67">
        <f t="shared" si="56"/>
        <v>238.33333333333334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68.75070241203035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</v>
      </c>
      <c r="N95" s="13">
        <f>IF('Données projet'!$A$36&gt;35,N94+M95-V94,IF(A95&lt;'Données projet'!$A$36,$K$205^A95,IF(A95='Données projet'!$A$36,'Données projet'!$B$36,N94+M95-V94)))</f>
        <v>314.00000000000011</v>
      </c>
      <c r="O95" s="13">
        <f>N95*VLOOKUP('Données projet'!$B$9,Paramètres!$A$1:$I$89,3,0)*VLOOKUP('Données projet'!$B$9,Paramètres!$A$1:$I$89,5,0)</f>
        <v>284.10720000000009</v>
      </c>
      <c r="P95" s="13">
        <f t="shared" si="87"/>
        <v>67.834241327943772</v>
      </c>
      <c r="Q95" s="20">
        <f t="shared" si="54"/>
        <v>612.96467697950209</v>
      </c>
      <c r="R95" s="59">
        <f t="shared" si="55"/>
        <v>901.71725249028009</v>
      </c>
      <c r="S95" s="59">
        <f ca="1">AVERAGE(OFFSET($R$3,0,0,'Données projet'!$E$9+1,1))-AVERAGE(OFFSET($H$3,0,0,'Données projet'!$E$9+1,1))</f>
        <v>467.10712490977266</v>
      </c>
      <c r="T95" s="59">
        <f t="shared" si="88"/>
        <v>282.99426855025968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40.593702474639286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40.593702474639286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68.75070241203035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2.8</v>
      </c>
      <c r="AI95" s="13">
        <f>IF('Données projet'!$A$62&gt;35,AI94+AH95-AQ94,IF(A95&lt;'Données projet'!$A$62,$AF$205^A95,IF(A95='Données projet'!$A$62,'Données projet'!$B$62,AI94+AH95-AQ94)))</f>
        <v>259.59999999999985</v>
      </c>
      <c r="AJ95" s="13">
        <f>AI95*VLOOKUP('Données projet'!$B$10,Paramètres!$A$1:$I$89,3,0)*VLOOKUP('Données projet'!$B$10,Paramètres!$A$1:$I$89,5,0)</f>
        <v>247.03535999999986</v>
      </c>
      <c r="AK95" s="13">
        <f t="shared" si="89"/>
        <v>59.950667728813784</v>
      </c>
      <c r="AL95" s="20">
        <f t="shared" si="58"/>
        <v>534.66733162768367</v>
      </c>
      <c r="AM95" s="59">
        <f t="shared" si="59"/>
        <v>823.41990713846167</v>
      </c>
      <c r="AN95" s="59">
        <f ca="1">AVERAGE(OFFSET($AM$3,0,0,'Données projet'!$E$10+1,1))-AVERAGE(OFFSET($H$3,0,0,'Données projet'!$E$10+1,1))</f>
        <v>399.57236812003225</v>
      </c>
      <c r="AO95" s="59">
        <f t="shared" si="90"/>
        <v>245.95971136213691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30.590531483111778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30.590531483111778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68.75070241203035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2.2737367544323206E-13</v>
      </c>
      <c r="BE95" s="13">
        <f>BD95*VLOOKUP('Données projet'!$B$11,Paramètres!$A$1:$I$89,3,0)*VLOOKUP('Données projet'!$B$11,Paramètres!$A$1:$I$89,5,0)</f>
        <v>1.3596945791505279E-13</v>
      </c>
      <c r="BF95" s="13">
        <f t="shared" si="91"/>
        <v>1.9708830566360721E-12</v>
      </c>
      <c r="BG95" s="20">
        <f t="shared" si="61"/>
        <v>3.669434796176543E-12</v>
      </c>
      <c r="BH95" s="59">
        <f t="shared" si="62"/>
        <v>288.75257551078164</v>
      </c>
      <c r="BI95" s="59">
        <f ca="1">AVERAGE(OFFSET($BH$3,0,0,'Données projet'!$E$11+1,1))-AVERAGE(OFFSET($H$3,0,0,'Données projet'!$E$11+1,1))</f>
        <v>352.88552266225872</v>
      </c>
      <c r="BJ95" s="59">
        <f t="shared" si="92"/>
        <v>403.29115295154782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93.810593740042421</v>
      </c>
      <c r="BQ95" s="21">
        <f>EXP(-LN(2)/25)*BQ94+(1-EXP(-LN(2)/25))/(LN(2)/25)*Calculateur!BL95*Calculateur!BN95*VLOOKUP('Données projet'!$B$11,Paramètres!$A$1:$I$89,3,0)*0.475*44/12</f>
        <v>23.408426952379223</v>
      </c>
      <c r="BR95" s="21">
        <f>EXP(-LN(2)/2)*BR94+(1-EXP(-LN(2)/2))/(LN(2)/2)*BL95*BO95*VLOOKUP('Données projet'!$B$11,Paramètres!$A$1:$I$89,3,0)*0.475*44/12</f>
        <v>7.2663216582916589E-4</v>
      </c>
      <c r="BS95" s="22">
        <f t="shared" si="63"/>
        <v>117.21974732458747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68.75070241203035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-1.0049916454590858E-13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297.1442218517625</v>
      </c>
      <c r="CE95" s="59">
        <f t="shared" si="94"/>
        <v>326.0112787126069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99.63062081089889</v>
      </c>
      <c r="CL95" s="21">
        <f>EXP(-LN(2)/25)*CL94+(1-EXP(-LN(2)/25))/(LN(2)/25)*Calculateur!CG95*Calculateur!CI95*VLOOKUP('Données projet'!$B$12,Paramètres!$A$1:$I$89,3,0)*0.475*44/12</f>
        <v>23.825453516352525</v>
      </c>
      <c r="CM95" s="21">
        <f>EXP(-LN(2)/2)*CM94+(1-EXP(-LN(2)/2))/(LN(2)/2)*CG95*CJ95*VLOOKUP('Données projet'!$B$12,Paramètres!$A$1:$I$89,3,0)*0.475*44/12</f>
        <v>6.54955074971955E-4</v>
      </c>
      <c r="CN95" s="22">
        <f t="shared" si="66"/>
        <v>123.45672928232639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68.75070241203035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2.2737367544323206E-13</v>
      </c>
      <c r="CU95" s="17">
        <f>CT95*VLOOKUP('Données projet'!$B$13,Paramètres!$A$1:$I$89,3,0)*VLOOKUP('Données projet'!$B$13,Paramètres!$A$1:$I$89,5,0)</f>
        <v>1.3596945791505279E-13</v>
      </c>
      <c r="CV95" s="13">
        <f t="shared" si="95"/>
        <v>1.9708830566360721E-12</v>
      </c>
      <c r="CW95" s="20">
        <f t="shared" si="67"/>
        <v>3.669434796176543E-12</v>
      </c>
      <c r="CX95" s="59">
        <f t="shared" si="68"/>
        <v>288.75257551078164</v>
      </c>
      <c r="CY95" s="59">
        <f ca="1">AVERAGE(OFFSET($CX$3,0,0,'Données projet'!$E$13+1,1))-AVERAGE(OFFSET($H$3,0,0,'Données projet'!$E$13+1,1))</f>
        <v>352.88552266225872</v>
      </c>
      <c r="CZ95" s="59">
        <f t="shared" si="96"/>
        <v>403.29115295154782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93.810593740042421</v>
      </c>
      <c r="DG95" s="21">
        <f>EXP(-LN(2)/25)*DG94+(1-EXP(-LN(2)/25))/(LN(2)/25)*Calculateur!DB95*Calculateur!DD95*VLOOKUP('Données projet'!$B$13,Paramètres!$A$1:$I$89,3,0)*0.475*44/12</f>
        <v>23.408426952379223</v>
      </c>
      <c r="DH95" s="21">
        <f>EXP(-LN(2)/2)*DH94+(1-EXP(-LN(2)/2))/(LN(2)/2)*DB95*DE95*VLOOKUP('Données projet'!$B$13,Paramètres!$A$1:$I$89,3,0)*0.475*44/12</f>
        <v>7.2663216582916589E-4</v>
      </c>
      <c r="DI95" s="22">
        <f t="shared" si="69"/>
        <v>117.21974732458747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68.75070241203035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68.75070241203035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68.75070241203035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68.75070241203035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68.75070241203035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1.25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4.583333333333333</v>
      </c>
      <c r="H96" s="67">
        <f t="shared" si="56"/>
        <v>238.33333333333334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68.772374932170635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</v>
      </c>
      <c r="N96" s="13">
        <f>IF('Données projet'!$A$36&gt;35,N95+M96-V95,IF(A96&lt;'Données projet'!$A$36,$K$205^A96,IF(A96='Données projet'!$A$36,'Données projet'!$B$36,N95+M96-V95)))</f>
        <v>320.00000000000011</v>
      </c>
      <c r="O96" s="13">
        <f>N96*VLOOKUP('Données projet'!$B$9,Paramètres!$A$1:$I$89,3,0)*VLOOKUP('Données projet'!$B$9,Paramètres!$A$1:$I$89,5,0)</f>
        <v>289.53600000000012</v>
      </c>
      <c r="P96" s="13">
        <f t="shared" si="87"/>
        <v>68.978295099044416</v>
      </c>
      <c r="Q96" s="20">
        <f t="shared" si="54"/>
        <v>624.41239729750248</v>
      </c>
      <c r="R96" s="59">
        <f t="shared" si="55"/>
        <v>913.24443871546146</v>
      </c>
      <c r="S96" s="59">
        <f ca="1">AVERAGE(OFFSET($R$3,0,0,'Données projet'!$E$9+1,1))-AVERAGE(OFFSET($H$3,0,0,'Données projet'!$E$9+1,1))</f>
        <v>467.10712490977266</v>
      </c>
      <c r="T96" s="59">
        <f t="shared" si="88"/>
        <v>282.99426855025968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39.797684728825303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39.797684728825303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68.772374932170635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2.8</v>
      </c>
      <c r="AI96" s="13">
        <f>IF('Données projet'!$A$62&gt;35,AI95+AH96-AQ95,IF(A96&lt;'Données projet'!$A$62,$AF$205^A96,IF(A96='Données projet'!$A$62,'Données projet'!$B$62,AI95+AH96-AQ95)))</f>
        <v>262.39999999999986</v>
      </c>
      <c r="AJ96" s="13">
        <f>AI96*VLOOKUP('Données projet'!$B$10,Paramètres!$A$1:$I$89,3,0)*VLOOKUP('Données projet'!$B$10,Paramètres!$A$1:$I$89,5,0)</f>
        <v>249.69983999999985</v>
      </c>
      <c r="AK96" s="13">
        <f t="shared" si="89"/>
        <v>60.521661612597903</v>
      </c>
      <c r="AL96" s="20">
        <f t="shared" si="58"/>
        <v>540.30244864194117</v>
      </c>
      <c r="AM96" s="59">
        <f t="shared" si="59"/>
        <v>829.13449005990014</v>
      </c>
      <c r="AN96" s="59">
        <f ca="1">AVERAGE(OFFSET($AM$3,0,0,'Données projet'!$E$10+1,1))-AVERAGE(OFFSET($H$3,0,0,'Données projet'!$E$10+1,1))</f>
        <v>399.57236812003225</v>
      </c>
      <c r="AO96" s="59">
        <f t="shared" si="90"/>
        <v>245.95971136213691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29.990669819109797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29.990669819109797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68.772374932170635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2.2737367544323206E-13</v>
      </c>
      <c r="BE96" s="13">
        <f>BD96*VLOOKUP('Données projet'!$B$11,Paramètres!$A$1:$I$89,3,0)*VLOOKUP('Données projet'!$B$11,Paramètres!$A$1:$I$89,5,0)</f>
        <v>1.3596945791505279E-13</v>
      </c>
      <c r="BF96" s="13">
        <f t="shared" si="91"/>
        <v>1.9708830566360721E-12</v>
      </c>
      <c r="BG96" s="20">
        <f t="shared" si="61"/>
        <v>3.669434796176543E-12</v>
      </c>
      <c r="BH96" s="59">
        <f t="shared" si="62"/>
        <v>288.83204141796273</v>
      </c>
      <c r="BI96" s="59">
        <f ca="1">AVERAGE(OFFSET($BH$3,0,0,'Données projet'!$E$11+1,1))-AVERAGE(OFFSET($H$3,0,0,'Données projet'!$E$11+1,1))</f>
        <v>352.88552266225872</v>
      </c>
      <c r="BJ96" s="59">
        <f t="shared" si="92"/>
        <v>403.29115295154782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91.971025215612485</v>
      </c>
      <c r="BQ96" s="21">
        <f>EXP(-LN(2)/25)*BQ95+(1-EXP(-LN(2)/25))/(LN(2)/25)*Calculateur!BL96*Calculateur!BN96*VLOOKUP('Données projet'!$B$11,Paramètres!$A$1:$I$89,3,0)*0.475*44/12</f>
        <v>22.76832228637074</v>
      </c>
      <c r="BR96" s="21">
        <f>EXP(-LN(2)/2)*BR95+(1-EXP(-LN(2)/2))/(LN(2)/2)*BL96*BO96*VLOOKUP('Données projet'!$B$11,Paramètres!$A$1:$I$89,3,0)*0.475*44/12</f>
        <v>5.1380653188607111E-4</v>
      </c>
      <c r="BS96" s="22">
        <f t="shared" si="63"/>
        <v>114.7398613085151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68.772374932170635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-1.0049916454590858E-13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297.1442218517625</v>
      </c>
      <c r="CE96" s="59">
        <f t="shared" si="94"/>
        <v>326.0112787126069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97.676925105475448</v>
      </c>
      <c r="CL96" s="21">
        <f>EXP(-LN(2)/25)*CL95+(1-EXP(-LN(2)/25))/(LN(2)/25)*Calculateur!CG96*Calculateur!CI96*VLOOKUP('Données projet'!$B$12,Paramètres!$A$1:$I$89,3,0)*0.475*44/12</f>
        <v>23.173945237021719</v>
      </c>
      <c r="CM96" s="21">
        <f>EXP(-LN(2)/2)*CM95+(1-EXP(-LN(2)/2))/(LN(2)/2)*CG96*CJ96*VLOOKUP('Données projet'!$B$12,Paramètres!$A$1:$I$89,3,0)*0.475*44/12</f>
        <v>4.6312317488521305E-4</v>
      </c>
      <c r="CN96" s="22">
        <f t="shared" si="66"/>
        <v>120.85133346567204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68.772374932170635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2.2737367544323206E-13</v>
      </c>
      <c r="CU96" s="17">
        <f>CT96*VLOOKUP('Données projet'!$B$13,Paramètres!$A$1:$I$89,3,0)*VLOOKUP('Données projet'!$B$13,Paramètres!$A$1:$I$89,5,0)</f>
        <v>1.3596945791505279E-13</v>
      </c>
      <c r="CV96" s="13">
        <f t="shared" si="95"/>
        <v>1.9708830566360721E-12</v>
      </c>
      <c r="CW96" s="20">
        <f t="shared" si="67"/>
        <v>3.669434796176543E-12</v>
      </c>
      <c r="CX96" s="59">
        <f t="shared" si="68"/>
        <v>288.83204141796273</v>
      </c>
      <c r="CY96" s="59">
        <f ca="1">AVERAGE(OFFSET($CX$3,0,0,'Données projet'!$E$13+1,1))-AVERAGE(OFFSET($H$3,0,0,'Données projet'!$E$13+1,1))</f>
        <v>352.88552266225872</v>
      </c>
      <c r="CZ96" s="59">
        <f t="shared" si="96"/>
        <v>403.29115295154782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91.971025215612485</v>
      </c>
      <c r="DG96" s="21">
        <f>EXP(-LN(2)/25)*DG95+(1-EXP(-LN(2)/25))/(LN(2)/25)*Calculateur!DB96*Calculateur!DD96*VLOOKUP('Données projet'!$B$13,Paramètres!$A$1:$I$89,3,0)*0.475*44/12</f>
        <v>22.76832228637074</v>
      </c>
      <c r="DH96" s="21">
        <f>EXP(-LN(2)/2)*DH95+(1-EXP(-LN(2)/2))/(LN(2)/2)*DB96*DE96*VLOOKUP('Données projet'!$B$13,Paramètres!$A$1:$I$89,3,0)*0.475*44/12</f>
        <v>5.1380653188607111E-4</v>
      </c>
      <c r="DI96" s="22">
        <f t="shared" si="69"/>
        <v>114.7398613085151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68.772374932170635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68.772374932170635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68.772374932170635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68.772374932170635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68.772374932170635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1.25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4.583333333333333</v>
      </c>
      <c r="H97" s="67">
        <f t="shared" si="56"/>
        <v>238.33333333333334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68.793671482538997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</v>
      </c>
      <c r="N97" s="13">
        <f>IF('Données projet'!$A$36&gt;35,N96+M97-V96,IF(A97&lt;'Données projet'!$A$36,$K$205^A97,IF(A97='Données projet'!$A$36,'Données projet'!$B$36,N96+M97-V96)))</f>
        <v>326.00000000000011</v>
      </c>
      <c r="O97" s="13">
        <f>N97*VLOOKUP('Données projet'!$B$9,Paramètres!$A$1:$I$89,3,0)*VLOOKUP('Données projet'!$B$9,Paramètres!$A$1:$I$89,5,0)</f>
        <v>294.96480000000008</v>
      </c>
      <c r="P97" s="13">
        <f t="shared" si="87"/>
        <v>70.119854541045001</v>
      </c>
      <c r="Q97" s="20">
        <f t="shared" si="54"/>
        <v>635.85577332565356</v>
      </c>
      <c r="R97" s="59">
        <f t="shared" si="55"/>
        <v>924.76590209496317</v>
      </c>
      <c r="S97" s="59">
        <f ca="1">AVERAGE(OFFSET($R$3,0,0,'Données projet'!$E$9+1,1))-AVERAGE(OFFSET($H$3,0,0,'Données projet'!$E$9+1,1))</f>
        <v>467.10712490977266</v>
      </c>
      <c r="T97" s="59">
        <f t="shared" si="88"/>
        <v>282.99426855025968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39.017276405483848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39.017276405483848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68.793671482538997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2.8</v>
      </c>
      <c r="AI97" s="13">
        <f>IF('Données projet'!$A$62&gt;35,AI96+AH97-AQ96,IF(A97&lt;'Données projet'!$A$62,$AF$205^A97,IF(A97='Données projet'!$A$62,'Données projet'!$B$62,AI96+AH97-AQ96)))</f>
        <v>265.19999999999987</v>
      </c>
      <c r="AJ97" s="13">
        <f>AI97*VLOOKUP('Données projet'!$B$10,Paramètres!$A$1:$I$89,3,0)*VLOOKUP('Données projet'!$B$10,Paramètres!$A$1:$I$89,5,0)</f>
        <v>252.36431999999985</v>
      </c>
      <c r="AK97" s="13">
        <f t="shared" si="89"/>
        <v>61.091946706239789</v>
      </c>
      <c r="AL97" s="20">
        <f t="shared" si="58"/>
        <v>545.93633118003402</v>
      </c>
      <c r="AM97" s="59">
        <f t="shared" si="59"/>
        <v>834.84645994934363</v>
      </c>
      <c r="AN97" s="59">
        <f ca="1">AVERAGE(OFFSET($AM$3,0,0,'Données projet'!$E$10+1,1))-AVERAGE(OFFSET($H$3,0,0,'Données projet'!$E$10+1,1))</f>
        <v>399.57236812003225</v>
      </c>
      <c r="AO97" s="59">
        <f t="shared" si="90"/>
        <v>245.95971136213691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29.402571076459409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29.402571076459409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68.793671482538997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2.2737367544323206E-13</v>
      </c>
      <c r="BE97" s="13">
        <f>BD97*VLOOKUP('Données projet'!$B$11,Paramètres!$A$1:$I$89,3,0)*VLOOKUP('Données projet'!$B$11,Paramètres!$A$1:$I$89,5,0)</f>
        <v>1.3596945791505279E-13</v>
      </c>
      <c r="BF97" s="13">
        <f t="shared" si="91"/>
        <v>1.9708830566360721E-12</v>
      </c>
      <c r="BG97" s="20">
        <f t="shared" si="61"/>
        <v>3.669434796176543E-12</v>
      </c>
      <c r="BH97" s="59">
        <f t="shared" si="62"/>
        <v>288.91012876931336</v>
      </c>
      <c r="BI97" s="59">
        <f ca="1">AVERAGE(OFFSET($BH$3,0,0,'Données projet'!$E$11+1,1))-AVERAGE(OFFSET($H$3,0,0,'Données projet'!$E$11+1,1))</f>
        <v>352.88552266225872</v>
      </c>
      <c r="BJ97" s="59">
        <f t="shared" si="92"/>
        <v>403.29115295154782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90.167529507920605</v>
      </c>
      <c r="BQ97" s="21">
        <f>EXP(-LN(2)/25)*BQ96+(1-EXP(-LN(2)/25))/(LN(2)/25)*Calculateur!BL97*Calculateur!BN97*VLOOKUP('Données projet'!$B$11,Paramètres!$A$1:$I$89,3,0)*0.475*44/12</f>
        <v>22.1457213161159</v>
      </c>
      <c r="BR97" s="21">
        <f>EXP(-LN(2)/2)*BR96+(1-EXP(-LN(2)/2))/(LN(2)/2)*BL97*BO97*VLOOKUP('Données projet'!$B$11,Paramètres!$A$1:$I$89,3,0)*0.475*44/12</f>
        <v>3.6331608291458294E-4</v>
      </c>
      <c r="BS97" s="22">
        <f t="shared" si="63"/>
        <v>112.31361414011941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68.793671482538997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-1.0049916454590858E-13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297.1442218517625</v>
      </c>
      <c r="CE97" s="59">
        <f t="shared" si="94"/>
        <v>326.0112787126069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95.76154018119864</v>
      </c>
      <c r="CL97" s="21">
        <f>EXP(-LN(2)/25)*CL96+(1-EXP(-LN(2)/25))/(LN(2)/25)*Calculateur!CG97*Calculateur!CI97*VLOOKUP('Données projet'!$B$12,Paramètres!$A$1:$I$89,3,0)*0.475*44/12</f>
        <v>22.540252485850544</v>
      </c>
      <c r="CM97" s="21">
        <f>EXP(-LN(2)/2)*CM96+(1-EXP(-LN(2)/2))/(LN(2)/2)*CG97*CJ97*VLOOKUP('Données projet'!$B$12,Paramètres!$A$1:$I$89,3,0)*0.475*44/12</f>
        <v>3.2747753748597756E-4</v>
      </c>
      <c r="CN97" s="22">
        <f t="shared" si="66"/>
        <v>118.30212014458667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68.793671482538997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2.2737367544323206E-13</v>
      </c>
      <c r="CU97" s="17">
        <f>CT97*VLOOKUP('Données projet'!$B$13,Paramètres!$A$1:$I$89,3,0)*VLOOKUP('Données projet'!$B$13,Paramètres!$A$1:$I$89,5,0)</f>
        <v>1.3596945791505279E-13</v>
      </c>
      <c r="CV97" s="13">
        <f t="shared" si="95"/>
        <v>1.9708830566360721E-12</v>
      </c>
      <c r="CW97" s="20">
        <f t="shared" si="67"/>
        <v>3.669434796176543E-12</v>
      </c>
      <c r="CX97" s="59">
        <f t="shared" si="68"/>
        <v>288.91012876931336</v>
      </c>
      <c r="CY97" s="59">
        <f ca="1">AVERAGE(OFFSET($CX$3,0,0,'Données projet'!$E$13+1,1))-AVERAGE(OFFSET($H$3,0,0,'Données projet'!$E$13+1,1))</f>
        <v>352.88552266225872</v>
      </c>
      <c r="CZ97" s="59">
        <f t="shared" si="96"/>
        <v>403.29115295154782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90.167529507920605</v>
      </c>
      <c r="DG97" s="21">
        <f>EXP(-LN(2)/25)*DG96+(1-EXP(-LN(2)/25))/(LN(2)/25)*Calculateur!DB97*Calculateur!DD97*VLOOKUP('Données projet'!$B$13,Paramètres!$A$1:$I$89,3,0)*0.475*44/12</f>
        <v>22.1457213161159</v>
      </c>
      <c r="DH97" s="21">
        <f>EXP(-LN(2)/2)*DH96+(1-EXP(-LN(2)/2))/(LN(2)/2)*DB97*DE97*VLOOKUP('Données projet'!$B$13,Paramètres!$A$1:$I$89,3,0)*0.475*44/12</f>
        <v>3.6331608291458294E-4</v>
      </c>
      <c r="DI97" s="22">
        <f t="shared" si="69"/>
        <v>112.31361414011941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68.793671482538997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68.793671482538997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68.793671482538997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68.793671482538997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68.793671482538997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1.25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4.583333333333333</v>
      </c>
      <c r="H98" s="67">
        <f t="shared" si="56"/>
        <v>238.33333333333334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68.814598585370405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6</v>
      </c>
      <c r="N98" s="13">
        <f>IF('Données projet'!$A$36&gt;35,N97+M98-V97,IF(A98&lt;'Données projet'!$A$36,$K$205^A98,IF(A98='Données projet'!$A$36,'Données projet'!$B$36,N97+M98-V97)))</f>
        <v>332.00000000000011</v>
      </c>
      <c r="O98" s="13">
        <f>N98*VLOOKUP('Données projet'!$B$9,Paramètres!$A$1:$I$89,3,0)*VLOOKUP('Données projet'!$B$9,Paramètres!$A$1:$I$89,5,0)</f>
        <v>300.39360000000011</v>
      </c>
      <c r="P98" s="13">
        <f t="shared" si="87"/>
        <v>71.258970856492738</v>
      </c>
      <c r="Q98" s="20">
        <f t="shared" si="54"/>
        <v>647.29489424172505</v>
      </c>
      <c r="R98" s="59">
        <f t="shared" si="55"/>
        <v>936.28175572141652</v>
      </c>
      <c r="S98" s="59">
        <f ca="1">AVERAGE(OFFSET($R$3,0,0,'Données projet'!$E$9+1,1))-AVERAGE(OFFSET($H$3,0,0,'Données projet'!$E$9+1,1))</f>
        <v>467.10712490977266</v>
      </c>
      <c r="T98" s="59">
        <f t="shared" si="88"/>
        <v>282.99426855025968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38.25217141336104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38.25217141336104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68.814598585370405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2.8</v>
      </c>
      <c r="AI98" s="13">
        <f>IF('Données projet'!$A$62&gt;35,AI97+AH98-AQ97,IF(A98&lt;'Données projet'!$A$62,$AF$205^A98,IF(A98='Données projet'!$A$62,'Données projet'!$B$62,AI97+AH98-AQ97)))</f>
        <v>267.99999999999989</v>
      </c>
      <c r="AJ98" s="13">
        <f>AI98*VLOOKUP('Données projet'!$B$10,Paramètres!$A$1:$I$89,3,0)*VLOOKUP('Données projet'!$B$10,Paramètres!$A$1:$I$89,5,0)</f>
        <v>255.0287999999999</v>
      </c>
      <c r="AK98" s="13">
        <f t="shared" si="89"/>
        <v>61.661531359449384</v>
      </c>
      <c r="AL98" s="20">
        <f t="shared" si="58"/>
        <v>551.56899378437413</v>
      </c>
      <c r="AM98" s="59">
        <f t="shared" si="59"/>
        <v>840.5558552640656</v>
      </c>
      <c r="AN98" s="59">
        <f ca="1">AVERAGE(OFFSET($AM$3,0,0,'Données projet'!$E$10+1,1))-AVERAGE(OFFSET($H$3,0,0,'Données projet'!$E$10+1,1))</f>
        <v>399.57236812003225</v>
      </c>
      <c r="AO98" s="59">
        <f t="shared" si="90"/>
        <v>245.95971136213691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28.826004591447582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28.826004591447582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68.814598585370405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2.2737367544323206E-13</v>
      </c>
      <c r="BE98" s="13">
        <f>BD98*VLOOKUP('Données projet'!$B$11,Paramètres!$A$1:$I$89,3,0)*VLOOKUP('Données projet'!$B$11,Paramètres!$A$1:$I$89,5,0)</f>
        <v>1.3596945791505279E-13</v>
      </c>
      <c r="BF98" s="13">
        <f t="shared" si="91"/>
        <v>1.9708830566360721E-12</v>
      </c>
      <c r="BG98" s="20">
        <f t="shared" si="61"/>
        <v>3.669434796176543E-12</v>
      </c>
      <c r="BH98" s="59">
        <f t="shared" si="62"/>
        <v>288.98686147969516</v>
      </c>
      <c r="BI98" s="59">
        <f ca="1">AVERAGE(OFFSET($BH$3,0,0,'Données projet'!$E$11+1,1))-AVERAGE(OFFSET($H$3,0,0,'Données projet'!$E$11+1,1))</f>
        <v>352.88552266225872</v>
      </c>
      <c r="BJ98" s="59">
        <f t="shared" si="92"/>
        <v>403.29115295154782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88.399399251032804</v>
      </c>
      <c r="BQ98" s="21">
        <f>EXP(-LN(2)/25)*BQ97+(1-EXP(-LN(2)/25))/(LN(2)/25)*Calculateur!BL98*Calculateur!BN98*VLOOKUP('Données projet'!$B$11,Paramètres!$A$1:$I$89,3,0)*0.475*44/12</f>
        <v>21.540145402133842</v>
      </c>
      <c r="BR98" s="21">
        <f>EXP(-LN(2)/2)*BR97+(1-EXP(-LN(2)/2))/(LN(2)/2)*BL98*BO98*VLOOKUP('Données projet'!$B$11,Paramètres!$A$1:$I$89,3,0)*0.475*44/12</f>
        <v>2.5690326594303555E-4</v>
      </c>
      <c r="BS98" s="22">
        <f t="shared" si="63"/>
        <v>109.9398015564326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68.814598585370405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-1.0049916454590858E-13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297.1442218517625</v>
      </c>
      <c r="CE98" s="59">
        <f t="shared" si="94"/>
        <v>326.0112787126069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93.883714787017453</v>
      </c>
      <c r="CL98" s="21">
        <f>EXP(-LN(2)/25)*CL97+(1-EXP(-LN(2)/25))/(LN(2)/25)*Calculateur!CG98*Calculateur!CI98*VLOOKUP('Données projet'!$B$12,Paramètres!$A$1:$I$89,3,0)*0.475*44/12</f>
        <v>21.9238880962846</v>
      </c>
      <c r="CM98" s="21">
        <f>EXP(-LN(2)/2)*CM97+(1-EXP(-LN(2)/2))/(LN(2)/2)*CG98*CJ98*VLOOKUP('Données projet'!$B$12,Paramètres!$A$1:$I$89,3,0)*0.475*44/12</f>
        <v>2.3156158744260655E-4</v>
      </c>
      <c r="CN98" s="22">
        <f t="shared" si="66"/>
        <v>115.80783444488949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68.814598585370405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2.2737367544323206E-13</v>
      </c>
      <c r="CU98" s="17">
        <f>CT98*VLOOKUP('Données projet'!$B$13,Paramètres!$A$1:$I$89,3,0)*VLOOKUP('Données projet'!$B$13,Paramètres!$A$1:$I$89,5,0)</f>
        <v>1.3596945791505279E-13</v>
      </c>
      <c r="CV98" s="13">
        <f t="shared" si="95"/>
        <v>1.9708830566360721E-12</v>
      </c>
      <c r="CW98" s="20">
        <f t="shared" si="67"/>
        <v>3.669434796176543E-12</v>
      </c>
      <c r="CX98" s="59">
        <f t="shared" si="68"/>
        <v>288.98686147969516</v>
      </c>
      <c r="CY98" s="59">
        <f ca="1">AVERAGE(OFFSET($CX$3,0,0,'Données projet'!$E$13+1,1))-AVERAGE(OFFSET($H$3,0,0,'Données projet'!$E$13+1,1))</f>
        <v>352.88552266225872</v>
      </c>
      <c r="CZ98" s="59">
        <f t="shared" si="96"/>
        <v>403.29115295154782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88.399399251032804</v>
      </c>
      <c r="DG98" s="21">
        <f>EXP(-LN(2)/25)*DG97+(1-EXP(-LN(2)/25))/(LN(2)/25)*Calculateur!DB98*Calculateur!DD98*VLOOKUP('Données projet'!$B$13,Paramètres!$A$1:$I$89,3,0)*0.475*44/12</f>
        <v>21.540145402133842</v>
      </c>
      <c r="DH98" s="21">
        <f>EXP(-LN(2)/2)*DH97+(1-EXP(-LN(2)/2))/(LN(2)/2)*DB98*DE98*VLOOKUP('Données projet'!$B$13,Paramètres!$A$1:$I$89,3,0)*0.475*44/12</f>
        <v>2.5690326594303555E-4</v>
      </c>
      <c r="DI98" s="22">
        <f t="shared" si="69"/>
        <v>109.9398015564326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68.814598585370405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68.814598585370405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68.814598585370405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68.814598585370405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68.814598585370405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1.25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4.583333333333333</v>
      </c>
      <c r="H99" s="67">
        <f t="shared" si="56"/>
        <v>238.33333333333334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68.835162649753684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</v>
      </c>
      <c r="N99" s="13">
        <f>IF('Données projet'!$A$36&gt;35,N98+M99-V98,IF(A99&lt;'Données projet'!$A$36,$K$205^A99,IF(A99='Données projet'!$A$36,'Données projet'!$B$36,N98+M99-V98)))</f>
        <v>338.00000000000011</v>
      </c>
      <c r="O99" s="13">
        <f>N99*VLOOKUP('Données projet'!$B$9,Paramètres!$A$1:$I$89,3,0)*VLOOKUP('Données projet'!$B$9,Paramètres!$A$1:$I$89,5,0)</f>
        <v>305.82240000000007</v>
      </c>
      <c r="P99" s="13">
        <f t="shared" si="87"/>
        <v>72.395693291268941</v>
      </c>
      <c r="Q99" s="20">
        <f t="shared" ref="Q99:Q130" si="107">(O99+P99)*0.475*44/12</f>
        <v>658.72984581562685</v>
      </c>
      <c r="R99" s="59">
        <f t="shared" si="55"/>
        <v>947.79210886472367</v>
      </c>
      <c r="S99" s="59">
        <f ca="1">AVERAGE(OFFSET($R$3,0,0,'Données projet'!$E$9+1,1))-AVERAGE(OFFSET($H$3,0,0,'Données projet'!$E$9+1,1))</f>
        <v>467.10712490977266</v>
      </c>
      <c r="T99" s="59">
        <f t="shared" si="88"/>
        <v>282.99426855025968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37.502069663465797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37.502069663465797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68.835162649753684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2.8</v>
      </c>
      <c r="AI99" s="13">
        <f>IF('Données projet'!$A$62&gt;35,AI98+AH99-AQ98,IF(A99&lt;'Données projet'!$A$62,$AF$205^A99,IF(A99='Données projet'!$A$62,'Données projet'!$B$62,AI98+AH99-AQ98)))</f>
        <v>270.7999999999999</v>
      </c>
      <c r="AJ99" s="13">
        <f>AI99*VLOOKUP('Données projet'!$B$10,Paramètres!$A$1:$I$89,3,0)*VLOOKUP('Données projet'!$B$10,Paramètres!$A$1:$I$89,5,0)</f>
        <v>257.6932799999999</v>
      </c>
      <c r="AK99" s="13">
        <f t="shared" si="89"/>
        <v>62.230423737412856</v>
      </c>
      <c r="AL99" s="20">
        <f t="shared" si="58"/>
        <v>557.20045067599392</v>
      </c>
      <c r="AM99" s="59">
        <f t="shared" si="59"/>
        <v>846.26271372509075</v>
      </c>
      <c r="AN99" s="59">
        <f ca="1">AVERAGE(OFFSET($AM$3,0,0,'Données projet'!$E$10+1,1))-AVERAGE(OFFSET($H$3,0,0,'Données projet'!$E$10+1,1))</f>
        <v>399.57236812003225</v>
      </c>
      <c r="AO99" s="59">
        <f t="shared" si="90"/>
        <v>245.95971136213691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28.260744223536005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28.260744223536005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68.835162649753684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2.2737367544323206E-13</v>
      </c>
      <c r="BE99" s="13">
        <f>BD99*VLOOKUP('Données projet'!$B$11,Paramètres!$A$1:$I$89,3,0)*VLOOKUP('Données projet'!$B$11,Paramètres!$A$1:$I$89,5,0)</f>
        <v>1.3596945791505279E-13</v>
      </c>
      <c r="BF99" s="13">
        <f t="shared" si="91"/>
        <v>1.9708830566360721E-12</v>
      </c>
      <c r="BG99" s="20">
        <f t="shared" si="61"/>
        <v>3.669434796176543E-12</v>
      </c>
      <c r="BH99" s="59">
        <f t="shared" si="62"/>
        <v>289.06226304910052</v>
      </c>
      <c r="BI99" s="59">
        <f ca="1">AVERAGE(OFFSET($BH$3,0,0,'Données projet'!$E$11+1,1))-AVERAGE(OFFSET($H$3,0,0,'Données projet'!$E$11+1,1))</f>
        <v>352.88552266225872</v>
      </c>
      <c r="BJ99" s="59">
        <f t="shared" si="92"/>
        <v>403.29115295154782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86.665940950029608</v>
      </c>
      <c r="BQ99" s="21">
        <f>EXP(-LN(2)/25)*BQ98+(1-EXP(-LN(2)/25))/(LN(2)/25)*Calculateur!BL99*Calculateur!BN99*VLOOKUP('Données projet'!$B$11,Paramètres!$A$1:$I$89,3,0)*0.475*44/12</f>
        <v>20.951128993365476</v>
      </c>
      <c r="BR99" s="21">
        <f>EXP(-LN(2)/2)*BR98+(1-EXP(-LN(2)/2))/(LN(2)/2)*BL99*BO99*VLOOKUP('Données projet'!$B$11,Paramètres!$A$1:$I$89,3,0)*0.475*44/12</f>
        <v>1.8165804145729147E-4</v>
      </c>
      <c r="BS99" s="22">
        <f t="shared" si="63"/>
        <v>107.61725160143654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68.835162649753684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-1.0049916454590858E-13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297.1442218517625</v>
      </c>
      <c r="CE99" s="59">
        <f t="shared" si="94"/>
        <v>326.0112787126069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92.042712403455766</v>
      </c>
      <c r="CL99" s="21">
        <f>EXP(-LN(2)/25)*CL98+(1-EXP(-LN(2)/25))/(LN(2)/25)*Calculateur!CG99*Calculateur!CI99*VLOOKUP('Données projet'!$B$12,Paramètres!$A$1:$I$89,3,0)*0.475*44/12</f>
        <v>21.32437822336453</v>
      </c>
      <c r="CM99" s="21">
        <f>EXP(-LN(2)/2)*CM98+(1-EXP(-LN(2)/2))/(LN(2)/2)*CG99*CJ99*VLOOKUP('Données projet'!$B$12,Paramètres!$A$1:$I$89,3,0)*0.475*44/12</f>
        <v>1.637387687429888E-4</v>
      </c>
      <c r="CN99" s="22">
        <f t="shared" si="66"/>
        <v>113.36725436558905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68.835162649753684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2.2737367544323206E-13</v>
      </c>
      <c r="CU99" s="17">
        <f>CT99*VLOOKUP('Données projet'!$B$13,Paramètres!$A$1:$I$89,3,0)*VLOOKUP('Données projet'!$B$13,Paramètres!$A$1:$I$89,5,0)</f>
        <v>1.3596945791505279E-13</v>
      </c>
      <c r="CV99" s="13">
        <f t="shared" si="95"/>
        <v>1.9708830566360721E-12</v>
      </c>
      <c r="CW99" s="20">
        <f t="shared" si="67"/>
        <v>3.669434796176543E-12</v>
      </c>
      <c r="CX99" s="59">
        <f t="shared" si="68"/>
        <v>289.06226304910052</v>
      </c>
      <c r="CY99" s="59">
        <f ca="1">AVERAGE(OFFSET($CX$3,0,0,'Données projet'!$E$13+1,1))-AVERAGE(OFFSET($H$3,0,0,'Données projet'!$E$13+1,1))</f>
        <v>352.88552266225872</v>
      </c>
      <c r="CZ99" s="59">
        <f t="shared" si="96"/>
        <v>403.29115295154782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86.665940950029608</v>
      </c>
      <c r="DG99" s="21">
        <f>EXP(-LN(2)/25)*DG98+(1-EXP(-LN(2)/25))/(LN(2)/25)*Calculateur!DB99*Calculateur!DD99*VLOOKUP('Données projet'!$B$13,Paramètres!$A$1:$I$89,3,0)*0.475*44/12</f>
        <v>20.951128993365476</v>
      </c>
      <c r="DH99" s="21">
        <f>EXP(-LN(2)/2)*DH98+(1-EXP(-LN(2)/2))/(LN(2)/2)*DB99*DE99*VLOOKUP('Données projet'!$B$13,Paramètres!$A$1:$I$89,3,0)*0.475*44/12</f>
        <v>1.8165804145729147E-4</v>
      </c>
      <c r="DI99" s="22">
        <f t="shared" si="69"/>
        <v>107.61725160143654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68.835162649753684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68.835162649753684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68.835162649753684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68.835162649753684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68.835162649753684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1.25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4.583333333333333</v>
      </c>
      <c r="H100" s="67">
        <f t="shared" si="56"/>
        <v>238.33333333333334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68.855369973594279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</v>
      </c>
      <c r="N100" s="13">
        <f>IF('Données projet'!$A$36&gt;35,N99+M100-V99,IF(A100&lt;'Données projet'!$A$36,$K$205^A100,IF(A100='Données projet'!$A$36,'Données projet'!$B$36,N99+M100-V99)))</f>
        <v>344.00000000000011</v>
      </c>
      <c r="O100" s="13">
        <f>N100*VLOOKUP('Données projet'!$B$9,Paramètres!$A$1:$I$89,3,0)*VLOOKUP('Données projet'!$B$9,Paramètres!$A$1:$I$89,5,0)</f>
        <v>311.2512000000001</v>
      </c>
      <c r="P100" s="13">
        <f t="shared" si="87"/>
        <v>73.530069242745114</v>
      </c>
      <c r="Q100" s="20">
        <f t="shared" si="107"/>
        <v>670.1607105977813</v>
      </c>
      <c r="R100" s="59">
        <f t="shared" si="55"/>
        <v>959.29706716762701</v>
      </c>
      <c r="S100" s="59">
        <f ca="1">AVERAGE(OFFSET($R$3,0,0,'Données projet'!$E$9+1,1))-AVERAGE(OFFSET($H$3,0,0,'Données projet'!$E$9+1,1))</f>
        <v>467.10712490977266</v>
      </c>
      <c r="T100" s="59">
        <f t="shared" si="88"/>
        <v>282.99426855025968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36.766676951369107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36.766676951369107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68.855369973594279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2.8</v>
      </c>
      <c r="AI100" s="13">
        <f>IF('Données projet'!$A$62&gt;35,AI99+AH100-AQ99,IF(A100&lt;'Données projet'!$A$62,$AF$205^A100,IF(A100='Données projet'!$A$62,'Données projet'!$B$62,AI99+AH100-AQ99)))</f>
        <v>273.59999999999991</v>
      </c>
      <c r="AJ100" s="13">
        <f>AI100*VLOOKUP('Données projet'!$B$10,Paramètres!$A$1:$I$89,3,0)*VLOOKUP('Données projet'!$B$10,Paramètres!$A$1:$I$89,5,0)</f>
        <v>260.35775999999987</v>
      </c>
      <c r="AK100" s="13">
        <f t="shared" si="89"/>
        <v>62.7986318267358</v>
      </c>
      <c r="AL100" s="20">
        <f t="shared" si="58"/>
        <v>562.83071576489795</v>
      </c>
      <c r="AM100" s="59">
        <f t="shared" si="59"/>
        <v>851.96707233474365</v>
      </c>
      <c r="AN100" s="59">
        <f ca="1">AVERAGE(OFFSET($AM$3,0,0,'Données projet'!$E$10+1,1))-AVERAGE(OFFSET($H$3,0,0,'Données projet'!$E$10+1,1))</f>
        <v>399.57236812003225</v>
      </c>
      <c r="AO100" s="59">
        <f t="shared" si="90"/>
        <v>245.95971136213691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27.706568266664394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27.706568266664394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68.855369973594279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2.2737367544323206E-13</v>
      </c>
      <c r="BE100" s="13">
        <f>BD100*VLOOKUP('Données projet'!$B$11,Paramètres!$A$1:$I$89,3,0)*VLOOKUP('Données projet'!$B$11,Paramètres!$A$1:$I$89,5,0)</f>
        <v>1.3596945791505279E-13</v>
      </c>
      <c r="BF100" s="13">
        <f t="shared" si="91"/>
        <v>1.9708830566360721E-12</v>
      </c>
      <c r="BG100" s="20">
        <f t="shared" si="61"/>
        <v>3.669434796176543E-12</v>
      </c>
      <c r="BH100" s="59">
        <f t="shared" si="62"/>
        <v>289.1363565698494</v>
      </c>
      <c r="BI100" s="59">
        <f ca="1">AVERAGE(OFFSET($BH$3,0,0,'Données projet'!$E$11+1,1))-AVERAGE(OFFSET($H$3,0,0,'Données projet'!$E$11+1,1))</f>
        <v>352.88552266225872</v>
      </c>
      <c r="BJ100" s="59">
        <f t="shared" si="92"/>
        <v>403.29115295154782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84.966474709003919</v>
      </c>
      <c r="BQ100" s="21">
        <f>EXP(-LN(2)/25)*BQ99+(1-EXP(-LN(2)/25))/(LN(2)/25)*Calculateur!BL100*Calculateur!BN100*VLOOKUP('Données projet'!$B$11,Paramètres!$A$1:$I$89,3,0)*0.475*44/12</f>
        <v>20.378219269269909</v>
      </c>
      <c r="BR100" s="21">
        <f>EXP(-LN(2)/2)*BR99+(1-EXP(-LN(2)/2))/(LN(2)/2)*BL100*BO100*VLOOKUP('Données projet'!$B$11,Paramètres!$A$1:$I$89,3,0)*0.475*44/12</f>
        <v>1.2845163297151778E-4</v>
      </c>
      <c r="BS100" s="22">
        <f t="shared" si="63"/>
        <v>105.3448224299068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68.855369973594279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-1.0049916454590858E-13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297.1442218517625</v>
      </c>
      <c r="CE100" s="59">
        <f t="shared" si="94"/>
        <v>326.0112787126069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90.237810953735149</v>
      </c>
      <c r="CL100" s="21">
        <f>EXP(-LN(2)/25)*CL99+(1-EXP(-LN(2)/25))/(LN(2)/25)*Calculateur!CG100*Calculateur!CI100*VLOOKUP('Données projet'!$B$12,Paramètres!$A$1:$I$89,3,0)*0.475*44/12</f>
        <v>20.741261979446314</v>
      </c>
      <c r="CM100" s="21">
        <f>EXP(-LN(2)/2)*CM99+(1-EXP(-LN(2)/2))/(LN(2)/2)*CG100*CJ100*VLOOKUP('Données projet'!$B$12,Paramètres!$A$1:$I$89,3,0)*0.475*44/12</f>
        <v>1.157807937213033E-4</v>
      </c>
      <c r="CN100" s="22">
        <f t="shared" si="66"/>
        <v>110.97918871397519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68.855369973594279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2.2737367544323206E-13</v>
      </c>
      <c r="CU100" s="17">
        <f>CT100*VLOOKUP('Données projet'!$B$13,Paramètres!$A$1:$I$89,3,0)*VLOOKUP('Données projet'!$B$13,Paramètres!$A$1:$I$89,5,0)</f>
        <v>1.3596945791505279E-13</v>
      </c>
      <c r="CV100" s="13">
        <f t="shared" si="95"/>
        <v>1.9708830566360721E-12</v>
      </c>
      <c r="CW100" s="20">
        <f t="shared" si="67"/>
        <v>3.669434796176543E-12</v>
      </c>
      <c r="CX100" s="59">
        <f t="shared" si="68"/>
        <v>289.1363565698494</v>
      </c>
      <c r="CY100" s="59">
        <f ca="1">AVERAGE(OFFSET($CX$3,0,0,'Données projet'!$E$13+1,1))-AVERAGE(OFFSET($H$3,0,0,'Données projet'!$E$13+1,1))</f>
        <v>352.88552266225872</v>
      </c>
      <c r="CZ100" s="59">
        <f t="shared" si="96"/>
        <v>403.29115295154782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84.966474709003919</v>
      </c>
      <c r="DG100" s="21">
        <f>EXP(-LN(2)/25)*DG99+(1-EXP(-LN(2)/25))/(LN(2)/25)*Calculateur!DB100*Calculateur!DD100*VLOOKUP('Données projet'!$B$13,Paramètres!$A$1:$I$89,3,0)*0.475*44/12</f>
        <v>20.378219269269909</v>
      </c>
      <c r="DH100" s="21">
        <f>EXP(-LN(2)/2)*DH99+(1-EXP(-LN(2)/2))/(LN(2)/2)*DB100*DE100*VLOOKUP('Données projet'!$B$13,Paramètres!$A$1:$I$89,3,0)*0.475*44/12</f>
        <v>1.2845163297151778E-4</v>
      </c>
      <c r="DI100" s="22">
        <f t="shared" si="69"/>
        <v>105.3448224299068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68.855369973594279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68.855369973594279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68.855369973594279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68.855369973594279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68.855369973594279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1.25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4.583333333333333</v>
      </c>
      <c r="H101" s="67">
        <f t="shared" si="56"/>
        <v>238.33333333333334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68.875226745543046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</v>
      </c>
      <c r="N101" s="13">
        <f>IF('Données projet'!$A$36&gt;35,N100+M101-V100,IF(A101&lt;'Données projet'!$A$36,$K$205^A101,IF(A101='Données projet'!$A$36,'Données projet'!$B$36,N100+M101-V100)))</f>
        <v>350.00000000000011</v>
      </c>
      <c r="O101" s="13">
        <f>N101*VLOOKUP('Données projet'!$B$9,Paramètres!$A$1:$I$89,3,0)*VLOOKUP('Données projet'!$B$9,Paramètres!$A$1:$I$89,5,0)</f>
        <v>316.68000000000012</v>
      </c>
      <c r="P101" s="13">
        <f t="shared" si="87"/>
        <v>74.662144360177763</v>
      </c>
      <c r="Q101" s="20">
        <f t="shared" si="107"/>
        <v>681.58756809397642</v>
      </c>
      <c r="R101" s="59">
        <f t="shared" si="55"/>
        <v>970.79673282763429</v>
      </c>
      <c r="S101" s="59">
        <f ca="1">AVERAGE(OFFSET($R$3,0,0,'Données projet'!$E$9+1,1))-AVERAGE(OFFSET($H$3,0,0,'Données projet'!$E$9+1,1))</f>
        <v>467.10712490977266</v>
      </c>
      <c r="T101" s="59">
        <f t="shared" si="88"/>
        <v>282.99426855025968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36.045704841811371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36.045704841811371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68.875226745543046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2.8</v>
      </c>
      <c r="AI101" s="13">
        <f>IF('Données projet'!$A$62&gt;35,AI100+AH101-AQ100,IF(A101&lt;'Données projet'!$A$62,$AF$205^A101,IF(A101='Données projet'!$A$62,'Données projet'!$B$62,AI100+AH101-AQ100)))</f>
        <v>276.39999999999992</v>
      </c>
      <c r="AJ101" s="13">
        <f>AI101*VLOOKUP('Données projet'!$B$10,Paramètres!$A$1:$I$89,3,0)*VLOOKUP('Données projet'!$B$10,Paramètres!$A$1:$I$89,5,0)</f>
        <v>263.02223999999995</v>
      </c>
      <c r="AK101" s="13">
        <f t="shared" si="89"/>
        <v>63.3661634411352</v>
      </c>
      <c r="AL101" s="20">
        <f t="shared" si="58"/>
        <v>568.45980265997707</v>
      </c>
      <c r="AM101" s="59">
        <f t="shared" si="59"/>
        <v>857.66896739363483</v>
      </c>
      <c r="AN101" s="59">
        <f ca="1">AVERAGE(OFFSET($AM$3,0,0,'Données projet'!$E$10+1,1))-AVERAGE(OFFSET($H$3,0,0,'Données projet'!$E$10+1,1))</f>
        <v>399.57236812003225</v>
      </c>
      <c r="AO101" s="59">
        <f t="shared" si="90"/>
        <v>245.95971136213691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27.163259362293076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27.163259362293076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68.875226745543046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2.2737367544323206E-13</v>
      </c>
      <c r="BE101" s="13">
        <f>BD101*VLOOKUP('Données projet'!$B$11,Paramètres!$A$1:$I$89,3,0)*VLOOKUP('Données projet'!$B$11,Paramètres!$A$1:$I$89,5,0)</f>
        <v>1.3596945791505279E-13</v>
      </c>
      <c r="BF101" s="13">
        <f t="shared" si="91"/>
        <v>1.9708830566360721E-12</v>
      </c>
      <c r="BG101" s="20">
        <f t="shared" si="61"/>
        <v>3.669434796176543E-12</v>
      </c>
      <c r="BH101" s="59">
        <f t="shared" si="62"/>
        <v>289.20916473366151</v>
      </c>
      <c r="BI101" s="59">
        <f ca="1">AVERAGE(OFFSET($BH$3,0,0,'Données projet'!$E$11+1,1))-AVERAGE(OFFSET($H$3,0,0,'Données projet'!$E$11+1,1))</f>
        <v>352.88552266225872</v>
      </c>
      <c r="BJ101" s="59">
        <f t="shared" si="92"/>
        <v>403.29115295154782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83.300333964392692</v>
      </c>
      <c r="BQ101" s="21">
        <f>EXP(-LN(2)/25)*BQ100+(1-EXP(-LN(2)/25))/(LN(2)/25)*Calculateur!BL101*Calculateur!BN101*VLOOKUP('Données projet'!$B$11,Paramètres!$A$1:$I$89,3,0)*0.475*44/12</f>
        <v>19.820975791707745</v>
      </c>
      <c r="BR101" s="21">
        <f>EXP(-LN(2)/2)*BR100+(1-EXP(-LN(2)/2))/(LN(2)/2)*BL101*BO101*VLOOKUP('Données projet'!$B$11,Paramètres!$A$1:$I$89,3,0)*0.475*44/12</f>
        <v>9.0829020728645736E-5</v>
      </c>
      <c r="BS101" s="22">
        <f t="shared" si="63"/>
        <v>103.12140058512117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68.875226745543046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-1.0049916454590858E-13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297.1442218517625</v>
      </c>
      <c r="CE101" s="59">
        <f t="shared" si="94"/>
        <v>326.0112787126069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88.468302520562375</v>
      </c>
      <c r="CL101" s="21">
        <f>EXP(-LN(2)/25)*CL100+(1-EXP(-LN(2)/25))/(LN(2)/25)*Calculateur!CG101*Calculateur!CI101*VLOOKUP('Données projet'!$B$12,Paramètres!$A$1:$I$89,3,0)*0.475*44/12</f>
        <v>20.174091079882793</v>
      </c>
      <c r="CM101" s="21">
        <f>EXP(-LN(2)/2)*CM100+(1-EXP(-LN(2)/2))/(LN(2)/2)*CG101*CJ101*VLOOKUP('Données projet'!$B$12,Paramètres!$A$1:$I$89,3,0)*0.475*44/12</f>
        <v>8.1869384371494416E-5</v>
      </c>
      <c r="CN101" s="22">
        <f t="shared" si="66"/>
        <v>108.64247546982953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68.875226745543046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2.2737367544323206E-13</v>
      </c>
      <c r="CU101" s="17">
        <f>CT101*VLOOKUP('Données projet'!$B$13,Paramètres!$A$1:$I$89,3,0)*VLOOKUP('Données projet'!$B$13,Paramètres!$A$1:$I$89,5,0)</f>
        <v>1.3596945791505279E-13</v>
      </c>
      <c r="CV101" s="13">
        <f t="shared" si="95"/>
        <v>1.9708830566360721E-12</v>
      </c>
      <c r="CW101" s="20">
        <f t="shared" si="67"/>
        <v>3.669434796176543E-12</v>
      </c>
      <c r="CX101" s="59">
        <f t="shared" si="68"/>
        <v>289.20916473366151</v>
      </c>
      <c r="CY101" s="59">
        <f ca="1">AVERAGE(OFFSET($CX$3,0,0,'Données projet'!$E$13+1,1))-AVERAGE(OFFSET($H$3,0,0,'Données projet'!$E$13+1,1))</f>
        <v>352.88552266225872</v>
      </c>
      <c r="CZ101" s="59">
        <f t="shared" si="96"/>
        <v>403.29115295154782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83.300333964392692</v>
      </c>
      <c r="DG101" s="21">
        <f>EXP(-LN(2)/25)*DG100+(1-EXP(-LN(2)/25))/(LN(2)/25)*Calculateur!DB101*Calculateur!DD101*VLOOKUP('Données projet'!$B$13,Paramètres!$A$1:$I$89,3,0)*0.475*44/12</f>
        <v>19.820975791707745</v>
      </c>
      <c r="DH101" s="21">
        <f>EXP(-LN(2)/2)*DH100+(1-EXP(-LN(2)/2))/(LN(2)/2)*DB101*DE101*VLOOKUP('Données projet'!$B$13,Paramètres!$A$1:$I$89,3,0)*0.475*44/12</f>
        <v>9.0829020728645736E-5</v>
      </c>
      <c r="DI101" s="22">
        <f t="shared" si="69"/>
        <v>103.12140058512117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68.875226745543046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68.875226745543046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68.875226745543046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68.875226745543046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68.875226745543046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1.25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4.583333333333333</v>
      </c>
      <c r="H102" s="67">
        <f t="shared" si="56"/>
        <v>238.33333333333334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68.894739046891601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</v>
      </c>
      <c r="N102" s="13">
        <f>IF('Données projet'!$A$36&gt;35,N101+M102-V101,IF(A102&lt;'Données projet'!$A$36,$K$205^A102,IF(A102='Données projet'!$A$36,'Données projet'!$B$36,N101+M102-V101)))</f>
        <v>356.00000000000011</v>
      </c>
      <c r="O102" s="13">
        <f>N102*VLOOKUP('Données projet'!$B$9,Paramètres!$A$1:$I$89,3,0)*VLOOKUP('Données projet'!$B$9,Paramètres!$A$1:$I$89,5,0)</f>
        <v>322.10880000000009</v>
      </c>
      <c r="P102" s="13">
        <f t="shared" si="87"/>
        <v>75.791962638025339</v>
      </c>
      <c r="Q102" s="20">
        <f t="shared" si="107"/>
        <v>693.01049492789423</v>
      </c>
      <c r="R102" s="59">
        <f t="shared" si="55"/>
        <v>982.29120476649678</v>
      </c>
      <c r="S102" s="59">
        <f ca="1">AVERAGE(OFFSET($R$3,0,0,'Données projet'!$E$9+1,1))-AVERAGE(OFFSET($H$3,0,0,'Données projet'!$E$9+1,1))</f>
        <v>467.10712490977266</v>
      </c>
      <c r="T102" s="59">
        <f t="shared" si="88"/>
        <v>282.99426855025968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35.338870555572498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35.338870555572498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68.894739046891601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2.8</v>
      </c>
      <c r="AI102" s="13">
        <f>IF('Données projet'!$A$62&gt;35,AI101+AH102-AQ101,IF(A102&lt;'Données projet'!$A$62,$AF$205^A102,IF(A102='Données projet'!$A$62,'Données projet'!$B$62,AI101+AH102-AQ101)))</f>
        <v>279.19999999999993</v>
      </c>
      <c r="AJ102" s="13">
        <f>AI102*VLOOKUP('Données projet'!$B$10,Paramètres!$A$1:$I$89,3,0)*VLOOKUP('Données projet'!$B$10,Paramètres!$A$1:$I$89,5,0)</f>
        <v>265.68671999999992</v>
      </c>
      <c r="AK102" s="13">
        <f t="shared" si="89"/>
        <v>63.933026226895024</v>
      </c>
      <c r="AL102" s="20">
        <f t="shared" si="58"/>
        <v>574.08772467850861</v>
      </c>
      <c r="AM102" s="59">
        <f t="shared" si="59"/>
        <v>863.36843451711115</v>
      </c>
      <c r="AN102" s="59">
        <f ca="1">AVERAGE(OFFSET($AM$3,0,0,'Données projet'!$E$10+1,1))-AVERAGE(OFFSET($H$3,0,0,'Données projet'!$E$10+1,1))</f>
        <v>399.57236812003225</v>
      </c>
      <c r="AO102" s="59">
        <f t="shared" si="90"/>
        <v>245.95971136213691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26.630604414150771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26.630604414150771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68.894739046891601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2.2737367544323206E-13</v>
      </c>
      <c r="BE102" s="13">
        <f>BD102*VLOOKUP('Données projet'!$B$11,Paramètres!$A$1:$I$89,3,0)*VLOOKUP('Données projet'!$B$11,Paramètres!$A$1:$I$89,5,0)</f>
        <v>1.3596945791505279E-13</v>
      </c>
      <c r="BF102" s="13">
        <f t="shared" si="91"/>
        <v>1.9708830566360721E-12</v>
      </c>
      <c r="BG102" s="20">
        <f t="shared" si="61"/>
        <v>3.669434796176543E-12</v>
      </c>
      <c r="BH102" s="59">
        <f t="shared" si="62"/>
        <v>289.28070983860624</v>
      </c>
      <c r="BI102" s="59">
        <f ca="1">AVERAGE(OFFSET($BH$3,0,0,'Données projet'!$E$11+1,1))-AVERAGE(OFFSET($H$3,0,0,'Données projet'!$E$11+1,1))</f>
        <v>352.88552266225872</v>
      </c>
      <c r="BJ102" s="59">
        <f t="shared" si="92"/>
        <v>403.29115295154782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81.666865223537783</v>
      </c>
      <c r="BQ102" s="21">
        <f>EXP(-LN(2)/25)*BQ101+(1-EXP(-LN(2)/25))/(LN(2)/25)*Calculateur!BL102*Calculateur!BN102*VLOOKUP('Données projet'!$B$11,Paramètres!$A$1:$I$89,3,0)*0.475*44/12</f>
        <v>19.278970166343683</v>
      </c>
      <c r="BR102" s="21">
        <f>EXP(-LN(2)/2)*BR101+(1-EXP(-LN(2)/2))/(LN(2)/2)*BL102*BO102*VLOOKUP('Données projet'!$B$11,Paramètres!$A$1:$I$89,3,0)*0.475*44/12</f>
        <v>6.4225816485758889E-5</v>
      </c>
      <c r="BS102" s="22">
        <f t="shared" si="63"/>
        <v>100.94589961569795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68.894739046891601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-1.0049916454590858E-13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297.1442218517625</v>
      </c>
      <c r="CE102" s="59">
        <f t="shared" si="94"/>
        <v>326.0112787126069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86.733493068470537</v>
      </c>
      <c r="CL102" s="21">
        <f>EXP(-LN(2)/25)*CL101+(1-EXP(-LN(2)/25))/(LN(2)/25)*Calculateur!CG102*Calculateur!CI102*VLOOKUP('Données projet'!$B$12,Paramètres!$A$1:$I$89,3,0)*0.475*44/12</f>
        <v>19.622429498394055</v>
      </c>
      <c r="CM102" s="21">
        <f>EXP(-LN(2)/2)*CM101+(1-EXP(-LN(2)/2))/(LN(2)/2)*CG102*CJ102*VLOOKUP('Données projet'!$B$12,Paramètres!$A$1:$I$89,3,0)*0.475*44/12</f>
        <v>5.7890396860651658E-5</v>
      </c>
      <c r="CN102" s="22">
        <f t="shared" si="66"/>
        <v>106.35598045726145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68.894739046891601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2.2737367544323206E-13</v>
      </c>
      <c r="CU102" s="17">
        <f>CT102*VLOOKUP('Données projet'!$B$13,Paramètres!$A$1:$I$89,3,0)*VLOOKUP('Données projet'!$B$13,Paramètres!$A$1:$I$89,5,0)</f>
        <v>1.3596945791505279E-13</v>
      </c>
      <c r="CV102" s="13">
        <f t="shared" si="95"/>
        <v>1.9708830566360721E-12</v>
      </c>
      <c r="CW102" s="20">
        <f t="shared" si="67"/>
        <v>3.669434796176543E-12</v>
      </c>
      <c r="CX102" s="59">
        <f t="shared" si="68"/>
        <v>289.28070983860624</v>
      </c>
      <c r="CY102" s="59">
        <f ca="1">AVERAGE(OFFSET($CX$3,0,0,'Données projet'!$E$13+1,1))-AVERAGE(OFFSET($H$3,0,0,'Données projet'!$E$13+1,1))</f>
        <v>352.88552266225872</v>
      </c>
      <c r="CZ102" s="59">
        <f t="shared" si="96"/>
        <v>403.29115295154782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81.666865223537783</v>
      </c>
      <c r="DG102" s="21">
        <f>EXP(-LN(2)/25)*DG101+(1-EXP(-LN(2)/25))/(LN(2)/25)*Calculateur!DB102*Calculateur!DD102*VLOOKUP('Données projet'!$B$13,Paramètres!$A$1:$I$89,3,0)*0.475*44/12</f>
        <v>19.278970166343683</v>
      </c>
      <c r="DH102" s="21">
        <f>EXP(-LN(2)/2)*DH101+(1-EXP(-LN(2)/2))/(LN(2)/2)*DB102*DE102*VLOOKUP('Données projet'!$B$13,Paramètres!$A$1:$I$89,3,0)*0.475*44/12</f>
        <v>6.4225816485758889E-5</v>
      </c>
      <c r="DI102" s="22">
        <f t="shared" si="69"/>
        <v>100.94589961569795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68.894739046891601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68.894739046891601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68.894739046891601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68.894739046891601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68.894739046891601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1.25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4.583333333333333</v>
      </c>
      <c r="H103" s="67">
        <f t="shared" si="56"/>
        <v>238.33333333333334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68.913912853434709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362</v>
      </c>
      <c r="L103" s="12">
        <f>VLOOKUP(A103,'Données projet'!$A$35:$I$55,9,0)</f>
        <v>6</v>
      </c>
      <c r="M103" s="12">
        <f t="array" ref="M103">INDEX(L:L,MIN(IF(ISNUMBER(L103:L299),ROW(L103:L299),"")))</f>
        <v>6</v>
      </c>
      <c r="N103" s="13">
        <f>IF('Données projet'!$A$36&gt;35,N102+M103-V102,IF(A103&lt;'Données projet'!$A$36,$K$205^A103,IF(A103='Données projet'!$A$36,'Données projet'!$B$36,N102+M103-V102)))</f>
        <v>362.00000000000011</v>
      </c>
      <c r="O103" s="13">
        <f>N103*VLOOKUP('Données projet'!$B$9,Paramètres!$A$1:$I$89,3,0)*VLOOKUP('Données projet'!$B$9,Paramètres!$A$1:$I$89,5,0)</f>
        <v>327.53760000000011</v>
      </c>
      <c r="P103" s="13">
        <f t="shared" si="87"/>
        <v>76.919566502794808</v>
      </c>
      <c r="Q103" s="20">
        <f t="shared" si="107"/>
        <v>704.42956499236777</v>
      </c>
      <c r="R103" s="59">
        <f t="shared" si="55"/>
        <v>993.78057878829509</v>
      </c>
      <c r="S103" s="59">
        <f ca="1">AVERAGE(OFFSET($R$3,0,0,'Données projet'!$E$9+1,1))-AVERAGE(OFFSET($H$3,0,0,'Données projet'!$E$9+1,1))</f>
        <v>467.10712490977266</v>
      </c>
      <c r="T103" s="59">
        <f t="shared" si="88"/>
        <v>282.99426855025968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56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53.914319861429249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53.914319861429249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68.913912853434709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2.8</v>
      </c>
      <c r="AH103" s="12">
        <f t="array" ref="AH103">INDEX(AG:AG,MIN(IF(ISNUMBER(AG103:AG299),ROW(AG103:AG299),"")))</f>
        <v>2.8</v>
      </c>
      <c r="AI103" s="13">
        <f>IF('Données projet'!$A$62&gt;35,AI102+AH103-AQ102,IF(A103&lt;'Données projet'!$A$62,$AF$205^A103,IF(A103='Données projet'!$A$62,'Données projet'!$B$62,AI102+AH103-AQ102)))</f>
        <v>281.99999999999994</v>
      </c>
      <c r="AJ103" s="13">
        <f>AI103*VLOOKUP('Données projet'!$B$10,Paramètres!$A$1:$I$89,3,0)*VLOOKUP('Données projet'!$B$10,Paramètres!$A$1:$I$89,5,0)</f>
        <v>268.35119999999995</v>
      </c>
      <c r="AK103" s="13">
        <f t="shared" si="89"/>
        <v>64.499227668096069</v>
      </c>
      <c r="AL103" s="20">
        <f t="shared" si="58"/>
        <v>579.71449485526716</v>
      </c>
      <c r="AM103" s="59">
        <f t="shared" si="59"/>
        <v>869.06550865119448</v>
      </c>
      <c r="AN103" s="59">
        <f ca="1">AVERAGE(OFFSET($AM$3,0,0,'Données projet'!$E$10+1,1))-AVERAGE(OFFSET($H$3,0,0,'Données projet'!$E$10+1,1))</f>
        <v>399.57236812003225</v>
      </c>
      <c r="AO103" s="59">
        <f t="shared" si="90"/>
        <v>245.95971136213691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0.30099999999999999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32.75786914546093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32.75786914546093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68.913912853434709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2.2737367544323206E-13</v>
      </c>
      <c r="BE103" s="13">
        <f>BD103*VLOOKUP('Données projet'!$B$11,Paramètres!$A$1:$I$89,3,0)*VLOOKUP('Données projet'!$B$11,Paramètres!$A$1:$I$89,5,0)</f>
        <v>1.3596945791505279E-13</v>
      </c>
      <c r="BF103" s="13">
        <f t="shared" si="91"/>
        <v>1.9708830566360721E-12</v>
      </c>
      <c r="BG103" s="20">
        <f t="shared" si="61"/>
        <v>3.669434796176543E-12</v>
      </c>
      <c r="BH103" s="59">
        <f t="shared" si="62"/>
        <v>289.35101379593095</v>
      </c>
      <c r="BI103" s="59">
        <f ca="1">AVERAGE(OFFSET($BH$3,0,0,'Données projet'!$E$11+1,1))-AVERAGE(OFFSET($H$3,0,0,'Données projet'!$E$11+1,1))</f>
        <v>352.88552266225872</v>
      </c>
      <c r="BJ103" s="59">
        <f t="shared" si="92"/>
        <v>403.29115295154782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80.065427808373485</v>
      </c>
      <c r="BQ103" s="21">
        <f>EXP(-LN(2)/25)*BQ102+(1-EXP(-LN(2)/25))/(LN(2)/25)*Calculateur!BL103*Calculateur!BN103*VLOOKUP('Données projet'!$B$11,Paramètres!$A$1:$I$89,3,0)*0.475*44/12</f>
        <v>18.751785713308038</v>
      </c>
      <c r="BR103" s="21">
        <f>EXP(-LN(2)/2)*BR102+(1-EXP(-LN(2)/2))/(LN(2)/2)*BL103*BO103*VLOOKUP('Données projet'!$B$11,Paramètres!$A$1:$I$89,3,0)*0.475*44/12</f>
        <v>4.5414510364322868E-5</v>
      </c>
      <c r="BS103" s="22">
        <f t="shared" si="63"/>
        <v>98.817258936191891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68.913912853434709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-1.0049916454590858E-13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297.1442218517625</v>
      </c>
      <c r="CE103" s="59">
        <f t="shared" si="94"/>
        <v>326.0112787126069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85.032702171604939</v>
      </c>
      <c r="CL103" s="21">
        <f>EXP(-LN(2)/25)*CL102+(1-EXP(-LN(2)/25))/(LN(2)/25)*Calculateur!CG103*Calculateur!CI103*VLOOKUP('Données projet'!$B$12,Paramètres!$A$1:$I$89,3,0)*0.475*44/12</f>
        <v>19.08585313186175</v>
      </c>
      <c r="CM103" s="21">
        <f>EXP(-LN(2)/2)*CM102+(1-EXP(-LN(2)/2))/(LN(2)/2)*CG103*CJ103*VLOOKUP('Données projet'!$B$12,Paramètres!$A$1:$I$89,3,0)*0.475*44/12</f>
        <v>4.0934692185747215E-5</v>
      </c>
      <c r="CN103" s="22">
        <f t="shared" si="66"/>
        <v>104.11859623815887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68.913912853434709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2.2737367544323206E-13</v>
      </c>
      <c r="CU103" s="17">
        <f>CT103*VLOOKUP('Données projet'!$B$13,Paramètres!$A$1:$I$89,3,0)*VLOOKUP('Données projet'!$B$13,Paramètres!$A$1:$I$89,5,0)</f>
        <v>1.3596945791505279E-13</v>
      </c>
      <c r="CV103" s="13">
        <f t="shared" si="95"/>
        <v>1.9708830566360721E-12</v>
      </c>
      <c r="CW103" s="20">
        <f t="shared" si="67"/>
        <v>3.669434796176543E-12</v>
      </c>
      <c r="CX103" s="59">
        <f t="shared" si="68"/>
        <v>289.35101379593095</v>
      </c>
      <c r="CY103" s="59">
        <f ca="1">AVERAGE(OFFSET($CX$3,0,0,'Données projet'!$E$13+1,1))-AVERAGE(OFFSET($H$3,0,0,'Données projet'!$E$13+1,1))</f>
        <v>352.88552266225872</v>
      </c>
      <c r="CZ103" s="59">
        <f t="shared" si="96"/>
        <v>403.29115295154782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80.065427808373485</v>
      </c>
      <c r="DG103" s="21">
        <f>EXP(-LN(2)/25)*DG102+(1-EXP(-LN(2)/25))/(LN(2)/25)*Calculateur!DB103*Calculateur!DD103*VLOOKUP('Données projet'!$B$13,Paramètres!$A$1:$I$89,3,0)*0.475*44/12</f>
        <v>18.751785713308038</v>
      </c>
      <c r="DH103" s="21">
        <f>EXP(-LN(2)/2)*DH102+(1-EXP(-LN(2)/2))/(LN(2)/2)*DB103*DE103*VLOOKUP('Données projet'!$B$13,Paramètres!$A$1:$I$89,3,0)*0.475*44/12</f>
        <v>4.5414510364322868E-5</v>
      </c>
      <c r="DI103" s="22">
        <f t="shared" si="69"/>
        <v>98.817258936191891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68.913912853434709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68.913912853434709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68.913912853434709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68.913912853434709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68.913912853434709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1.25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4.583333333333333</v>
      </c>
      <c r="H104" s="67">
        <f t="shared" si="56"/>
        <v>238.33333333333334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68.932754037300526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311.2000000000001</v>
      </c>
      <c r="O104" s="13">
        <f>N104*VLOOKUP('Données projet'!$B$9,Paramètres!$A$1:$I$89,3,0)*VLOOKUP('Données projet'!$B$9,Paramètres!$A$1:$I$89,5,0)</f>
        <v>281.57376000000005</v>
      </c>
      <c r="P104" s="13">
        <f t="shared" si="87"/>
        <v>67.299481043335049</v>
      </c>
      <c r="Q104" s="20">
        <f t="shared" si="107"/>
        <v>607.6208948171419</v>
      </c>
      <c r="R104" s="59">
        <f t="shared" si="55"/>
        <v>897.04099295391052</v>
      </c>
      <c r="S104" s="59">
        <f ca="1">AVERAGE(OFFSET($R$3,0,0,'Données projet'!$E$9+1,1))-AVERAGE(OFFSET($H$3,0,0,'Données projet'!$E$9+1,1))</f>
        <v>467.10712490977266</v>
      </c>
      <c r="T104" s="59">
        <f t="shared" si="88"/>
        <v>282.99426855025968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52.857092933434664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52.857092933434664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68.932754037300526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2.4</v>
      </c>
      <c r="AI104" s="13">
        <f>IF('Données projet'!$A$62&gt;35,AI103+AH104-AQ103,IF(A104&lt;'Données projet'!$A$62,$AF$205^A104,IF(A104='Données projet'!$A$62,'Données projet'!$B$62,AI103+AH104-AQ103)))</f>
        <v>263.39999999999992</v>
      </c>
      <c r="AJ104" s="13">
        <f>AI104*VLOOKUP('Données projet'!$B$10,Paramètres!$A$1:$I$89,3,0)*VLOOKUP('Données projet'!$B$10,Paramètres!$A$1:$I$89,5,0)</f>
        <v>250.65143999999992</v>
      </c>
      <c r="AK104" s="13">
        <f t="shared" si="89"/>
        <v>60.725415788925126</v>
      </c>
      <c r="AL104" s="20">
        <f t="shared" si="58"/>
        <v>542.31469049904456</v>
      </c>
      <c r="AM104" s="59">
        <f t="shared" si="59"/>
        <v>831.73478863581317</v>
      </c>
      <c r="AN104" s="59">
        <f ca="1">AVERAGE(OFFSET($AM$3,0,0,'Données projet'!$E$10+1,1))-AVERAGE(OFFSET($H$3,0,0,'Données projet'!$E$10+1,1))</f>
        <v>399.57236812003225</v>
      </c>
      <c r="AO104" s="59">
        <f t="shared" si="90"/>
        <v>245.95971136213691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32.115507311845725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32.115507311845725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68.932754037300526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2.2737367544323206E-13</v>
      </c>
      <c r="BE104" s="13">
        <f>BD104*VLOOKUP('Données projet'!$B$11,Paramètres!$A$1:$I$89,3,0)*VLOOKUP('Données projet'!$B$11,Paramètres!$A$1:$I$89,5,0)</f>
        <v>1.3596945791505279E-13</v>
      </c>
      <c r="BF104" s="13">
        <f t="shared" si="91"/>
        <v>1.9708830566360721E-12</v>
      </c>
      <c r="BG104" s="20">
        <f t="shared" si="61"/>
        <v>3.669434796176543E-12</v>
      </c>
      <c r="BH104" s="59">
        <f t="shared" si="62"/>
        <v>289.42009813677225</v>
      </c>
      <c r="BI104" s="59">
        <f ca="1">AVERAGE(OFFSET($BH$3,0,0,'Données projet'!$E$11+1,1))-AVERAGE(OFFSET($H$3,0,0,'Données projet'!$E$11+1,1))</f>
        <v>352.88552266225872</v>
      </c>
      <c r="BJ104" s="59">
        <f t="shared" si="92"/>
        <v>403.29115295154782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78.495393604140176</v>
      </c>
      <c r="BQ104" s="21">
        <f>EXP(-LN(2)/25)*BQ103+(1-EXP(-LN(2)/25))/(LN(2)/25)*Calculateur!BL104*Calculateur!BN104*VLOOKUP('Données projet'!$B$11,Paramètres!$A$1:$I$89,3,0)*0.475*44/12</f>
        <v>18.239017146864079</v>
      </c>
      <c r="BR104" s="21">
        <f>EXP(-LN(2)/2)*BR103+(1-EXP(-LN(2)/2))/(LN(2)/2)*BL104*BO104*VLOOKUP('Données projet'!$B$11,Paramètres!$A$1:$I$89,3,0)*0.475*44/12</f>
        <v>3.2112908242879444E-5</v>
      </c>
      <c r="BS104" s="22">
        <f t="shared" si="63"/>
        <v>96.734442863912491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68.932754037300526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-1.0049916454590858E-13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297.1442218517625</v>
      </c>
      <c r="CE104" s="59">
        <f t="shared" si="94"/>
        <v>326.0112787126069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83.365262746846867</v>
      </c>
      <c r="CL104" s="21">
        <f>EXP(-LN(2)/25)*CL103+(1-EXP(-LN(2)/25))/(LN(2)/25)*Calculateur!CG104*Calculateur!CI104*VLOOKUP('Données projet'!$B$12,Paramètres!$A$1:$I$89,3,0)*0.475*44/12</f>
        <v>18.563949474289597</v>
      </c>
      <c r="CM104" s="21">
        <f>EXP(-LN(2)/2)*CM103+(1-EXP(-LN(2)/2))/(LN(2)/2)*CG104*CJ104*VLOOKUP('Données projet'!$B$12,Paramètres!$A$1:$I$89,3,0)*0.475*44/12</f>
        <v>2.8945198430325836E-5</v>
      </c>
      <c r="CN104" s="22">
        <f t="shared" si="66"/>
        <v>101.9292411663349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68.932754037300526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2.2737367544323206E-13</v>
      </c>
      <c r="CU104" s="17">
        <f>CT104*VLOOKUP('Données projet'!$B$13,Paramètres!$A$1:$I$89,3,0)*VLOOKUP('Données projet'!$B$13,Paramètres!$A$1:$I$89,5,0)</f>
        <v>1.3596945791505279E-13</v>
      </c>
      <c r="CV104" s="13">
        <f t="shared" si="95"/>
        <v>1.9708830566360721E-12</v>
      </c>
      <c r="CW104" s="20">
        <f t="shared" si="67"/>
        <v>3.669434796176543E-12</v>
      </c>
      <c r="CX104" s="59">
        <f t="shared" si="68"/>
        <v>289.42009813677225</v>
      </c>
      <c r="CY104" s="59">
        <f ca="1">AVERAGE(OFFSET($CX$3,0,0,'Données projet'!$E$13+1,1))-AVERAGE(OFFSET($H$3,0,0,'Données projet'!$E$13+1,1))</f>
        <v>352.88552266225872</v>
      </c>
      <c r="CZ104" s="59">
        <f t="shared" si="96"/>
        <v>403.29115295154782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78.495393604140176</v>
      </c>
      <c r="DG104" s="21">
        <f>EXP(-LN(2)/25)*DG103+(1-EXP(-LN(2)/25))/(LN(2)/25)*Calculateur!DB104*Calculateur!DD104*VLOOKUP('Données projet'!$B$13,Paramètres!$A$1:$I$89,3,0)*0.475*44/12</f>
        <v>18.239017146864079</v>
      </c>
      <c r="DH104" s="21">
        <f>EXP(-LN(2)/2)*DH103+(1-EXP(-LN(2)/2))/(LN(2)/2)*DB104*DE104*VLOOKUP('Données projet'!$B$13,Paramètres!$A$1:$I$89,3,0)*0.475*44/12</f>
        <v>3.2112908242879444E-5</v>
      </c>
      <c r="DI104" s="22">
        <f t="shared" si="69"/>
        <v>96.734442863912491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68.932754037300526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68.932754037300526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68.932754037300526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68.932754037300526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68.932754037300526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1.25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4.583333333333333</v>
      </c>
      <c r="H105" s="67">
        <f t="shared" si="56"/>
        <v>238.33333333333334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68.951268368748842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316.40000000000009</v>
      </c>
      <c r="O105" s="13">
        <f>N105*VLOOKUP('Données projet'!$B$9,Paramètres!$A$1:$I$89,3,0)*VLOOKUP('Données projet'!$B$9,Paramètres!$A$1:$I$89,5,0)</f>
        <v>286.27872000000008</v>
      </c>
      <c r="P105" s="13">
        <f t="shared" si="87"/>
        <v>68.292165517667613</v>
      </c>
      <c r="Q105" s="20">
        <f t="shared" si="107"/>
        <v>617.54429227660455</v>
      </c>
      <c r="R105" s="59">
        <f t="shared" si="55"/>
        <v>907.03227629535036</v>
      </c>
      <c r="S105" s="59">
        <f ca="1">AVERAGE(OFFSET($R$3,0,0,'Données projet'!$E$9+1,1))-AVERAGE(OFFSET($H$3,0,0,'Données projet'!$E$9+1,1))</f>
        <v>467.10712490977266</v>
      </c>
      <c r="T105" s="59">
        <f t="shared" si="88"/>
        <v>282.99426855025968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51.820597580653299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51.820597580653299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68.951268368748842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2.4</v>
      </c>
      <c r="AI105" s="13">
        <f>IF('Données projet'!$A$62&gt;35,AI104+AH105-AQ104,IF(A105&lt;'Données projet'!$A$62,$AF$205^A105,IF(A105='Données projet'!$A$62,'Données projet'!$B$62,AI104+AH105-AQ104)))</f>
        <v>265.7999999999999</v>
      </c>
      <c r="AJ105" s="13">
        <f>AI105*VLOOKUP('Données projet'!$B$10,Paramètres!$A$1:$I$89,3,0)*VLOOKUP('Données projet'!$B$10,Paramètres!$A$1:$I$89,5,0)</f>
        <v>252.93527999999989</v>
      </c>
      <c r="AK105" s="13">
        <f t="shared" si="89"/>
        <v>61.214059245158197</v>
      </c>
      <c r="AL105" s="20">
        <f t="shared" si="58"/>
        <v>547.14343251865034</v>
      </c>
      <c r="AM105" s="59">
        <f t="shared" si="59"/>
        <v>836.63141653739603</v>
      </c>
      <c r="AN105" s="59">
        <f ca="1">AVERAGE(OFFSET($AM$3,0,0,'Données projet'!$E$10+1,1))-AVERAGE(OFFSET($H$3,0,0,'Données projet'!$E$10+1,1))</f>
        <v>399.57236812003225</v>
      </c>
      <c r="AO105" s="59">
        <f t="shared" si="90"/>
        <v>245.95971136213691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31.485741801985686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31.485741801985686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68.951268368748842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2.2737367544323206E-13</v>
      </c>
      <c r="BE105" s="13">
        <f>BD105*VLOOKUP('Données projet'!$B$11,Paramètres!$A$1:$I$89,3,0)*VLOOKUP('Données projet'!$B$11,Paramètres!$A$1:$I$89,5,0)</f>
        <v>1.3596945791505279E-13</v>
      </c>
      <c r="BF105" s="13">
        <f t="shared" si="91"/>
        <v>1.9708830566360721E-12</v>
      </c>
      <c r="BG105" s="20">
        <f t="shared" si="61"/>
        <v>3.669434796176543E-12</v>
      </c>
      <c r="BH105" s="59">
        <f t="shared" si="62"/>
        <v>289.48798401874944</v>
      </c>
      <c r="BI105" s="59">
        <f ca="1">AVERAGE(OFFSET($BH$3,0,0,'Données projet'!$E$11+1,1))-AVERAGE(OFFSET($H$3,0,0,'Données projet'!$E$11+1,1))</f>
        <v>352.88552266225872</v>
      </c>
      <c r="BJ105" s="59">
        <f t="shared" si="92"/>
        <v>403.29115295154782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76.956146813025583</v>
      </c>
      <c r="BQ105" s="21">
        <f>EXP(-LN(2)/25)*BQ104+(1-EXP(-LN(2)/25))/(LN(2)/25)*Calculateur!BL105*Calculateur!BN105*VLOOKUP('Données projet'!$B$11,Paramètres!$A$1:$I$89,3,0)*0.475*44/12</f>
        <v>17.740270263834855</v>
      </c>
      <c r="BR105" s="21">
        <f>EXP(-LN(2)/2)*BR104+(1-EXP(-LN(2)/2))/(LN(2)/2)*BL105*BO105*VLOOKUP('Données projet'!$B$11,Paramètres!$A$1:$I$89,3,0)*0.475*44/12</f>
        <v>2.2707255182161434E-5</v>
      </c>
      <c r="BS105" s="22">
        <f t="shared" si="63"/>
        <v>94.696439784115626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68.951268368748842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-1.0049916454590858E-13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297.1442218517625</v>
      </c>
      <c r="CE105" s="59">
        <f t="shared" si="94"/>
        <v>326.0112787126069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81.73052079217068</v>
      </c>
      <c r="CL105" s="21">
        <f>EXP(-LN(2)/25)*CL104+(1-EXP(-LN(2)/25))/(LN(2)/25)*Calculateur!CG105*Calculateur!CI105*VLOOKUP('Données projet'!$B$12,Paramètres!$A$1:$I$89,3,0)*0.475*44/12</f>
        <v>18.056317299679474</v>
      </c>
      <c r="CM105" s="21">
        <f>EXP(-LN(2)/2)*CM104+(1-EXP(-LN(2)/2))/(LN(2)/2)*CG105*CJ105*VLOOKUP('Données projet'!$B$12,Paramètres!$A$1:$I$89,3,0)*0.475*44/12</f>
        <v>2.0467346092873611E-5</v>
      </c>
      <c r="CN105" s="22">
        <f t="shared" si="66"/>
        <v>99.786858559196247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68.951268368748842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2.2737367544323206E-13</v>
      </c>
      <c r="CU105" s="17">
        <f>CT105*VLOOKUP('Données projet'!$B$13,Paramètres!$A$1:$I$89,3,0)*VLOOKUP('Données projet'!$B$13,Paramètres!$A$1:$I$89,5,0)</f>
        <v>1.3596945791505279E-13</v>
      </c>
      <c r="CV105" s="13">
        <f t="shared" si="95"/>
        <v>1.9708830566360721E-12</v>
      </c>
      <c r="CW105" s="20">
        <f t="shared" si="67"/>
        <v>3.669434796176543E-12</v>
      </c>
      <c r="CX105" s="59">
        <f t="shared" si="68"/>
        <v>289.48798401874944</v>
      </c>
      <c r="CY105" s="59">
        <f ca="1">AVERAGE(OFFSET($CX$3,0,0,'Données projet'!$E$13+1,1))-AVERAGE(OFFSET($H$3,0,0,'Données projet'!$E$13+1,1))</f>
        <v>352.88552266225872</v>
      </c>
      <c r="CZ105" s="59">
        <f t="shared" si="96"/>
        <v>403.29115295154782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76.956146813025583</v>
      </c>
      <c r="DG105" s="21">
        <f>EXP(-LN(2)/25)*DG104+(1-EXP(-LN(2)/25))/(LN(2)/25)*Calculateur!DB105*Calculateur!DD105*VLOOKUP('Données projet'!$B$13,Paramètres!$A$1:$I$89,3,0)*0.475*44/12</f>
        <v>17.740270263834855</v>
      </c>
      <c r="DH105" s="21">
        <f>EXP(-LN(2)/2)*DH104+(1-EXP(-LN(2)/2))/(LN(2)/2)*DB105*DE105*VLOOKUP('Données projet'!$B$13,Paramètres!$A$1:$I$89,3,0)*0.475*44/12</f>
        <v>2.2707255182161434E-5</v>
      </c>
      <c r="DI105" s="22">
        <f t="shared" si="69"/>
        <v>94.696439784115626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68.951268368748842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68.951268368748842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68.951268368748842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68.951268368748842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68.951268368748842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1.25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4.583333333333333</v>
      </c>
      <c r="H106" s="67">
        <f t="shared" si="56"/>
        <v>238.33333333333334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68.96946151793837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321.60000000000008</v>
      </c>
      <c r="O106" s="13">
        <f>N106*VLOOKUP('Données projet'!$B$9,Paramètres!$A$1:$I$89,3,0)*VLOOKUP('Données projet'!$B$9,Paramètres!$A$1:$I$89,5,0)</f>
        <v>290.98368000000005</v>
      </c>
      <c r="P106" s="13">
        <f t="shared" si="87"/>
        <v>69.282952690245423</v>
      </c>
      <c r="Q106" s="20">
        <f t="shared" si="107"/>
        <v>627.46438526884424</v>
      </c>
      <c r="R106" s="59">
        <f t="shared" si="55"/>
        <v>917.01907750128498</v>
      </c>
      <c r="S106" s="59">
        <f ca="1">AVERAGE(OFFSET($R$3,0,0,'Données projet'!$E$9+1,1))-AVERAGE(OFFSET($H$3,0,0,'Données projet'!$E$9+1,1))</f>
        <v>467.10712490977266</v>
      </c>
      <c r="T106" s="59">
        <f t="shared" si="88"/>
        <v>282.99426855025968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50.804427269540234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50.804427269540234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68.96946151793837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2.4</v>
      </c>
      <c r="AI106" s="13">
        <f>IF('Données projet'!$A$62&gt;35,AI105+AH106-AQ105,IF(A106&lt;'Données projet'!$A$62,$AF$205^A106,IF(A106='Données projet'!$A$62,'Données projet'!$B$62,AI105+AH106-AQ105)))</f>
        <v>268.19999999999987</v>
      </c>
      <c r="AJ106" s="13">
        <f>AI106*VLOOKUP('Données projet'!$B$10,Paramètres!$A$1:$I$89,3,0)*VLOOKUP('Données projet'!$B$10,Paramètres!$A$1:$I$89,5,0)</f>
        <v>255.21911999999989</v>
      </c>
      <c r="AK106" s="13">
        <f t="shared" si="89"/>
        <v>61.702189391811984</v>
      </c>
      <c r="AL106" s="20">
        <f t="shared" si="58"/>
        <v>551.97128052407231</v>
      </c>
      <c r="AM106" s="59">
        <f t="shared" si="59"/>
        <v>841.52597275651306</v>
      </c>
      <c r="AN106" s="59">
        <f ca="1">AVERAGE(OFFSET($AM$3,0,0,'Données projet'!$E$10+1,1))-AVERAGE(OFFSET($H$3,0,0,'Données projet'!$E$10+1,1))</f>
        <v>399.57236812003225</v>
      </c>
      <c r="AO106" s="59">
        <f t="shared" si="90"/>
        <v>245.95971136213691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30.868325609654967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30.868325609654967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68.96946151793837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2.2737367544323206E-13</v>
      </c>
      <c r="BE106" s="13">
        <f>BD106*VLOOKUP('Données projet'!$B$11,Paramètres!$A$1:$I$89,3,0)*VLOOKUP('Données projet'!$B$11,Paramètres!$A$1:$I$89,5,0)</f>
        <v>1.3596945791505279E-13</v>
      </c>
      <c r="BF106" s="13">
        <f t="shared" si="91"/>
        <v>1.9708830566360721E-12</v>
      </c>
      <c r="BG106" s="20">
        <f t="shared" si="61"/>
        <v>3.669434796176543E-12</v>
      </c>
      <c r="BH106" s="59">
        <f t="shared" si="62"/>
        <v>289.55469223244438</v>
      </c>
      <c r="BI106" s="59">
        <f ca="1">AVERAGE(OFFSET($BH$3,0,0,'Données projet'!$E$11+1,1))-AVERAGE(OFFSET($H$3,0,0,'Données projet'!$E$11+1,1))</f>
        <v>352.88552266225872</v>
      </c>
      <c r="BJ106" s="59">
        <f t="shared" si="92"/>
        <v>403.29115295154782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75.44708371263691</v>
      </c>
      <c r="BQ106" s="21">
        <f>EXP(-LN(2)/25)*BQ105+(1-EXP(-LN(2)/25))/(LN(2)/25)*Calculateur!BL106*Calculateur!BN106*VLOOKUP('Données projet'!$B$11,Paramètres!$A$1:$I$89,3,0)*0.475*44/12</f>
        <v>17.255161640550025</v>
      </c>
      <c r="BR106" s="21">
        <f>EXP(-LN(2)/2)*BR105+(1-EXP(-LN(2)/2))/(LN(2)/2)*BL106*BO106*VLOOKUP('Données projet'!$B$11,Paramètres!$A$1:$I$89,3,0)*0.475*44/12</f>
        <v>1.6056454121439722E-5</v>
      </c>
      <c r="BS106" s="22">
        <f t="shared" si="63"/>
        <v>92.702261409641054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68.96946151793837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-1.0049916454590858E-13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297.1442218517625</v>
      </c>
      <c r="CE106" s="59">
        <f t="shared" si="94"/>
        <v>326.0112787126069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80.127835130131544</v>
      </c>
      <c r="CL106" s="21">
        <f>EXP(-LN(2)/25)*CL105+(1-EXP(-LN(2)/25))/(LN(2)/25)*Calculateur!CG106*Calculateur!CI106*VLOOKUP('Données projet'!$B$12,Paramètres!$A$1:$I$89,3,0)*0.475*44/12</f>
        <v>17.562566353579282</v>
      </c>
      <c r="CM106" s="21">
        <f>EXP(-LN(2)/2)*CM105+(1-EXP(-LN(2)/2))/(LN(2)/2)*CG106*CJ106*VLOOKUP('Données projet'!$B$12,Paramètres!$A$1:$I$89,3,0)*0.475*44/12</f>
        <v>1.447259921516292E-5</v>
      </c>
      <c r="CN106" s="22">
        <f t="shared" si="66"/>
        <v>97.690415956310048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68.96946151793837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2.2737367544323206E-13</v>
      </c>
      <c r="CU106" s="17">
        <f>CT106*VLOOKUP('Données projet'!$B$13,Paramètres!$A$1:$I$89,3,0)*VLOOKUP('Données projet'!$B$13,Paramètres!$A$1:$I$89,5,0)</f>
        <v>1.3596945791505279E-13</v>
      </c>
      <c r="CV106" s="13">
        <f t="shared" si="95"/>
        <v>1.9708830566360721E-12</v>
      </c>
      <c r="CW106" s="20">
        <f t="shared" si="67"/>
        <v>3.669434796176543E-12</v>
      </c>
      <c r="CX106" s="59">
        <f t="shared" si="68"/>
        <v>289.55469223244438</v>
      </c>
      <c r="CY106" s="59">
        <f ca="1">AVERAGE(OFFSET($CX$3,0,0,'Données projet'!$E$13+1,1))-AVERAGE(OFFSET($H$3,0,0,'Données projet'!$E$13+1,1))</f>
        <v>352.88552266225872</v>
      </c>
      <c r="CZ106" s="59">
        <f t="shared" si="96"/>
        <v>403.29115295154782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75.44708371263691</v>
      </c>
      <c r="DG106" s="21">
        <f>EXP(-LN(2)/25)*DG105+(1-EXP(-LN(2)/25))/(LN(2)/25)*Calculateur!DB106*Calculateur!DD106*VLOOKUP('Données projet'!$B$13,Paramètres!$A$1:$I$89,3,0)*0.475*44/12</f>
        <v>17.255161640550025</v>
      </c>
      <c r="DH106" s="21">
        <f>EXP(-LN(2)/2)*DH105+(1-EXP(-LN(2)/2))/(LN(2)/2)*DB106*DE106*VLOOKUP('Données projet'!$B$13,Paramètres!$A$1:$I$89,3,0)*0.475*44/12</f>
        <v>1.6056454121439722E-5</v>
      </c>
      <c r="DI106" s="22">
        <f t="shared" si="69"/>
        <v>92.702261409641054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68.96946151793837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68.96946151793837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68.96946151793837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68.96946151793837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68.96946151793837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1.25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4.583333333333333</v>
      </c>
      <c r="H107" s="67">
        <f t="shared" si="56"/>
        <v>238.33333333333334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68.987339056663245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326.80000000000007</v>
      </c>
      <c r="O107" s="13">
        <f>N107*VLOOKUP('Données projet'!$B$9,Paramètres!$A$1:$I$89,3,0)*VLOOKUP('Données projet'!$B$9,Paramètres!$A$1:$I$89,5,0)</f>
        <v>295.68864000000008</v>
      </c>
      <c r="P107" s="13">
        <f t="shared" si="87"/>
        <v>70.271876780519747</v>
      </c>
      <c r="Q107" s="20">
        <f t="shared" si="107"/>
        <v>637.38123339273864</v>
      </c>
      <c r="R107" s="59">
        <f t="shared" si="55"/>
        <v>927.00147660050379</v>
      </c>
      <c r="S107" s="59">
        <f ca="1">AVERAGE(OFFSET($R$3,0,0,'Données projet'!$E$9+1,1))-AVERAGE(OFFSET($H$3,0,0,'Données projet'!$E$9+1,1))</f>
        <v>467.10712490977266</v>
      </c>
      <c r="T107" s="59">
        <f t="shared" si="88"/>
        <v>282.99426855025968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49.808183438425409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49.808183438425409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68.987339056663245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2.4</v>
      </c>
      <c r="AI107" s="13">
        <f>IF('Données projet'!$A$62&gt;35,AI106+AH107-AQ106,IF(A107&lt;'Données projet'!$A$62,$AF$205^A107,IF(A107='Données projet'!$A$62,'Données projet'!$B$62,AI106+AH107-AQ106)))</f>
        <v>270.59999999999985</v>
      </c>
      <c r="AJ107" s="13">
        <f>AI107*VLOOKUP('Données projet'!$B$10,Paramètres!$A$1:$I$89,3,0)*VLOOKUP('Données projet'!$B$10,Paramètres!$A$1:$I$89,5,0)</f>
        <v>257.50295999999986</v>
      </c>
      <c r="AK107" s="13">
        <f t="shared" si="89"/>
        <v>62.189811354397172</v>
      </c>
      <c r="AL107" s="20">
        <f t="shared" si="58"/>
        <v>556.79824344224153</v>
      </c>
      <c r="AM107" s="59">
        <f t="shared" si="59"/>
        <v>846.4184866500068</v>
      </c>
      <c r="AN107" s="59">
        <f ca="1">AVERAGE(OFFSET($AM$3,0,0,'Données projet'!$E$10+1,1))-AVERAGE(OFFSET($H$3,0,0,'Données projet'!$E$10+1,1))</f>
        <v>399.57236812003225</v>
      </c>
      <c r="AO107" s="59">
        <f t="shared" si="90"/>
        <v>245.95971136213691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30.263016572269162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30.263016572269162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68.987339056663245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2.2737367544323206E-13</v>
      </c>
      <c r="BE107" s="13">
        <f>BD107*VLOOKUP('Données projet'!$B$11,Paramètres!$A$1:$I$89,3,0)*VLOOKUP('Données projet'!$B$11,Paramètres!$A$1:$I$89,5,0)</f>
        <v>1.3596945791505279E-13</v>
      </c>
      <c r="BF107" s="13">
        <f t="shared" si="91"/>
        <v>1.9708830566360721E-12</v>
      </c>
      <c r="BG107" s="20">
        <f t="shared" si="61"/>
        <v>3.669434796176543E-12</v>
      </c>
      <c r="BH107" s="59">
        <f t="shared" si="62"/>
        <v>289.62024320776891</v>
      </c>
      <c r="BI107" s="59">
        <f ca="1">AVERAGE(OFFSET($BH$3,0,0,'Données projet'!$E$11+1,1))-AVERAGE(OFFSET($H$3,0,0,'Données projet'!$E$11+1,1))</f>
        <v>352.88552266225872</v>
      </c>
      <c r="BJ107" s="59">
        <f t="shared" si="92"/>
        <v>403.29115295154782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73.967612419209246</v>
      </c>
      <c r="BQ107" s="21">
        <f>EXP(-LN(2)/25)*BQ106+(1-EXP(-LN(2)/25))/(LN(2)/25)*Calculateur!BL107*Calculateur!BN107*VLOOKUP('Données projet'!$B$11,Paramètres!$A$1:$I$89,3,0)*0.475*44/12</f>
        <v>16.78331833807967</v>
      </c>
      <c r="BR107" s="21">
        <f>EXP(-LN(2)/2)*BR106+(1-EXP(-LN(2)/2))/(LN(2)/2)*BL107*BO107*VLOOKUP('Données projet'!$B$11,Paramètres!$A$1:$I$89,3,0)*0.475*44/12</f>
        <v>1.1353627591080717E-5</v>
      </c>
      <c r="BS107" s="22">
        <f t="shared" si="63"/>
        <v>90.750942110916498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68.987339056663245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-1.0049916454590858E-13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297.1442218517625</v>
      </c>
      <c r="CE107" s="59">
        <f t="shared" si="94"/>
        <v>326.0112787126069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78.55657715638327</v>
      </c>
      <c r="CL107" s="21">
        <f>EXP(-LN(2)/25)*CL106+(1-EXP(-LN(2)/25))/(LN(2)/25)*Calculateur!CG107*Calculateur!CI107*VLOOKUP('Données projet'!$B$12,Paramètres!$A$1:$I$89,3,0)*0.475*44/12</f>
        <v>17.082317053065431</v>
      </c>
      <c r="CM107" s="21">
        <f>EXP(-LN(2)/2)*CM106+(1-EXP(-LN(2)/2))/(LN(2)/2)*CG107*CJ107*VLOOKUP('Données projet'!$B$12,Paramètres!$A$1:$I$89,3,0)*0.475*44/12</f>
        <v>1.0233673046436807E-5</v>
      </c>
      <c r="CN107" s="22">
        <f t="shared" si="66"/>
        <v>95.638904443121746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68.987339056663245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2.2737367544323206E-13</v>
      </c>
      <c r="CU107" s="17">
        <f>CT107*VLOOKUP('Données projet'!$B$13,Paramètres!$A$1:$I$89,3,0)*VLOOKUP('Données projet'!$B$13,Paramètres!$A$1:$I$89,5,0)</f>
        <v>1.3596945791505279E-13</v>
      </c>
      <c r="CV107" s="13">
        <f t="shared" si="95"/>
        <v>1.9708830566360721E-12</v>
      </c>
      <c r="CW107" s="20">
        <f t="shared" si="67"/>
        <v>3.669434796176543E-12</v>
      </c>
      <c r="CX107" s="59">
        <f t="shared" si="68"/>
        <v>289.62024320776891</v>
      </c>
      <c r="CY107" s="59">
        <f ca="1">AVERAGE(OFFSET($CX$3,0,0,'Données projet'!$E$13+1,1))-AVERAGE(OFFSET($H$3,0,0,'Données projet'!$E$13+1,1))</f>
        <v>352.88552266225872</v>
      </c>
      <c r="CZ107" s="59">
        <f t="shared" si="96"/>
        <v>403.29115295154782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73.967612419209246</v>
      </c>
      <c r="DG107" s="21">
        <f>EXP(-LN(2)/25)*DG106+(1-EXP(-LN(2)/25))/(LN(2)/25)*Calculateur!DB107*Calculateur!DD107*VLOOKUP('Données projet'!$B$13,Paramètres!$A$1:$I$89,3,0)*0.475*44/12</f>
        <v>16.78331833807967</v>
      </c>
      <c r="DH107" s="21">
        <f>EXP(-LN(2)/2)*DH106+(1-EXP(-LN(2)/2))/(LN(2)/2)*DB107*DE107*VLOOKUP('Données projet'!$B$13,Paramètres!$A$1:$I$89,3,0)*0.475*44/12</f>
        <v>1.1353627591080717E-5</v>
      </c>
      <c r="DI107" s="22">
        <f t="shared" si="69"/>
        <v>90.750942110916498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68.987339056663245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68.987339056663245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68.987339056663245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68.987339056663245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68.987339056663245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1.25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4.583333333333333</v>
      </c>
      <c r="H108" s="67">
        <f t="shared" si="56"/>
        <v>238.33333333333334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69.004906460059431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332.00000000000006</v>
      </c>
      <c r="O108" s="13">
        <f>N108*VLOOKUP('Données projet'!$B$9,Paramètres!$A$1:$I$89,3,0)*VLOOKUP('Données projet'!$B$9,Paramètres!$A$1:$I$89,5,0)</f>
        <v>300.39360000000005</v>
      </c>
      <c r="P108" s="13">
        <f t="shared" si="87"/>
        <v>71.258970856492738</v>
      </c>
      <c r="Q108" s="20">
        <f t="shared" si="107"/>
        <v>647.29489424172493</v>
      </c>
      <c r="R108" s="59">
        <f t="shared" si="55"/>
        <v>936.97955126194279</v>
      </c>
      <c r="S108" s="59">
        <f ca="1">AVERAGE(OFFSET($R$3,0,0,'Données projet'!$E$9+1,1))-AVERAGE(OFFSET($H$3,0,0,'Données projet'!$E$9+1,1))</f>
        <v>467.10712490977266</v>
      </c>
      <c r="T108" s="59">
        <f t="shared" si="88"/>
        <v>282.99426855025968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48.831475341190007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48.831475341190007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69.004906460059431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2.4</v>
      </c>
      <c r="AI108" s="13">
        <f>IF('Données projet'!$A$62&gt;35,AI107+AH108-AQ107,IF(A108&lt;'Données projet'!$A$62,$AF$205^A108,IF(A108='Données projet'!$A$62,'Données projet'!$B$62,AI107+AH108-AQ107)))</f>
        <v>272.99999999999983</v>
      </c>
      <c r="AJ108" s="13">
        <f>AI108*VLOOKUP('Données projet'!$B$10,Paramètres!$A$1:$I$89,3,0)*VLOOKUP('Données projet'!$B$10,Paramètres!$A$1:$I$89,5,0)</f>
        <v>259.78679999999986</v>
      </c>
      <c r="AK108" s="13">
        <f t="shared" si="89"/>
        <v>62.676930162260682</v>
      </c>
      <c r="AL108" s="20">
        <f t="shared" si="58"/>
        <v>561.62433003260378</v>
      </c>
      <c r="AM108" s="59">
        <f t="shared" si="59"/>
        <v>851.30898705282175</v>
      </c>
      <c r="AN108" s="59">
        <f ca="1">AVERAGE(OFFSET($AM$3,0,0,'Données projet'!$E$10+1,1))-AVERAGE(OFFSET($H$3,0,0,'Données projet'!$E$10+1,1))</f>
        <v>399.57236812003225</v>
      </c>
      <c r="AO108" s="59">
        <f t="shared" si="90"/>
        <v>245.95971136213691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29.669577275904437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29.669577275904437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69.004906460059431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2.2737367544323206E-13</v>
      </c>
      <c r="BE108" s="13">
        <f>BD108*VLOOKUP('Données projet'!$B$11,Paramètres!$A$1:$I$89,3,0)*VLOOKUP('Données projet'!$B$11,Paramètres!$A$1:$I$89,5,0)</f>
        <v>1.3596945791505279E-13</v>
      </c>
      <c r="BF108" s="13">
        <f t="shared" si="91"/>
        <v>1.9708830566360721E-12</v>
      </c>
      <c r="BG108" s="20">
        <f t="shared" si="61"/>
        <v>3.669434796176543E-12</v>
      </c>
      <c r="BH108" s="59">
        <f t="shared" si="62"/>
        <v>289.68465702022161</v>
      </c>
      <c r="BI108" s="59">
        <f ca="1">AVERAGE(OFFSET($BH$3,0,0,'Données projet'!$E$11+1,1))-AVERAGE(OFFSET($H$3,0,0,'Données projet'!$E$11+1,1))</f>
        <v>352.88552266225872</v>
      </c>
      <c r="BJ108" s="59">
        <f t="shared" si="92"/>
        <v>403.29115295154782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72.517152655457309</v>
      </c>
      <c r="BQ108" s="21">
        <f>EXP(-LN(2)/25)*BQ107+(1-EXP(-LN(2)/25))/(LN(2)/25)*Calculateur!BL108*Calculateur!BN108*VLOOKUP('Données projet'!$B$11,Paramètres!$A$1:$I$89,3,0)*0.475*44/12</f>
        <v>16.32437761552853</v>
      </c>
      <c r="BR108" s="21">
        <f>EXP(-LN(2)/2)*BR107+(1-EXP(-LN(2)/2))/(LN(2)/2)*BL108*BO108*VLOOKUP('Données projet'!$B$11,Paramètres!$A$1:$I$89,3,0)*0.475*44/12</f>
        <v>8.0282270607198611E-6</v>
      </c>
      <c r="BS108" s="22">
        <f t="shared" si="63"/>
        <v>88.8415382992129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69.004906460059431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-1.0049916454590858E-13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297.1442218517625</v>
      </c>
      <c r="CE108" s="59">
        <f t="shared" si="94"/>
        <v>326.0112787126069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77.016130593127471</v>
      </c>
      <c r="CL108" s="21">
        <f>EXP(-LN(2)/25)*CL107+(1-EXP(-LN(2)/25))/(LN(2)/25)*Calculateur!CG108*Calculateur!CI108*VLOOKUP('Données projet'!$B$12,Paramètres!$A$1:$I$89,3,0)*0.475*44/12</f>
        <v>16.615200194929344</v>
      </c>
      <c r="CM108" s="21">
        <f>EXP(-LN(2)/2)*CM107+(1-EXP(-LN(2)/2))/(LN(2)/2)*CG108*CJ108*VLOOKUP('Données projet'!$B$12,Paramètres!$A$1:$I$89,3,0)*0.475*44/12</f>
        <v>7.2362996075814606E-6</v>
      </c>
      <c r="CN108" s="22">
        <f t="shared" si="66"/>
        <v>93.631338024356424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69.004906460059431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2.2737367544323206E-13</v>
      </c>
      <c r="CU108" s="17">
        <f>CT108*VLOOKUP('Données projet'!$B$13,Paramètres!$A$1:$I$89,3,0)*VLOOKUP('Données projet'!$B$13,Paramètres!$A$1:$I$89,5,0)</f>
        <v>1.3596945791505279E-13</v>
      </c>
      <c r="CV108" s="13">
        <f t="shared" si="95"/>
        <v>1.9708830566360721E-12</v>
      </c>
      <c r="CW108" s="20">
        <f t="shared" si="67"/>
        <v>3.669434796176543E-12</v>
      </c>
      <c r="CX108" s="59">
        <f t="shared" si="68"/>
        <v>289.68465702022161</v>
      </c>
      <c r="CY108" s="59">
        <f ca="1">AVERAGE(OFFSET($CX$3,0,0,'Données projet'!$E$13+1,1))-AVERAGE(OFFSET($H$3,0,0,'Données projet'!$E$13+1,1))</f>
        <v>352.88552266225872</v>
      </c>
      <c r="CZ108" s="59">
        <f t="shared" si="96"/>
        <v>403.29115295154782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72.517152655457309</v>
      </c>
      <c r="DG108" s="21">
        <f>EXP(-LN(2)/25)*DG107+(1-EXP(-LN(2)/25))/(LN(2)/25)*Calculateur!DB108*Calculateur!DD108*VLOOKUP('Données projet'!$B$13,Paramètres!$A$1:$I$89,3,0)*0.475*44/12</f>
        <v>16.32437761552853</v>
      </c>
      <c r="DH108" s="21">
        <f>EXP(-LN(2)/2)*DH107+(1-EXP(-LN(2)/2))/(LN(2)/2)*DB108*DE108*VLOOKUP('Données projet'!$B$13,Paramètres!$A$1:$I$89,3,0)*0.475*44/12</f>
        <v>8.0282270607198611E-6</v>
      </c>
      <c r="DI108" s="22">
        <f t="shared" si="69"/>
        <v>88.8415382992129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69.004906460059431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69.004906460059431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69.004906460059431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69.004906460059431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69.004906460059431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1.25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4.583333333333333</v>
      </c>
      <c r="H109" s="67">
        <f t="shared" si="56"/>
        <v>238.33333333333334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69.022169108281531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337.20000000000005</v>
      </c>
      <c r="O109" s="13">
        <f>N109*VLOOKUP('Données projet'!$B$9,Paramètres!$A$1:$I$89,3,0)*VLOOKUP('Données projet'!$B$9,Paramètres!$A$1:$I$89,5,0)</f>
        <v>305.09856000000002</v>
      </c>
      <c r="P109" s="13">
        <f t="shared" si="87"/>
        <v>72.244266890878791</v>
      </c>
      <c r="Q109" s="20">
        <f t="shared" si="107"/>
        <v>657.20542350161395</v>
      </c>
      <c r="R109" s="59">
        <f t="shared" si="55"/>
        <v>946.95337689864618</v>
      </c>
      <c r="S109" s="59">
        <f ca="1">AVERAGE(OFFSET($R$3,0,0,'Données projet'!$E$9+1,1))-AVERAGE(OFFSET($H$3,0,0,'Données projet'!$E$9+1,1))</f>
        <v>467.10712490977266</v>
      </c>
      <c r="T109" s="59">
        <f t="shared" si="88"/>
        <v>282.99426855025968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47.873919894008274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47.873919894008274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69.022169108281531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2.4</v>
      </c>
      <c r="AI109" s="13">
        <f>IF('Données projet'!$A$62&gt;35,AI108+AH109-AQ108,IF(A109&lt;'Données projet'!$A$62,$AF$205^A109,IF(A109='Données projet'!$A$62,'Données projet'!$B$62,AI108+AH109-AQ108)))</f>
        <v>275.39999999999981</v>
      </c>
      <c r="AJ109" s="13">
        <f>AI109*VLOOKUP('Données projet'!$B$10,Paramètres!$A$1:$I$89,3,0)*VLOOKUP('Données projet'!$B$10,Paramètres!$A$1:$I$89,5,0)</f>
        <v>262.07063999999986</v>
      </c>
      <c r="AK109" s="13">
        <f t="shared" si="89"/>
        <v>63.163550751219262</v>
      </c>
      <c r="AL109" s="20">
        <f t="shared" si="58"/>
        <v>566.44954889170651</v>
      </c>
      <c r="AM109" s="59">
        <f t="shared" si="59"/>
        <v>856.19750228873886</v>
      </c>
      <c r="AN109" s="59">
        <f ca="1">AVERAGE(OFFSET($AM$3,0,0,'Données projet'!$E$10+1,1))-AVERAGE(OFFSET($H$3,0,0,'Données projet'!$E$10+1,1))</f>
        <v>399.57236812003225</v>
      </c>
      <c r="AO109" s="59">
        <f t="shared" si="90"/>
        <v>245.95971136213691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29.087774962179193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29.087774962179193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69.022169108281531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2.2737367544323206E-13</v>
      </c>
      <c r="BE109" s="13">
        <f>BD109*VLOOKUP('Données projet'!$B$11,Paramètres!$A$1:$I$89,3,0)*VLOOKUP('Données projet'!$B$11,Paramètres!$A$1:$I$89,5,0)</f>
        <v>1.3596945791505279E-13</v>
      </c>
      <c r="BF109" s="13">
        <f t="shared" si="91"/>
        <v>1.9708830566360721E-12</v>
      </c>
      <c r="BG109" s="20">
        <f t="shared" si="61"/>
        <v>3.669434796176543E-12</v>
      </c>
      <c r="BH109" s="59">
        <f t="shared" si="62"/>
        <v>289.74795339703599</v>
      </c>
      <c r="BI109" s="59">
        <f ca="1">AVERAGE(OFFSET($BH$3,0,0,'Données projet'!$E$11+1,1))-AVERAGE(OFFSET($H$3,0,0,'Données projet'!$E$11+1,1))</f>
        <v>352.88552266225872</v>
      </c>
      <c r="BJ109" s="59">
        <f t="shared" si="92"/>
        <v>403.29115295154782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71.095135522979447</v>
      </c>
      <c r="BQ109" s="21">
        <f>EXP(-LN(2)/25)*BQ108+(1-EXP(-LN(2)/25))/(LN(2)/25)*Calculateur!BL109*Calculateur!BN109*VLOOKUP('Données projet'!$B$11,Paramètres!$A$1:$I$89,3,0)*0.475*44/12</f>
        <v>15.877986651170193</v>
      </c>
      <c r="BR109" s="21">
        <f>EXP(-LN(2)/2)*BR108+(1-EXP(-LN(2)/2))/(LN(2)/2)*BL109*BO109*VLOOKUP('Données projet'!$B$11,Paramètres!$A$1:$I$89,3,0)*0.475*44/12</f>
        <v>5.6768137955403585E-6</v>
      </c>
      <c r="BS109" s="22">
        <f t="shared" si="63"/>
        <v>86.973127850963436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69.022169108281531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-1.0049916454590858E-13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297.1442218517625</v>
      </c>
      <c r="CE109" s="59">
        <f t="shared" si="94"/>
        <v>326.0112787126069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75.505891247397486</v>
      </c>
      <c r="CL109" s="21">
        <f>EXP(-LN(2)/25)*CL108+(1-EXP(-LN(2)/25))/(LN(2)/25)*Calculateur!CG109*Calculateur!CI109*VLOOKUP('Données projet'!$B$12,Paramètres!$A$1:$I$89,3,0)*0.475*44/12</f>
        <v>16.160856671843597</v>
      </c>
      <c r="CM109" s="21">
        <f>EXP(-LN(2)/2)*CM108+(1-EXP(-LN(2)/2))/(LN(2)/2)*CG109*CJ109*VLOOKUP('Données projet'!$B$12,Paramètres!$A$1:$I$89,3,0)*0.475*44/12</f>
        <v>5.1168365232184035E-6</v>
      </c>
      <c r="CN109" s="22">
        <f t="shared" si="66"/>
        <v>91.666753036077608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69.022169108281531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2.2737367544323206E-13</v>
      </c>
      <c r="CU109" s="17">
        <f>CT109*VLOOKUP('Données projet'!$B$13,Paramètres!$A$1:$I$89,3,0)*VLOOKUP('Données projet'!$B$13,Paramètres!$A$1:$I$89,5,0)</f>
        <v>1.3596945791505279E-13</v>
      </c>
      <c r="CV109" s="13">
        <f t="shared" si="95"/>
        <v>1.9708830566360721E-12</v>
      </c>
      <c r="CW109" s="20">
        <f t="shared" si="67"/>
        <v>3.669434796176543E-12</v>
      </c>
      <c r="CX109" s="59">
        <f t="shared" si="68"/>
        <v>289.74795339703599</v>
      </c>
      <c r="CY109" s="59">
        <f ca="1">AVERAGE(OFFSET($CX$3,0,0,'Données projet'!$E$13+1,1))-AVERAGE(OFFSET($H$3,0,0,'Données projet'!$E$13+1,1))</f>
        <v>352.88552266225872</v>
      </c>
      <c r="CZ109" s="59">
        <f t="shared" si="96"/>
        <v>403.29115295154782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71.095135522979447</v>
      </c>
      <c r="DG109" s="21">
        <f>EXP(-LN(2)/25)*DG108+(1-EXP(-LN(2)/25))/(LN(2)/25)*Calculateur!DB109*Calculateur!DD109*VLOOKUP('Données projet'!$B$13,Paramètres!$A$1:$I$89,3,0)*0.475*44/12</f>
        <v>15.877986651170193</v>
      </c>
      <c r="DH109" s="21">
        <f>EXP(-LN(2)/2)*DH108+(1-EXP(-LN(2)/2))/(LN(2)/2)*DB109*DE109*VLOOKUP('Données projet'!$B$13,Paramètres!$A$1:$I$89,3,0)*0.475*44/12</f>
        <v>5.6768137955403585E-6</v>
      </c>
      <c r="DI109" s="22">
        <f t="shared" si="69"/>
        <v>86.973127850963436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69.022169108281531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69.022169108281531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69.022169108281531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69.022169108281531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69.022169108281531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1.25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4.583333333333333</v>
      </c>
      <c r="H110" s="67">
        <f t="shared" si="56"/>
        <v>238.33333333333334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69.039132288150483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342.40000000000003</v>
      </c>
      <c r="O110" s="13">
        <f>N110*VLOOKUP('Données projet'!$B$9,Paramètres!$A$1:$I$89,3,0)*VLOOKUP('Données projet'!$B$9,Paramètres!$A$1:$I$89,5,0)</f>
        <v>309.80352000000005</v>
      </c>
      <c r="P110" s="13">
        <f t="shared" si="87"/>
        <v>73.227795813703821</v>
      </c>
      <c r="Q110" s="20">
        <f t="shared" si="107"/>
        <v>667.11287504220093</v>
      </c>
      <c r="R110" s="59">
        <f t="shared" si="55"/>
        <v>956.92302676541931</v>
      </c>
      <c r="S110" s="59">
        <f ca="1">AVERAGE(OFFSET($R$3,0,0,'Données projet'!$E$9+1,1))-AVERAGE(OFFSET($H$3,0,0,'Données projet'!$E$9+1,1))</f>
        <v>467.10712490977266</v>
      </c>
      <c r="T110" s="59">
        <f t="shared" si="88"/>
        <v>282.99426855025968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46.935141525094629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46.935141525094629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69.039132288150483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2.4</v>
      </c>
      <c r="AI110" s="13">
        <f>IF('Données projet'!$A$62&gt;35,AI109+AH110-AQ109,IF(A110&lt;'Données projet'!$A$62,$AF$205^A110,IF(A110='Données projet'!$A$62,'Données projet'!$B$62,AI109+AH110-AQ109)))</f>
        <v>277.79999999999978</v>
      </c>
      <c r="AJ110" s="13">
        <f>AI110*VLOOKUP('Données projet'!$B$10,Paramètres!$A$1:$I$89,3,0)*VLOOKUP('Données projet'!$B$10,Paramètres!$A$1:$I$89,5,0)</f>
        <v>264.3544799999998</v>
      </c>
      <c r="AK110" s="13">
        <f t="shared" si="89"/>
        <v>63.649677966098132</v>
      </c>
      <c r="AL110" s="20">
        <f t="shared" si="58"/>
        <v>571.27390845762045</v>
      </c>
      <c r="AM110" s="59">
        <f t="shared" si="59"/>
        <v>861.08406018083883</v>
      </c>
      <c r="AN110" s="59">
        <f ca="1">AVERAGE(OFFSET($AM$3,0,0,'Données projet'!$E$10+1,1))-AVERAGE(OFFSET($H$3,0,0,'Données projet'!$E$10+1,1))</f>
        <v>399.57236812003225</v>
      </c>
      <c r="AO110" s="59">
        <f t="shared" si="90"/>
        <v>245.95971136213691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28.517381436961731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28.517381436961731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69.039132288150483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2.2737367544323206E-13</v>
      </c>
      <c r="BE110" s="13">
        <f>BD110*VLOOKUP('Données projet'!$B$11,Paramètres!$A$1:$I$89,3,0)*VLOOKUP('Données projet'!$B$11,Paramètres!$A$1:$I$89,5,0)</f>
        <v>1.3596945791505279E-13</v>
      </c>
      <c r="BF110" s="13">
        <f t="shared" si="91"/>
        <v>1.9708830566360721E-12</v>
      </c>
      <c r="BG110" s="20">
        <f t="shared" si="61"/>
        <v>3.669434796176543E-12</v>
      </c>
      <c r="BH110" s="59">
        <f t="shared" si="62"/>
        <v>289.81015172322213</v>
      </c>
      <c r="BI110" s="59">
        <f ca="1">AVERAGE(OFFSET($BH$3,0,0,'Données projet'!$E$11+1,1))-AVERAGE(OFFSET($H$3,0,0,'Données projet'!$E$11+1,1))</f>
        <v>352.88552266225872</v>
      </c>
      <c r="BJ110" s="59">
        <f t="shared" si="92"/>
        <v>403.29115295154782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69.701003279124677</v>
      </c>
      <c r="BQ110" s="21">
        <f>EXP(-LN(2)/25)*BQ109+(1-EXP(-LN(2)/25))/(LN(2)/25)*Calculateur!BL110*Calculateur!BN110*VLOOKUP('Données projet'!$B$11,Paramètres!$A$1:$I$89,3,0)*0.475*44/12</f>
        <v>15.443802271206916</v>
      </c>
      <c r="BR110" s="21">
        <f>EXP(-LN(2)/2)*BR109+(1-EXP(-LN(2)/2))/(LN(2)/2)*BL110*BO110*VLOOKUP('Données projet'!$B$11,Paramètres!$A$1:$I$89,3,0)*0.475*44/12</f>
        <v>4.0141135303599305E-6</v>
      </c>
      <c r="BS110" s="22">
        <f t="shared" si="63"/>
        <v>85.144809564445126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69.039132288150483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-1.0049916454590858E-13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297.1442218517625</v>
      </c>
      <c r="CE110" s="59">
        <f t="shared" si="94"/>
        <v>326.0112787126069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74.025266774082226</v>
      </c>
      <c r="CL110" s="21">
        <f>EXP(-LN(2)/25)*CL109+(1-EXP(-LN(2)/25))/(LN(2)/25)*Calculateur!CG110*Calculateur!CI110*VLOOKUP('Données projet'!$B$12,Paramètres!$A$1:$I$89,3,0)*0.475*44/12</f>
        <v>15.718937196289517</v>
      </c>
      <c r="CM110" s="21">
        <f>EXP(-LN(2)/2)*CM109+(1-EXP(-LN(2)/2))/(LN(2)/2)*CG110*CJ110*VLOOKUP('Données projet'!$B$12,Paramètres!$A$1:$I$89,3,0)*0.475*44/12</f>
        <v>3.6181498037907303E-6</v>
      </c>
      <c r="CN110" s="22">
        <f t="shared" si="66"/>
        <v>89.744207588521547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69.039132288150483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2.2737367544323206E-13</v>
      </c>
      <c r="CU110" s="17">
        <f>CT110*VLOOKUP('Données projet'!$B$13,Paramètres!$A$1:$I$89,3,0)*VLOOKUP('Données projet'!$B$13,Paramètres!$A$1:$I$89,5,0)</f>
        <v>1.3596945791505279E-13</v>
      </c>
      <c r="CV110" s="13">
        <f t="shared" si="95"/>
        <v>1.9708830566360721E-12</v>
      </c>
      <c r="CW110" s="20">
        <f t="shared" si="67"/>
        <v>3.669434796176543E-12</v>
      </c>
      <c r="CX110" s="59">
        <f t="shared" si="68"/>
        <v>289.81015172322213</v>
      </c>
      <c r="CY110" s="59">
        <f ca="1">AVERAGE(OFFSET($CX$3,0,0,'Données projet'!$E$13+1,1))-AVERAGE(OFFSET($H$3,0,0,'Données projet'!$E$13+1,1))</f>
        <v>352.88552266225872</v>
      </c>
      <c r="CZ110" s="59">
        <f t="shared" si="96"/>
        <v>403.29115295154782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69.701003279124677</v>
      </c>
      <c r="DG110" s="21">
        <f>EXP(-LN(2)/25)*DG109+(1-EXP(-LN(2)/25))/(LN(2)/25)*Calculateur!DB110*Calculateur!DD110*VLOOKUP('Données projet'!$B$13,Paramètres!$A$1:$I$89,3,0)*0.475*44/12</f>
        <v>15.443802271206916</v>
      </c>
      <c r="DH110" s="21">
        <f>EXP(-LN(2)/2)*DH109+(1-EXP(-LN(2)/2))/(LN(2)/2)*DB110*DE110*VLOOKUP('Données projet'!$B$13,Paramètres!$A$1:$I$89,3,0)*0.475*44/12</f>
        <v>4.0141135303599305E-6</v>
      </c>
      <c r="DI110" s="22">
        <f t="shared" si="69"/>
        <v>85.144809564445126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69.039132288150483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69.039132288150483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69.039132288150483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69.039132288150483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69.039132288150483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1.25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4.583333333333333</v>
      </c>
      <c r="H111" s="67">
        <f t="shared" si="56"/>
        <v>238.33333333333334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69.055801194772684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347.6</v>
      </c>
      <c r="O111" s="13">
        <f>N111*VLOOKUP('Données projet'!$B$9,Paramètres!$A$1:$I$89,3,0)*VLOOKUP('Données projet'!$B$9,Paramètres!$A$1:$I$89,5,0)</f>
        <v>314.50848000000002</v>
      </c>
      <c r="P111" s="13">
        <f t="shared" si="87"/>
        <v>74.20958756161744</v>
      </c>
      <c r="Q111" s="20">
        <f t="shared" si="107"/>
        <v>677.01730100315035</v>
      </c>
      <c r="R111" s="59">
        <f t="shared" si="55"/>
        <v>966.88857205065028</v>
      </c>
      <c r="S111" s="59">
        <f ca="1">AVERAGE(OFFSET($R$3,0,0,'Données projet'!$E$9+1,1))-AVERAGE(OFFSET($H$3,0,0,'Données projet'!$E$9+1,1))</f>
        <v>467.10712490977266</v>
      </c>
      <c r="T111" s="59">
        <f t="shared" si="88"/>
        <v>282.99426855025968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46.014772027397115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46.014772027397115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69.055801194772684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2.4</v>
      </c>
      <c r="AI111" s="13">
        <f>IF('Données projet'!$A$62&gt;35,AI110+AH111-AQ110,IF(A111&lt;'Données projet'!$A$62,$AF$205^A111,IF(A111='Données projet'!$A$62,'Données projet'!$B$62,AI110+AH111-AQ110)))</f>
        <v>280.19999999999976</v>
      </c>
      <c r="AJ111" s="13">
        <f>AI111*VLOOKUP('Données projet'!$B$10,Paramètres!$A$1:$I$89,3,0)*VLOOKUP('Données projet'!$B$10,Paramètres!$A$1:$I$89,5,0)</f>
        <v>266.63831999999979</v>
      </c>
      <c r="AK111" s="13">
        <f t="shared" si="89"/>
        <v>64.135316563180027</v>
      </c>
      <c r="AL111" s="20">
        <f t="shared" si="58"/>
        <v>576.09741701420489</v>
      </c>
      <c r="AM111" s="59">
        <f t="shared" si="59"/>
        <v>865.96868806170482</v>
      </c>
      <c r="AN111" s="59">
        <f ca="1">AVERAGE(OFFSET($AM$3,0,0,'Données projet'!$E$10+1,1))-AVERAGE(OFFSET($H$3,0,0,'Données projet'!$E$10+1,1))</f>
        <v>399.57236812003225</v>
      </c>
      <c r="AO111" s="59">
        <f t="shared" si="90"/>
        <v>245.95971136213691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27.958172980868085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27.958172980868085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69.055801194772684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2.2737367544323206E-13</v>
      </c>
      <c r="BE111" s="13">
        <f>BD111*VLOOKUP('Données projet'!$B$11,Paramètres!$A$1:$I$89,3,0)*VLOOKUP('Données projet'!$B$11,Paramètres!$A$1:$I$89,5,0)</f>
        <v>1.3596945791505279E-13</v>
      </c>
      <c r="BF111" s="13">
        <f t="shared" si="91"/>
        <v>1.9708830566360721E-12</v>
      </c>
      <c r="BG111" s="20">
        <f t="shared" si="61"/>
        <v>3.669434796176543E-12</v>
      </c>
      <c r="BH111" s="59">
        <f t="shared" si="62"/>
        <v>289.87127104750357</v>
      </c>
      <c r="BI111" s="59">
        <f ca="1">AVERAGE(OFFSET($BH$3,0,0,'Données projet'!$E$11+1,1))-AVERAGE(OFFSET($H$3,0,0,'Données projet'!$E$11+1,1))</f>
        <v>352.88552266225872</v>
      </c>
      <c r="BJ111" s="59">
        <f t="shared" si="92"/>
        <v>403.29115295154782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68.334209118235194</v>
      </c>
      <c r="BQ111" s="21">
        <f>EXP(-LN(2)/25)*BQ110+(1-EXP(-LN(2)/25))/(LN(2)/25)*Calculateur!BL111*Calculateur!BN111*VLOOKUP('Données projet'!$B$11,Paramètres!$A$1:$I$89,3,0)*0.475*44/12</f>
        <v>15.0214906859465</v>
      </c>
      <c r="BR111" s="21">
        <f>EXP(-LN(2)/2)*BR110+(1-EXP(-LN(2)/2))/(LN(2)/2)*BL111*BO111*VLOOKUP('Données projet'!$B$11,Paramètres!$A$1:$I$89,3,0)*0.475*44/12</f>
        <v>2.8384068977701792E-6</v>
      </c>
      <c r="BS111" s="22">
        <f t="shared" si="63"/>
        <v>83.355702642588597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69.055801194772684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-1.0049916454590858E-13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297.1442218517625</v>
      </c>
      <c r="CE111" s="59">
        <f t="shared" si="94"/>
        <v>326.0112787126069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72.573676443596923</v>
      </c>
      <c r="CL111" s="21">
        <f>EXP(-LN(2)/25)*CL110+(1-EXP(-LN(2)/25))/(LN(2)/25)*Calculateur!CG111*Calculateur!CI111*VLOOKUP('Données projet'!$B$12,Paramètres!$A$1:$I$89,3,0)*0.475*44/12</f>
        <v>15.289102032033998</v>
      </c>
      <c r="CM111" s="21">
        <f>EXP(-LN(2)/2)*CM110+(1-EXP(-LN(2)/2))/(LN(2)/2)*CG111*CJ111*VLOOKUP('Données projet'!$B$12,Paramètres!$A$1:$I$89,3,0)*0.475*44/12</f>
        <v>2.5584182616092018E-6</v>
      </c>
      <c r="CN111" s="22">
        <f t="shared" si="66"/>
        <v>87.862781034049178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69.055801194772684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2.2737367544323206E-13</v>
      </c>
      <c r="CU111" s="17">
        <f>CT111*VLOOKUP('Données projet'!$B$13,Paramètres!$A$1:$I$89,3,0)*VLOOKUP('Données projet'!$B$13,Paramètres!$A$1:$I$89,5,0)</f>
        <v>1.3596945791505279E-13</v>
      </c>
      <c r="CV111" s="13">
        <f t="shared" si="95"/>
        <v>1.9708830566360721E-12</v>
      </c>
      <c r="CW111" s="20">
        <f t="shared" si="67"/>
        <v>3.669434796176543E-12</v>
      </c>
      <c r="CX111" s="59">
        <f t="shared" si="68"/>
        <v>289.87127104750357</v>
      </c>
      <c r="CY111" s="59">
        <f ca="1">AVERAGE(OFFSET($CX$3,0,0,'Données projet'!$E$13+1,1))-AVERAGE(OFFSET($H$3,0,0,'Données projet'!$E$13+1,1))</f>
        <v>352.88552266225872</v>
      </c>
      <c r="CZ111" s="59">
        <f t="shared" si="96"/>
        <v>403.29115295154782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68.334209118235194</v>
      </c>
      <c r="DG111" s="21">
        <f>EXP(-LN(2)/25)*DG110+(1-EXP(-LN(2)/25))/(LN(2)/25)*Calculateur!DB111*Calculateur!DD111*VLOOKUP('Données projet'!$B$13,Paramètres!$A$1:$I$89,3,0)*0.475*44/12</f>
        <v>15.0214906859465</v>
      </c>
      <c r="DH111" s="21">
        <f>EXP(-LN(2)/2)*DH110+(1-EXP(-LN(2)/2))/(LN(2)/2)*DB111*DE111*VLOOKUP('Données projet'!$B$13,Paramètres!$A$1:$I$89,3,0)*0.475*44/12</f>
        <v>2.8384068977701792E-6</v>
      </c>
      <c r="DI111" s="22">
        <f t="shared" si="69"/>
        <v>83.355702642588597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69.055801194772684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69.055801194772684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69.055801194772684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69.055801194772684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69.055801194772684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1.25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4.583333333333333</v>
      </c>
      <c r="H112" s="67">
        <f t="shared" si="56"/>
        <v>238.33333333333334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69.072180933131079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352.8</v>
      </c>
      <c r="O112" s="13">
        <f>N112*VLOOKUP('Données projet'!$B$9,Paramètres!$A$1:$I$89,3,0)*VLOOKUP('Données projet'!$B$9,Paramètres!$A$1:$I$89,5,0)</f>
        <v>319.21343999999999</v>
      </c>
      <c r="P112" s="13">
        <f t="shared" si="87"/>
        <v>75.18967112417171</v>
      </c>
      <c r="Q112" s="20">
        <f t="shared" si="107"/>
        <v>686.91875187459891</v>
      </c>
      <c r="R112" s="59">
        <f t="shared" si="55"/>
        <v>976.85008196274612</v>
      </c>
      <c r="S112" s="59">
        <f ca="1">AVERAGE(OFFSET($R$3,0,0,'Données projet'!$E$9+1,1))-AVERAGE(OFFSET($H$3,0,0,'Données projet'!$E$9+1,1))</f>
        <v>467.10712490977266</v>
      </c>
      <c r="T112" s="59">
        <f t="shared" si="88"/>
        <v>282.99426855025968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45.112450414179484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45.112450414179484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69.072180933131079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2.4</v>
      </c>
      <c r="AI112" s="13">
        <f>IF('Données projet'!$A$62&gt;35,AI111+AH112-AQ111,IF(A112&lt;'Données projet'!$A$62,$AF$205^A112,IF(A112='Données projet'!$A$62,'Données projet'!$B$62,AI111+AH112-AQ111)))</f>
        <v>282.59999999999974</v>
      </c>
      <c r="AJ112" s="13">
        <f>AI112*VLOOKUP('Données projet'!$B$10,Paramètres!$A$1:$I$89,3,0)*VLOOKUP('Données projet'!$B$10,Paramètres!$A$1:$I$89,5,0)</f>
        <v>268.92215999999974</v>
      </c>
      <c r="AK112" s="13">
        <f t="shared" si="89"/>
        <v>64.620471212567296</v>
      </c>
      <c r="AL112" s="20">
        <f t="shared" si="58"/>
        <v>580.92008269522091</v>
      </c>
      <c r="AM112" s="59">
        <f t="shared" si="59"/>
        <v>870.85141278336823</v>
      </c>
      <c r="AN112" s="59">
        <f ca="1">AVERAGE(OFFSET($AM$3,0,0,'Données projet'!$E$10+1,1))-AVERAGE(OFFSET($H$3,0,0,'Données projet'!$E$10+1,1))</f>
        <v>399.57236812003225</v>
      </c>
      <c r="AO112" s="59">
        <f t="shared" si="90"/>
        <v>245.95971136213691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27.409930261514955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27.409930261514955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69.072180933131079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2.2737367544323206E-13</v>
      </c>
      <c r="BE112" s="13">
        <f>BD112*VLOOKUP('Données projet'!$B$11,Paramètres!$A$1:$I$89,3,0)*VLOOKUP('Données projet'!$B$11,Paramètres!$A$1:$I$89,5,0)</f>
        <v>1.3596945791505279E-13</v>
      </c>
      <c r="BF112" s="13">
        <f t="shared" si="91"/>
        <v>1.9708830566360721E-12</v>
      </c>
      <c r="BG112" s="20">
        <f t="shared" si="61"/>
        <v>3.669434796176543E-12</v>
      </c>
      <c r="BH112" s="59">
        <f t="shared" si="62"/>
        <v>289.93133008815096</v>
      </c>
      <c r="BI112" s="59">
        <f ca="1">AVERAGE(OFFSET($BH$3,0,0,'Données projet'!$E$11+1,1))-AVERAGE(OFFSET($H$3,0,0,'Données projet'!$E$11+1,1))</f>
        <v>352.88552266225872</v>
      </c>
      <c r="BJ112" s="59">
        <f t="shared" si="92"/>
        <v>403.29115295154782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66.994216957178637</v>
      </c>
      <c r="BQ112" s="21">
        <f>EXP(-LN(2)/25)*BQ111+(1-EXP(-LN(2)/25))/(LN(2)/25)*Calculateur!BL112*Calculateur!BN112*VLOOKUP('Données projet'!$B$11,Paramètres!$A$1:$I$89,3,0)*0.475*44/12</f>
        <v>14.61072723319343</v>
      </c>
      <c r="BR112" s="21">
        <f>EXP(-LN(2)/2)*BR111+(1-EXP(-LN(2)/2))/(LN(2)/2)*BL112*BO112*VLOOKUP('Données projet'!$B$11,Paramètres!$A$1:$I$89,3,0)*0.475*44/12</f>
        <v>2.0070567651799653E-6</v>
      </c>
      <c r="BS112" s="22">
        <f t="shared" si="63"/>
        <v>81.604946197428831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69.072180933131079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-1.0049916454590858E-13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297.1442218517625</v>
      </c>
      <c r="CE112" s="59">
        <f t="shared" si="94"/>
        <v>326.0112787126069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71.150550914109758</v>
      </c>
      <c r="CL112" s="21">
        <f>EXP(-LN(2)/25)*CL111+(1-EXP(-LN(2)/25))/(LN(2)/25)*Calculateur!CG112*Calculateur!CI112*VLOOKUP('Données projet'!$B$12,Paramètres!$A$1:$I$89,3,0)*0.475*44/12</f>
        <v>14.871020732949097</v>
      </c>
      <c r="CM112" s="21">
        <f>EXP(-LN(2)/2)*CM111+(1-EXP(-LN(2)/2))/(LN(2)/2)*CG112*CJ112*VLOOKUP('Données projet'!$B$12,Paramètres!$A$1:$I$89,3,0)*0.475*44/12</f>
        <v>1.8090749018953652E-6</v>
      </c>
      <c r="CN112" s="22">
        <f t="shared" si="66"/>
        <v>86.021573456133751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69.072180933131079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2.2737367544323206E-13</v>
      </c>
      <c r="CU112" s="17">
        <f>CT112*VLOOKUP('Données projet'!$B$13,Paramètres!$A$1:$I$89,3,0)*VLOOKUP('Données projet'!$B$13,Paramètres!$A$1:$I$89,5,0)</f>
        <v>1.3596945791505279E-13</v>
      </c>
      <c r="CV112" s="13">
        <f t="shared" si="95"/>
        <v>1.9708830566360721E-12</v>
      </c>
      <c r="CW112" s="20">
        <f t="shared" si="67"/>
        <v>3.669434796176543E-12</v>
      </c>
      <c r="CX112" s="59">
        <f t="shared" si="68"/>
        <v>289.93133008815096</v>
      </c>
      <c r="CY112" s="59">
        <f ca="1">AVERAGE(OFFSET($CX$3,0,0,'Données projet'!$E$13+1,1))-AVERAGE(OFFSET($H$3,0,0,'Données projet'!$E$13+1,1))</f>
        <v>352.88552266225872</v>
      </c>
      <c r="CZ112" s="59">
        <f t="shared" si="96"/>
        <v>403.29115295154782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66.994216957178637</v>
      </c>
      <c r="DG112" s="21">
        <f>EXP(-LN(2)/25)*DG111+(1-EXP(-LN(2)/25))/(LN(2)/25)*Calculateur!DB112*Calculateur!DD112*VLOOKUP('Données projet'!$B$13,Paramètres!$A$1:$I$89,3,0)*0.475*44/12</f>
        <v>14.61072723319343</v>
      </c>
      <c r="DH112" s="21">
        <f>EXP(-LN(2)/2)*DH111+(1-EXP(-LN(2)/2))/(LN(2)/2)*DB112*DE112*VLOOKUP('Données projet'!$B$13,Paramètres!$A$1:$I$89,3,0)*0.475*44/12</f>
        <v>2.0070567651799653E-6</v>
      </c>
      <c r="DI112" s="22">
        <f t="shared" si="69"/>
        <v>81.604946197428831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69.072180933131079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69.072180933131079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69.072180933131079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69.072180933131079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69.072180933131079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1.25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4.583333333333333</v>
      </c>
      <c r="H113" s="67">
        <f t="shared" si="56"/>
        <v>238.33333333333334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69.088276519648588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358</v>
      </c>
      <c r="O113" s="13">
        <f>N113*VLOOKUP('Données projet'!$B$9,Paramètres!$A$1:$I$89,3,0)*VLOOKUP('Données projet'!$B$9,Paramètres!$A$1:$I$89,5,0)</f>
        <v>323.91839999999996</v>
      </c>
      <c r="P113" s="13">
        <f t="shared" si="87"/>
        <v>76.168074587293091</v>
      </c>
      <c r="Q113" s="20">
        <f t="shared" si="107"/>
        <v>696.81727657286876</v>
      </c>
      <c r="R113" s="59">
        <f t="shared" si="55"/>
        <v>986.80762381158024</v>
      </c>
      <c r="S113" s="59">
        <f ca="1">AVERAGE(OFFSET($R$3,0,0,'Données projet'!$E$9+1,1))-AVERAGE(OFFSET($H$3,0,0,'Données projet'!$E$9+1,1))</f>
        <v>467.10712490977266</v>
      </c>
      <c r="T113" s="59">
        <f t="shared" si="88"/>
        <v>282.99426855025968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61.775850869333603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61.775850869333603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69.088276519648588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2.4</v>
      </c>
      <c r="AH113" s="12">
        <f t="array" ref="AH113">INDEX(AG:AG,MIN(IF(ISNUMBER(AG113:AG309),ROW(AG113:AG309),"")))</f>
        <v>2.4</v>
      </c>
      <c r="AI113" s="13">
        <f>IF('Données projet'!$A$62&gt;35,AI112+AH113-AQ112,IF(A113&lt;'Données projet'!$A$62,$AF$205^A113,IF(A113='Données projet'!$A$62,'Données projet'!$B$62,AI112+AH113-AQ112)))</f>
        <v>284.99999999999972</v>
      </c>
      <c r="AJ113" s="13">
        <f>AI113*VLOOKUP('Données projet'!$B$10,Paramètres!$A$1:$I$89,3,0)*VLOOKUP('Données projet'!$B$10,Paramètres!$A$1:$I$89,5,0)</f>
        <v>271.20599999999973</v>
      </c>
      <c r="AK113" s="13">
        <f t="shared" si="89"/>
        <v>65.105146500461927</v>
      </c>
      <c r="AL113" s="20">
        <f t="shared" si="58"/>
        <v>585.74191348830391</v>
      </c>
      <c r="AM113" s="59">
        <f t="shared" si="59"/>
        <v>875.73226072701539</v>
      </c>
      <c r="AN113" s="59">
        <f ca="1">AVERAGE(OFFSET($AM$3,0,0,'Données projet'!$E$10+1,1))-AVERAGE(OFFSET($H$3,0,0,'Données projet'!$E$10+1,1))</f>
        <v>399.57236812003225</v>
      </c>
      <c r="AO113" s="59">
        <f t="shared" si="90"/>
        <v>245.95971136213691</v>
      </c>
      <c r="AP113" s="15">
        <f>IF(ISNA(VLOOKUP(A113,'Données projet'!$A$61:$I$81,3,0)),0,VLOOKUP(A113,'Données projet'!$A$61:$I$81,3,0))</f>
        <v>17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33.748085495130297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33.748085495130297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69.088276519648588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2.2737367544323206E-13</v>
      </c>
      <c r="BE113" s="13">
        <f>BD113*VLOOKUP('Données projet'!$B$11,Paramètres!$A$1:$I$89,3,0)*VLOOKUP('Données projet'!$B$11,Paramètres!$A$1:$I$89,5,0)</f>
        <v>1.3596945791505279E-13</v>
      </c>
      <c r="BF113" s="13">
        <f t="shared" si="91"/>
        <v>1.9708830566360721E-12</v>
      </c>
      <c r="BG113" s="20">
        <f t="shared" si="61"/>
        <v>3.669434796176543E-12</v>
      </c>
      <c r="BH113" s="59">
        <f t="shared" si="62"/>
        <v>289.99034723871517</v>
      </c>
      <c r="BI113" s="59">
        <f ca="1">AVERAGE(OFFSET($BH$3,0,0,'Données projet'!$E$11+1,1))-AVERAGE(OFFSET($H$3,0,0,'Données projet'!$E$11+1,1))</f>
        <v>352.88552266225872</v>
      </c>
      <c r="BJ113" s="59">
        <f t="shared" si="92"/>
        <v>403.29115295154782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65.680501225085877</v>
      </c>
      <c r="BQ113" s="21">
        <f>EXP(-LN(2)/25)*BQ112+(1-EXP(-LN(2)/25))/(LN(2)/25)*Calculateur!BL113*Calculateur!BN113*VLOOKUP('Données projet'!$B$11,Paramètres!$A$1:$I$89,3,0)*0.475*44/12</f>
        <v>14.211196128657004</v>
      </c>
      <c r="BR113" s="21">
        <f>EXP(-LN(2)/2)*BR112+(1-EXP(-LN(2)/2))/(LN(2)/2)*BL113*BO113*VLOOKUP('Données projet'!$B$11,Paramètres!$A$1:$I$89,3,0)*0.475*44/12</f>
        <v>1.4192034488850896E-6</v>
      </c>
      <c r="BS113" s="22">
        <f t="shared" si="63"/>
        <v>79.891698772946327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69.088276519648588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-1.0049916454590858E-13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297.1442218517625</v>
      </c>
      <c r="CE113" s="59">
        <f t="shared" si="94"/>
        <v>326.0112787126069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69.755332008234973</v>
      </c>
      <c r="CL113" s="21">
        <f>EXP(-LN(2)/25)*CL112+(1-EXP(-LN(2)/25))/(LN(2)/25)*Calculateur!CG113*Calculateur!CI113*VLOOKUP('Données projet'!$B$12,Paramètres!$A$1:$I$89,3,0)*0.475*44/12</f>
        <v>14.464371888973611</v>
      </c>
      <c r="CM113" s="21">
        <f>EXP(-LN(2)/2)*CM112+(1-EXP(-LN(2)/2))/(LN(2)/2)*CG113*CJ113*VLOOKUP('Données projet'!$B$12,Paramètres!$A$1:$I$89,3,0)*0.475*44/12</f>
        <v>1.2792091308046009E-6</v>
      </c>
      <c r="CN113" s="22">
        <f t="shared" si="66"/>
        <v>84.219705176417719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69.088276519648588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2.2737367544323206E-13</v>
      </c>
      <c r="CU113" s="17">
        <f>CT113*VLOOKUP('Données projet'!$B$13,Paramètres!$A$1:$I$89,3,0)*VLOOKUP('Données projet'!$B$13,Paramètres!$A$1:$I$89,5,0)</f>
        <v>1.3596945791505279E-13</v>
      </c>
      <c r="CV113" s="13">
        <f t="shared" si="95"/>
        <v>1.9708830566360721E-12</v>
      </c>
      <c r="CW113" s="20">
        <f t="shared" si="67"/>
        <v>3.669434796176543E-12</v>
      </c>
      <c r="CX113" s="59">
        <f t="shared" si="68"/>
        <v>289.99034723871517</v>
      </c>
      <c r="CY113" s="59">
        <f ca="1">AVERAGE(OFFSET($CX$3,0,0,'Données projet'!$E$13+1,1))-AVERAGE(OFFSET($H$3,0,0,'Données projet'!$E$13+1,1))</f>
        <v>352.88552266225872</v>
      </c>
      <c r="CZ113" s="59">
        <f t="shared" si="96"/>
        <v>403.29115295154782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65.680501225085877</v>
      </c>
      <c r="DG113" s="21">
        <f>EXP(-LN(2)/25)*DG112+(1-EXP(-LN(2)/25))/(LN(2)/25)*Calculateur!DB113*Calculateur!DD113*VLOOKUP('Données projet'!$B$13,Paramètres!$A$1:$I$89,3,0)*0.475*44/12</f>
        <v>14.211196128657004</v>
      </c>
      <c r="DH113" s="21">
        <f>EXP(-LN(2)/2)*DH112+(1-EXP(-LN(2)/2))/(LN(2)/2)*DB113*DE113*VLOOKUP('Données projet'!$B$13,Paramètres!$A$1:$I$89,3,0)*0.475*44/12</f>
        <v>1.4192034488850896E-6</v>
      </c>
      <c r="DI113" s="22">
        <f t="shared" si="69"/>
        <v>79.891698772946327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69.088276519648588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69.088276519648588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69.088276519648588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69.088276519648588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69.088276519648588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1.25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4.583333333333333</v>
      </c>
      <c r="H114" s="67">
        <f t="shared" si="56"/>
        <v>238.33333333333334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69.104092883724334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</v>
      </c>
      <c r="N114" s="13">
        <f>IF('Données projet'!$A$36&gt;35,N113+M114-V113,IF(A114&lt;'Données projet'!$A$36,$K$205^A114,IF(A114='Données projet'!$A$36,'Données projet'!$B$36,N113+M114-V113)))</f>
        <v>311.5</v>
      </c>
      <c r="O114" s="13">
        <f>N114*VLOOKUP('Données projet'!$B$9,Paramètres!$A$1:$I$89,3,0)*VLOOKUP('Données projet'!$B$9,Paramètres!$A$1:$I$89,5,0)</f>
        <v>281.84519999999998</v>
      </c>
      <c r="P114" s="13">
        <f t="shared" si="87"/>
        <v>67.356803491560484</v>
      </c>
      <c r="Q114" s="20">
        <f t="shared" si="107"/>
        <v>608.19348941446776</v>
      </c>
      <c r="R114" s="59">
        <f t="shared" si="55"/>
        <v>898.24182998812364</v>
      </c>
      <c r="S114" s="59">
        <f ca="1">AVERAGE(OFFSET($R$3,0,0,'Données projet'!$E$9+1,1))-AVERAGE(OFFSET($H$3,0,0,'Données projet'!$E$9+1,1))</f>
        <v>467.10712490977266</v>
      </c>
      <c r="T114" s="59">
        <f t="shared" si="88"/>
        <v>282.99426855025968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60.564464113334452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60.564464113334452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69.104092883724334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1.9</v>
      </c>
      <c r="AI114" s="13">
        <f>IF('Données projet'!$A$62&gt;35,AI113+AH114-AQ113,IF(A114&lt;'Données projet'!$A$62,$AF$205^A114,IF(A114='Données projet'!$A$62,'Données projet'!$B$62,AI113+AH114-AQ113)))</f>
        <v>267.89999999999969</v>
      </c>
      <c r="AJ114" s="13">
        <f>AI114*VLOOKUP('Données projet'!$B$10,Paramètres!$A$1:$I$89,3,0)*VLOOKUP('Données projet'!$B$10,Paramètres!$A$1:$I$89,5,0)</f>
        <v>254.93363999999971</v>
      </c>
      <c r="AK114" s="13">
        <f t="shared" si="89"/>
        <v>61.641201018974108</v>
      </c>
      <c r="AL114" s="20">
        <f t="shared" si="58"/>
        <v>551.36784810804613</v>
      </c>
      <c r="AM114" s="59">
        <f t="shared" si="59"/>
        <v>841.41618868170201</v>
      </c>
      <c r="AN114" s="59">
        <f ca="1">AVERAGE(OFFSET($AM$3,0,0,'Données projet'!$E$10+1,1))-AVERAGE(OFFSET($H$3,0,0,'Données projet'!$E$10+1,1))</f>
        <v>399.57236812003225</v>
      </c>
      <c r="AO114" s="59">
        <f t="shared" si="90"/>
        <v>245.95971136213691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33.086306122870411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33.086306122870411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69.104092883724334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2.2737367544323206E-13</v>
      </c>
      <c r="BE114" s="13">
        <f>BD114*VLOOKUP('Données projet'!$B$11,Paramètres!$A$1:$I$89,3,0)*VLOOKUP('Données projet'!$B$11,Paramètres!$A$1:$I$89,5,0)</f>
        <v>1.3596945791505279E-13</v>
      </c>
      <c r="BF114" s="13">
        <f t="shared" si="91"/>
        <v>1.9708830566360721E-12</v>
      </c>
      <c r="BG114" s="20">
        <f t="shared" si="61"/>
        <v>3.669434796176543E-12</v>
      </c>
      <c r="BH114" s="59">
        <f t="shared" si="62"/>
        <v>290.04834057365957</v>
      </c>
      <c r="BI114" s="59">
        <f ca="1">AVERAGE(OFFSET($BH$3,0,0,'Données projet'!$E$11+1,1))-AVERAGE(OFFSET($H$3,0,0,'Données projet'!$E$11+1,1))</f>
        <v>352.88552266225872</v>
      </c>
      <c r="BJ114" s="59">
        <f t="shared" si="92"/>
        <v>403.29115295154782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64.39254665721198</v>
      </c>
      <c r="BQ114" s="21">
        <f>EXP(-LN(2)/25)*BQ113+(1-EXP(-LN(2)/25))/(LN(2)/25)*Calculateur!BL114*Calculateur!BN114*VLOOKUP('Données projet'!$B$11,Paramètres!$A$1:$I$89,3,0)*0.475*44/12</f>
        <v>13.822590223184553</v>
      </c>
      <c r="BR114" s="21">
        <f>EXP(-LN(2)/2)*BR113+(1-EXP(-LN(2)/2))/(LN(2)/2)*BL114*BO114*VLOOKUP('Données projet'!$B$11,Paramètres!$A$1:$I$89,3,0)*0.475*44/12</f>
        <v>1.0035283825899826E-6</v>
      </c>
      <c r="BS114" s="22">
        <f t="shared" si="63"/>
        <v>78.215137883924911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69.104092883724334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-1.0049916454590858E-13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297.1442218517625</v>
      </c>
      <c r="CE114" s="59">
        <f t="shared" si="94"/>
        <v>326.0112787126069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68.387472494104884</v>
      </c>
      <c r="CL114" s="21">
        <f>EXP(-LN(2)/25)*CL113+(1-EXP(-LN(2)/25))/(LN(2)/25)*Calculateur!CG114*Calculateur!CI114*VLOOKUP('Données projet'!$B$12,Paramètres!$A$1:$I$89,3,0)*0.475*44/12</f>
        <v>14.06884287902137</v>
      </c>
      <c r="CM114" s="21">
        <f>EXP(-LN(2)/2)*CM113+(1-EXP(-LN(2)/2))/(LN(2)/2)*CG114*CJ114*VLOOKUP('Données projet'!$B$12,Paramètres!$A$1:$I$89,3,0)*0.475*44/12</f>
        <v>9.0453745094768258E-7</v>
      </c>
      <c r="CN114" s="22">
        <f t="shared" si="66"/>
        <v>82.456316277663703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69.104092883724334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2.2737367544323206E-13</v>
      </c>
      <c r="CU114" s="17">
        <f>CT114*VLOOKUP('Données projet'!$B$13,Paramètres!$A$1:$I$89,3,0)*VLOOKUP('Données projet'!$B$13,Paramètres!$A$1:$I$89,5,0)</f>
        <v>1.3596945791505279E-13</v>
      </c>
      <c r="CV114" s="13">
        <f t="shared" si="95"/>
        <v>1.9708830566360721E-12</v>
      </c>
      <c r="CW114" s="20">
        <f t="shared" si="67"/>
        <v>3.669434796176543E-12</v>
      </c>
      <c r="CX114" s="59">
        <f t="shared" si="68"/>
        <v>290.04834057365957</v>
      </c>
      <c r="CY114" s="59">
        <f ca="1">AVERAGE(OFFSET($CX$3,0,0,'Données projet'!$E$13+1,1))-AVERAGE(OFFSET($H$3,0,0,'Données projet'!$E$13+1,1))</f>
        <v>352.88552266225872</v>
      </c>
      <c r="CZ114" s="59">
        <f t="shared" si="96"/>
        <v>403.29115295154782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64.39254665721198</v>
      </c>
      <c r="DG114" s="21">
        <f>EXP(-LN(2)/25)*DG113+(1-EXP(-LN(2)/25))/(LN(2)/25)*Calculateur!DB114*Calculateur!DD114*VLOOKUP('Données projet'!$B$13,Paramètres!$A$1:$I$89,3,0)*0.475*44/12</f>
        <v>13.822590223184553</v>
      </c>
      <c r="DH114" s="21">
        <f>EXP(-LN(2)/2)*DH113+(1-EXP(-LN(2)/2))/(LN(2)/2)*DB114*DE114*VLOOKUP('Données projet'!$B$13,Paramètres!$A$1:$I$89,3,0)*0.475*44/12</f>
        <v>1.0035283825899826E-6</v>
      </c>
      <c r="DI114" s="22">
        <f t="shared" si="69"/>
        <v>78.215137883924911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69.104092883724334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69.104092883724334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69.104092883724334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69.104092883724334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69.104092883724334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1.25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4.583333333333333</v>
      </c>
      <c r="H115" s="67">
        <f t="shared" si="56"/>
        <v>238.33333333333334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69.11963486924347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</v>
      </c>
      <c r="N115" s="13">
        <f>IF('Données projet'!$A$36&gt;35,N114+M115-V114,IF(A115&lt;'Données projet'!$A$36,$K$205^A115,IF(A115='Données projet'!$A$36,'Données projet'!$B$36,N114+M115-V114)))</f>
        <v>316</v>
      </c>
      <c r="O115" s="13">
        <f>N115*VLOOKUP('Données projet'!$B$9,Paramètres!$A$1:$I$89,3,0)*VLOOKUP('Données projet'!$B$9,Paramètres!$A$1:$I$89,5,0)</f>
        <v>285.91680000000002</v>
      </c>
      <c r="P115" s="13">
        <f t="shared" si="87"/>
        <v>68.215872977287546</v>
      </c>
      <c r="Q115" s="20">
        <f t="shared" si="107"/>
        <v>616.78107210210919</v>
      </c>
      <c r="R115" s="59">
        <f t="shared" si="55"/>
        <v>906.88639995600192</v>
      </c>
      <c r="S115" s="59">
        <f ca="1">AVERAGE(OFFSET($R$3,0,0,'Données projet'!$E$9+1,1))-AVERAGE(OFFSET($H$3,0,0,'Données projet'!$E$9+1,1))</f>
        <v>467.10712490977266</v>
      </c>
      <c r="T115" s="59">
        <f t="shared" si="88"/>
        <v>282.99426855025968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59.376831912747484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59.376831912747484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69.11963486924347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1.9</v>
      </c>
      <c r="AI115" s="13">
        <f>IF('Données projet'!$A$62&gt;35,AI114+AH115-AQ114,IF(A115&lt;'Données projet'!$A$62,$AF$205^A115,IF(A115='Données projet'!$A$62,'Données projet'!$B$62,AI114+AH115-AQ114)))</f>
        <v>269.79999999999967</v>
      </c>
      <c r="AJ115" s="13">
        <f>AI115*VLOOKUP('Données projet'!$B$10,Paramètres!$A$1:$I$89,3,0)*VLOOKUP('Données projet'!$B$10,Paramètres!$A$1:$I$89,5,0)</f>
        <v>256.74167999999969</v>
      </c>
      <c r="AK115" s="13">
        <f t="shared" si="89"/>
        <v>62.027326852695715</v>
      </c>
      <c r="AL115" s="20">
        <f t="shared" si="58"/>
        <v>555.18935360177773</v>
      </c>
      <c r="AM115" s="59">
        <f t="shared" si="59"/>
        <v>845.29468145567046</v>
      </c>
      <c r="AN115" s="59">
        <f ca="1">AVERAGE(OFFSET($AM$3,0,0,'Données projet'!$E$10+1,1))-AVERAGE(OFFSET($H$3,0,0,'Données projet'!$E$10+1,1))</f>
        <v>399.57236812003225</v>
      </c>
      <c r="AO115" s="59">
        <f t="shared" si="90"/>
        <v>245.95971136213691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32.43750384045498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32.43750384045498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69.11963486924347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2.2737367544323206E-13</v>
      </c>
      <c r="BE115" s="13">
        <f>BD115*VLOOKUP('Données projet'!$B$11,Paramètres!$A$1:$I$89,3,0)*VLOOKUP('Données projet'!$B$11,Paramètres!$A$1:$I$89,5,0)</f>
        <v>1.3596945791505279E-13</v>
      </c>
      <c r="BF115" s="13">
        <f t="shared" si="91"/>
        <v>1.9708830566360721E-12</v>
      </c>
      <c r="BG115" s="20">
        <f t="shared" si="61"/>
        <v>3.669434796176543E-12</v>
      </c>
      <c r="BH115" s="59">
        <f t="shared" si="62"/>
        <v>290.10532785389643</v>
      </c>
      <c r="BI115" s="59">
        <f ca="1">AVERAGE(OFFSET($BH$3,0,0,'Données projet'!$E$11+1,1))-AVERAGE(OFFSET($H$3,0,0,'Données projet'!$E$11+1,1))</f>
        <v>352.88552266225872</v>
      </c>
      <c r="BJ115" s="59">
        <f t="shared" si="92"/>
        <v>403.29115295154782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63.129848092839374</v>
      </c>
      <c r="BQ115" s="21">
        <f>EXP(-LN(2)/25)*BQ114+(1-EXP(-LN(2)/25))/(LN(2)/25)*Calculateur!BL115*Calculateur!BN115*VLOOKUP('Données projet'!$B$11,Paramètres!$A$1:$I$89,3,0)*0.475*44/12</f>
        <v>13.444610766633144</v>
      </c>
      <c r="BR115" s="21">
        <f>EXP(-LN(2)/2)*BR114+(1-EXP(-LN(2)/2))/(LN(2)/2)*BL115*BO115*VLOOKUP('Données projet'!$B$11,Paramètres!$A$1:$I$89,3,0)*0.475*44/12</f>
        <v>7.0960172444254481E-7</v>
      </c>
      <c r="BS115" s="22">
        <f t="shared" si="63"/>
        <v>76.574459569074236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69.11963486924347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-1.0049916454590858E-13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297.1442218517625</v>
      </c>
      <c r="CE115" s="59">
        <f t="shared" si="94"/>
        <v>326.0112787126069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67.046435870734967</v>
      </c>
      <c r="CL115" s="21">
        <f>EXP(-LN(2)/25)*CL114+(1-EXP(-LN(2)/25))/(LN(2)/25)*Calculateur!CG115*Calculateur!CI115*VLOOKUP('Données projet'!$B$12,Paramètres!$A$1:$I$89,3,0)*0.475*44/12</f>
        <v>13.684129630646238</v>
      </c>
      <c r="CM115" s="21">
        <f>EXP(-LN(2)/2)*CM114+(1-EXP(-LN(2)/2))/(LN(2)/2)*CG115*CJ115*VLOOKUP('Données projet'!$B$12,Paramètres!$A$1:$I$89,3,0)*0.475*44/12</f>
        <v>6.3960456540230044E-7</v>
      </c>
      <c r="CN115" s="22">
        <f t="shared" si="66"/>
        <v>80.730566140985772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69.11963486924347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2.2737367544323206E-13</v>
      </c>
      <c r="CU115" s="17">
        <f>CT115*VLOOKUP('Données projet'!$B$13,Paramètres!$A$1:$I$89,3,0)*VLOOKUP('Données projet'!$B$13,Paramètres!$A$1:$I$89,5,0)</f>
        <v>1.3596945791505279E-13</v>
      </c>
      <c r="CV115" s="13">
        <f t="shared" si="95"/>
        <v>1.9708830566360721E-12</v>
      </c>
      <c r="CW115" s="20">
        <f t="shared" si="67"/>
        <v>3.669434796176543E-12</v>
      </c>
      <c r="CX115" s="59">
        <f t="shared" si="68"/>
        <v>290.10532785389643</v>
      </c>
      <c r="CY115" s="59">
        <f ca="1">AVERAGE(OFFSET($CX$3,0,0,'Données projet'!$E$13+1,1))-AVERAGE(OFFSET($H$3,0,0,'Données projet'!$E$13+1,1))</f>
        <v>352.88552266225872</v>
      </c>
      <c r="CZ115" s="59">
        <f t="shared" si="96"/>
        <v>403.29115295154782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63.129848092839374</v>
      </c>
      <c r="DG115" s="21">
        <f>EXP(-LN(2)/25)*DG114+(1-EXP(-LN(2)/25))/(LN(2)/25)*Calculateur!DB115*Calculateur!DD115*VLOOKUP('Données projet'!$B$13,Paramètres!$A$1:$I$89,3,0)*0.475*44/12</f>
        <v>13.444610766633144</v>
      </c>
      <c r="DH115" s="21">
        <f>EXP(-LN(2)/2)*DH114+(1-EXP(-LN(2)/2))/(LN(2)/2)*DB115*DE115*VLOOKUP('Données projet'!$B$13,Paramètres!$A$1:$I$89,3,0)*0.475*44/12</f>
        <v>7.0960172444254481E-7</v>
      </c>
      <c r="DI115" s="22">
        <f t="shared" si="69"/>
        <v>76.574459569074236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69.11963486924347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69.11963486924347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69.11963486924347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69.11963486924347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69.11963486924347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1.25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4.583333333333333</v>
      </c>
      <c r="H116" s="67">
        <f t="shared" si="56"/>
        <v>238.33333333333334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69.134907236060513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</v>
      </c>
      <c r="N116" s="13">
        <f>IF('Données projet'!$A$36&gt;35,N115+M116-V115,IF(A116&lt;'Données projet'!$A$36,$K$205^A116,IF(A116='Données projet'!$A$36,'Données projet'!$B$36,N115+M116-V115)))</f>
        <v>320.5</v>
      </c>
      <c r="O116" s="13">
        <f>N116*VLOOKUP('Données projet'!$B$9,Paramètres!$A$1:$I$89,3,0)*VLOOKUP('Données projet'!$B$9,Paramètres!$A$1:$I$89,5,0)</f>
        <v>289.98840000000001</v>
      </c>
      <c r="P116" s="13">
        <f t="shared" si="87"/>
        <v>69.073519602481582</v>
      </c>
      <c r="Q116" s="20">
        <f t="shared" si="107"/>
        <v>625.36617664098867</v>
      </c>
      <c r="R116" s="59">
        <f t="shared" si="55"/>
        <v>915.52750317321056</v>
      </c>
      <c r="S116" s="59">
        <f ca="1">AVERAGE(OFFSET($R$3,0,0,'Données projet'!$E$9+1,1))-AVERAGE(OFFSET($H$3,0,0,'Données projet'!$E$9+1,1))</f>
        <v>467.10712490977266</v>
      </c>
      <c r="T116" s="59">
        <f t="shared" si="88"/>
        <v>282.99426855025968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58.212488455229909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58.212488455229909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69.134907236060513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1.9</v>
      </c>
      <c r="AI116" s="13">
        <f>IF('Données projet'!$A$62&gt;35,AI115+AH116-AQ115,IF(A116&lt;'Données projet'!$A$62,$AF$205^A116,IF(A116='Données projet'!$A$62,'Données projet'!$B$62,AI115+AH116-AQ115)))</f>
        <v>271.69999999999965</v>
      </c>
      <c r="AJ116" s="13">
        <f>AI116*VLOOKUP('Données projet'!$B$10,Paramètres!$A$1:$I$89,3,0)*VLOOKUP('Données projet'!$B$10,Paramètres!$A$1:$I$89,5,0)</f>
        <v>258.54971999999964</v>
      </c>
      <c r="AK116" s="13">
        <f t="shared" si="89"/>
        <v>62.413136298926105</v>
      </c>
      <c r="AL116" s="20">
        <f t="shared" si="58"/>
        <v>559.01030805396238</v>
      </c>
      <c r="AM116" s="59">
        <f t="shared" si="59"/>
        <v>849.17163458618427</v>
      </c>
      <c r="AN116" s="59">
        <f ca="1">AVERAGE(OFFSET($AM$3,0,0,'Données projet'!$E$10+1,1))-AVERAGE(OFFSET($H$3,0,0,'Données projet'!$E$10+1,1))</f>
        <v>399.57236812003225</v>
      </c>
      <c r="AO116" s="59">
        <f t="shared" si="90"/>
        <v>245.95971136213691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31.8014241750674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31.8014241750674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69.134907236060513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2.2737367544323206E-13</v>
      </c>
      <c r="BE116" s="13">
        <f>BD116*VLOOKUP('Données projet'!$B$11,Paramètres!$A$1:$I$89,3,0)*VLOOKUP('Données projet'!$B$11,Paramètres!$A$1:$I$89,5,0)</f>
        <v>1.3596945791505279E-13</v>
      </c>
      <c r="BF116" s="13">
        <f t="shared" si="91"/>
        <v>1.9708830566360721E-12</v>
      </c>
      <c r="BG116" s="20">
        <f t="shared" si="61"/>
        <v>3.669434796176543E-12</v>
      </c>
      <c r="BH116" s="59">
        <f t="shared" si="62"/>
        <v>290.16132653222559</v>
      </c>
      <c r="BI116" s="59">
        <f ca="1">AVERAGE(OFFSET($BH$3,0,0,'Données projet'!$E$11+1,1))-AVERAGE(OFFSET($H$3,0,0,'Données projet'!$E$11+1,1))</f>
        <v>352.88552266225872</v>
      </c>
      <c r="BJ116" s="59">
        <f t="shared" si="92"/>
        <v>403.29115295154782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61.891910277144035</v>
      </c>
      <c r="BQ116" s="21">
        <f>EXP(-LN(2)/25)*BQ115+(1-EXP(-LN(2)/25))/(LN(2)/25)*Calculateur!BL116*Calculateur!BN116*VLOOKUP('Données projet'!$B$11,Paramètres!$A$1:$I$89,3,0)*0.475*44/12</f>
        <v>13.076967178198208</v>
      </c>
      <c r="BR116" s="21">
        <f>EXP(-LN(2)/2)*BR115+(1-EXP(-LN(2)/2))/(LN(2)/2)*BL116*BO116*VLOOKUP('Données projet'!$B$11,Paramètres!$A$1:$I$89,3,0)*0.475*44/12</f>
        <v>5.0176419129499132E-7</v>
      </c>
      <c r="BS116" s="22">
        <f t="shared" si="63"/>
        <v>74.968877957106429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69.134907236060513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-1.0049916454590858E-13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297.1442218517625</v>
      </c>
      <c r="CE116" s="59">
        <f t="shared" si="94"/>
        <v>326.0112787126069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65.731696157597767</v>
      </c>
      <c r="CL116" s="21">
        <f>EXP(-LN(2)/25)*CL115+(1-EXP(-LN(2)/25))/(LN(2)/25)*Calculateur!CG116*Calculateur!CI116*VLOOKUP('Données projet'!$B$12,Paramètres!$A$1:$I$89,3,0)*0.475*44/12</f>
        <v>13.309936386279114</v>
      </c>
      <c r="CM116" s="21">
        <f>EXP(-LN(2)/2)*CM115+(1-EXP(-LN(2)/2))/(LN(2)/2)*CG116*CJ116*VLOOKUP('Données projet'!$B$12,Paramètres!$A$1:$I$89,3,0)*0.475*44/12</f>
        <v>4.5226872547384129E-7</v>
      </c>
      <c r="CN116" s="22">
        <f t="shared" si="66"/>
        <v>79.041632996145609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69.134907236060513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2.2737367544323206E-13</v>
      </c>
      <c r="CU116" s="17">
        <f>CT116*VLOOKUP('Données projet'!$B$13,Paramètres!$A$1:$I$89,3,0)*VLOOKUP('Données projet'!$B$13,Paramètres!$A$1:$I$89,5,0)</f>
        <v>1.3596945791505279E-13</v>
      </c>
      <c r="CV116" s="13">
        <f t="shared" si="95"/>
        <v>1.9708830566360721E-12</v>
      </c>
      <c r="CW116" s="20">
        <f t="shared" si="67"/>
        <v>3.669434796176543E-12</v>
      </c>
      <c r="CX116" s="59">
        <f t="shared" si="68"/>
        <v>290.16132653222559</v>
      </c>
      <c r="CY116" s="59">
        <f ca="1">AVERAGE(OFFSET($CX$3,0,0,'Données projet'!$E$13+1,1))-AVERAGE(OFFSET($H$3,0,0,'Données projet'!$E$13+1,1))</f>
        <v>352.88552266225872</v>
      </c>
      <c r="CZ116" s="59">
        <f t="shared" si="96"/>
        <v>403.29115295154782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61.891910277144035</v>
      </c>
      <c r="DG116" s="21">
        <f>EXP(-LN(2)/25)*DG115+(1-EXP(-LN(2)/25))/(LN(2)/25)*Calculateur!DB116*Calculateur!DD116*VLOOKUP('Données projet'!$B$13,Paramètres!$A$1:$I$89,3,0)*0.475*44/12</f>
        <v>13.076967178198208</v>
      </c>
      <c r="DH116" s="21">
        <f>EXP(-LN(2)/2)*DH115+(1-EXP(-LN(2)/2))/(LN(2)/2)*DB116*DE116*VLOOKUP('Données projet'!$B$13,Paramètres!$A$1:$I$89,3,0)*0.475*44/12</f>
        <v>5.0176419129499132E-7</v>
      </c>
      <c r="DI116" s="22">
        <f t="shared" si="69"/>
        <v>74.968877957106429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69.134907236060513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69.134907236060513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69.134907236060513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69.134907236060513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69.134907236060513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1.25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4.583333333333333</v>
      </c>
      <c r="H117" s="67">
        <f t="shared" si="56"/>
        <v>238.33333333333334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69.149914661457188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4.5</v>
      </c>
      <c r="N117" s="13">
        <f>IF('Données projet'!$A$36&gt;35,N116+M117-V116,IF(A117&lt;'Données projet'!$A$36,$K$205^A117,IF(A117='Données projet'!$A$36,'Données projet'!$B$36,N116+M117-V116)))</f>
        <v>325</v>
      </c>
      <c r="O117" s="13">
        <f>N117*VLOOKUP('Données projet'!$B$9,Paramètres!$A$1:$I$89,3,0)*VLOOKUP('Données projet'!$B$9,Paramètres!$A$1:$I$89,5,0)</f>
        <v>294.06</v>
      </c>
      <c r="P117" s="13">
        <f t="shared" si="87"/>
        <v>69.929765653573313</v>
      </c>
      <c r="Q117" s="20">
        <f t="shared" si="107"/>
        <v>633.94884184664022</v>
      </c>
      <c r="R117" s="59">
        <f t="shared" si="55"/>
        <v>924.16519560531651</v>
      </c>
      <c r="S117" s="59">
        <f ca="1">AVERAGE(OFFSET($R$3,0,0,'Données projet'!$E$9+1,1))-AVERAGE(OFFSET($H$3,0,0,'Données projet'!$E$9+1,1))</f>
        <v>467.10712490977266</v>
      </c>
      <c r="T117" s="59">
        <f t="shared" si="88"/>
        <v>282.99426855025968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57.070977062734869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57.070977062734869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69.149914661457188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1.9</v>
      </c>
      <c r="AI117" s="13">
        <f>IF('Données projet'!$A$62&gt;35,AI116+AH117-AQ116,IF(A117&lt;'Données projet'!$A$62,$AF$205^A117,IF(A117='Données projet'!$A$62,'Données projet'!$B$62,AI116+AH117-AQ116)))</f>
        <v>273.59999999999962</v>
      </c>
      <c r="AJ117" s="13">
        <f>AI117*VLOOKUP('Données projet'!$B$10,Paramètres!$A$1:$I$89,3,0)*VLOOKUP('Données projet'!$B$10,Paramètres!$A$1:$I$89,5,0)</f>
        <v>260.35775999999964</v>
      </c>
      <c r="AK117" s="13">
        <f t="shared" si="89"/>
        <v>62.798631826735743</v>
      </c>
      <c r="AL117" s="20">
        <f t="shared" si="58"/>
        <v>562.83071576489749</v>
      </c>
      <c r="AM117" s="59">
        <f t="shared" si="59"/>
        <v>853.04706952357378</v>
      </c>
      <c r="AN117" s="59">
        <f ca="1">AVERAGE(OFFSET($AM$3,0,0,'Données projet'!$E$10+1,1))-AVERAGE(OFFSET($H$3,0,0,'Données projet'!$E$10+1,1))</f>
        <v>399.57236812003225</v>
      </c>
      <c r="AO117" s="59">
        <f t="shared" si="90"/>
        <v>245.95971136213691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31.177817643947783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31.177817643947783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69.149914661457188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2.2737367544323206E-13</v>
      </c>
      <c r="BE117" s="13">
        <f>BD117*VLOOKUP('Données projet'!$B$11,Paramètres!$A$1:$I$89,3,0)*VLOOKUP('Données projet'!$B$11,Paramètres!$A$1:$I$89,5,0)</f>
        <v>1.3596945791505279E-13</v>
      </c>
      <c r="BF117" s="13">
        <f t="shared" si="91"/>
        <v>1.9708830566360721E-12</v>
      </c>
      <c r="BG117" s="20">
        <f t="shared" si="61"/>
        <v>3.669434796176543E-12</v>
      </c>
      <c r="BH117" s="59">
        <f t="shared" si="62"/>
        <v>290.21635375868004</v>
      </c>
      <c r="BI117" s="59">
        <f ca="1">AVERAGE(OFFSET($BH$3,0,0,'Données projet'!$E$11+1,1))-AVERAGE(OFFSET($H$3,0,0,'Données projet'!$E$11+1,1))</f>
        <v>352.88552266225872</v>
      </c>
      <c r="BJ117" s="59">
        <f t="shared" si="92"/>
        <v>403.29115295154782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60.678247666946973</v>
      </c>
      <c r="BQ117" s="21">
        <f>EXP(-LN(2)/25)*BQ116+(1-EXP(-LN(2)/25))/(LN(2)/25)*Calculateur!BL117*Calculateur!BN117*VLOOKUP('Données projet'!$B$11,Paramètres!$A$1:$I$89,3,0)*0.475*44/12</f>
        <v>12.719376823022563</v>
      </c>
      <c r="BR117" s="21">
        <f>EXP(-LN(2)/2)*BR116+(1-EXP(-LN(2)/2))/(LN(2)/2)*BL117*BO117*VLOOKUP('Données projet'!$B$11,Paramètres!$A$1:$I$89,3,0)*0.475*44/12</f>
        <v>3.5480086222127241E-7</v>
      </c>
      <c r="BS117" s="22">
        <f t="shared" si="63"/>
        <v>73.397624844770391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69.149914661457188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-1.0049916454590858E-13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297.1442218517625</v>
      </c>
      <c r="CE117" s="59">
        <f t="shared" si="94"/>
        <v>326.0112787126069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64.442737688323135</v>
      </c>
      <c r="CL117" s="21">
        <f>EXP(-LN(2)/25)*CL116+(1-EXP(-LN(2)/25))/(LN(2)/25)*Calculateur!CG117*Calculateur!CI117*VLOOKUP('Données projet'!$B$12,Paramètres!$A$1:$I$89,3,0)*0.475*44/12</f>
        <v>12.945975475857177</v>
      </c>
      <c r="CM117" s="21">
        <f>EXP(-LN(2)/2)*CM116+(1-EXP(-LN(2)/2))/(LN(2)/2)*CG117*CJ117*VLOOKUP('Données projet'!$B$12,Paramètres!$A$1:$I$89,3,0)*0.475*44/12</f>
        <v>3.1980228270115022E-7</v>
      </c>
      <c r="CN117" s="22">
        <f t="shared" si="66"/>
        <v>77.388713483982599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69.149914661457188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2.2737367544323206E-13</v>
      </c>
      <c r="CU117" s="17">
        <f>CT117*VLOOKUP('Données projet'!$B$13,Paramètres!$A$1:$I$89,3,0)*VLOOKUP('Données projet'!$B$13,Paramètres!$A$1:$I$89,5,0)</f>
        <v>1.3596945791505279E-13</v>
      </c>
      <c r="CV117" s="13">
        <f t="shared" si="95"/>
        <v>1.9708830566360721E-12</v>
      </c>
      <c r="CW117" s="20">
        <f t="shared" si="67"/>
        <v>3.669434796176543E-12</v>
      </c>
      <c r="CX117" s="59">
        <f t="shared" si="68"/>
        <v>290.21635375868004</v>
      </c>
      <c r="CY117" s="59">
        <f ca="1">AVERAGE(OFFSET($CX$3,0,0,'Données projet'!$E$13+1,1))-AVERAGE(OFFSET($H$3,0,0,'Données projet'!$E$13+1,1))</f>
        <v>352.88552266225872</v>
      </c>
      <c r="CZ117" s="59">
        <f t="shared" si="96"/>
        <v>403.29115295154782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60.678247666946973</v>
      </c>
      <c r="DG117" s="21">
        <f>EXP(-LN(2)/25)*DG116+(1-EXP(-LN(2)/25))/(LN(2)/25)*Calculateur!DB117*Calculateur!DD117*VLOOKUP('Données projet'!$B$13,Paramètres!$A$1:$I$89,3,0)*0.475*44/12</f>
        <v>12.719376823022563</v>
      </c>
      <c r="DH117" s="21">
        <f>EXP(-LN(2)/2)*DH116+(1-EXP(-LN(2)/2))/(LN(2)/2)*DB117*DE117*VLOOKUP('Données projet'!$B$13,Paramètres!$A$1:$I$89,3,0)*0.475*44/12</f>
        <v>3.5480086222127241E-7</v>
      </c>
      <c r="DI117" s="22">
        <f t="shared" si="69"/>
        <v>73.397624844770391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69.149914661457188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69.149914661457188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69.149914661457188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69.149914661457188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69.149914661457188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1.25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4.583333333333333</v>
      </c>
      <c r="H118" s="67">
        <f t="shared" si="56"/>
        <v>238.33333333333334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69.164661741574804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4.5</v>
      </c>
      <c r="N118" s="13">
        <f>IF('Données projet'!$A$36&gt;35,N117+M118-V117,IF(A118&lt;'Données projet'!$A$36,$K$205^A118,IF(A118='Données projet'!$A$36,'Données projet'!$B$36,N117+M118-V117)))</f>
        <v>329.5</v>
      </c>
      <c r="O118" s="13">
        <f>N118*VLOOKUP('Données projet'!$B$9,Paramètres!$A$1:$I$89,3,0)*VLOOKUP('Données projet'!$B$9,Paramètres!$A$1:$I$89,5,0)</f>
        <v>298.13159999999999</v>
      </c>
      <c r="P118" s="13">
        <f t="shared" si="87"/>
        <v>70.784632764376028</v>
      </c>
      <c r="Q118" s="20">
        <f t="shared" si="107"/>
        <v>642.52910539795482</v>
      </c>
      <c r="R118" s="59">
        <f t="shared" si="55"/>
        <v>932.79953178372909</v>
      </c>
      <c r="S118" s="59">
        <f ca="1">AVERAGE(OFFSET($R$3,0,0,'Données projet'!$E$9+1,1))-AVERAGE(OFFSET($H$3,0,0,'Données projet'!$E$9+1,1))</f>
        <v>467.10712490977266</v>
      </c>
      <c r="T118" s="59">
        <f t="shared" si="88"/>
        <v>282.99426855025968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55.951850012393457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55.951850012393457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69.164661741574804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1.9</v>
      </c>
      <c r="AI118" s="13">
        <f>IF('Données projet'!$A$62&gt;35,AI117+AH118-AQ117,IF(A118&lt;'Données projet'!$A$62,$AF$205^A118,IF(A118='Données projet'!$A$62,'Données projet'!$B$62,AI117+AH118-AQ117)))</f>
        <v>275.4999999999996</v>
      </c>
      <c r="AJ118" s="13">
        <f>AI118*VLOOKUP('Données projet'!$B$10,Paramètres!$A$1:$I$89,3,0)*VLOOKUP('Données projet'!$B$10,Paramètres!$A$1:$I$89,5,0)</f>
        <v>262.16579999999959</v>
      </c>
      <c r="AK118" s="13">
        <f t="shared" si="89"/>
        <v>63.183815868920128</v>
      </c>
      <c r="AL118" s="20">
        <f t="shared" si="58"/>
        <v>566.65058097170186</v>
      </c>
      <c r="AM118" s="59">
        <f t="shared" si="59"/>
        <v>856.92100735747613</v>
      </c>
      <c r="AN118" s="59">
        <f ca="1">AVERAGE(OFFSET($AM$3,0,0,'Données projet'!$E$10+1,1))-AVERAGE(OFFSET($H$3,0,0,'Données projet'!$E$10+1,1))</f>
        <v>399.57236812003225</v>
      </c>
      <c r="AO118" s="59">
        <f t="shared" si="90"/>
        <v>245.95971136213691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30.566439656540997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30.566439656540997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69.164661741574804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2.2737367544323206E-13</v>
      </c>
      <c r="BE118" s="13">
        <f>BD118*VLOOKUP('Données projet'!$B$11,Paramètres!$A$1:$I$89,3,0)*VLOOKUP('Données projet'!$B$11,Paramètres!$A$1:$I$89,5,0)</f>
        <v>1.3596945791505279E-13</v>
      </c>
      <c r="BF118" s="13">
        <f t="shared" si="91"/>
        <v>1.9708830566360721E-12</v>
      </c>
      <c r="BG118" s="20">
        <f t="shared" si="61"/>
        <v>3.669434796176543E-12</v>
      </c>
      <c r="BH118" s="59">
        <f t="shared" si="62"/>
        <v>290.27042638577797</v>
      </c>
      <c r="BI118" s="59">
        <f ca="1">AVERAGE(OFFSET($BH$3,0,0,'Données projet'!$E$11+1,1))-AVERAGE(OFFSET($H$3,0,0,'Données projet'!$E$11+1,1))</f>
        <v>352.88552266225872</v>
      </c>
      <c r="BJ118" s="59">
        <f t="shared" si="92"/>
        <v>403.29115295154782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59.488384240274776</v>
      </c>
      <c r="BQ118" s="21">
        <f>EXP(-LN(2)/25)*BQ117+(1-EXP(-LN(2)/25))/(LN(2)/25)*Calculateur!BL118*Calculateur!BN118*VLOOKUP('Données projet'!$B$11,Paramètres!$A$1:$I$89,3,0)*0.475*44/12</f>
        <v>12.371564794914054</v>
      </c>
      <c r="BR118" s="21">
        <f>EXP(-LN(2)/2)*BR117+(1-EXP(-LN(2)/2))/(LN(2)/2)*BL118*BO118*VLOOKUP('Données projet'!$B$11,Paramètres!$A$1:$I$89,3,0)*0.475*44/12</f>
        <v>2.5088209564749566E-7</v>
      </c>
      <c r="BS118" s="22">
        <f t="shared" si="63"/>
        <v>71.859949286070929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69.164661741574804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-1.0049916454590858E-13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297.1442218517625</v>
      </c>
      <c r="CE118" s="59">
        <f t="shared" si="94"/>
        <v>326.0112787126069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63.179054908443945</v>
      </c>
      <c r="CL118" s="21">
        <f>EXP(-LN(2)/25)*CL117+(1-EXP(-LN(2)/25))/(LN(2)/25)*Calculateur!CG118*Calculateur!CI118*VLOOKUP('Données projet'!$B$12,Paramètres!$A$1:$I$89,3,0)*0.475*44/12</f>
        <v>12.591967095670601</v>
      </c>
      <c r="CM118" s="21">
        <f>EXP(-LN(2)/2)*CM117+(1-EXP(-LN(2)/2))/(LN(2)/2)*CG118*CJ118*VLOOKUP('Données projet'!$B$12,Paramètres!$A$1:$I$89,3,0)*0.475*44/12</f>
        <v>2.2613436273692064E-7</v>
      </c>
      <c r="CN118" s="22">
        <f t="shared" si="66"/>
        <v>75.771022230248903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69.164661741574804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2.2737367544323206E-13</v>
      </c>
      <c r="CU118" s="17">
        <f>CT118*VLOOKUP('Données projet'!$B$13,Paramètres!$A$1:$I$89,3,0)*VLOOKUP('Données projet'!$B$13,Paramètres!$A$1:$I$89,5,0)</f>
        <v>1.3596945791505279E-13</v>
      </c>
      <c r="CV118" s="13">
        <f t="shared" si="95"/>
        <v>1.9708830566360721E-12</v>
      </c>
      <c r="CW118" s="20">
        <f t="shared" si="67"/>
        <v>3.669434796176543E-12</v>
      </c>
      <c r="CX118" s="59">
        <f t="shared" si="68"/>
        <v>290.27042638577797</v>
      </c>
      <c r="CY118" s="59">
        <f ca="1">AVERAGE(OFFSET($CX$3,0,0,'Données projet'!$E$13+1,1))-AVERAGE(OFFSET($H$3,0,0,'Données projet'!$E$13+1,1))</f>
        <v>352.88552266225872</v>
      </c>
      <c r="CZ118" s="59">
        <f t="shared" si="96"/>
        <v>403.29115295154782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59.488384240274776</v>
      </c>
      <c r="DG118" s="21">
        <f>EXP(-LN(2)/25)*DG117+(1-EXP(-LN(2)/25))/(LN(2)/25)*Calculateur!DB118*Calculateur!DD118*VLOOKUP('Données projet'!$B$13,Paramètres!$A$1:$I$89,3,0)*0.475*44/12</f>
        <v>12.371564794914054</v>
      </c>
      <c r="DH118" s="21">
        <f>EXP(-LN(2)/2)*DH117+(1-EXP(-LN(2)/2))/(LN(2)/2)*DB118*DE118*VLOOKUP('Données projet'!$B$13,Paramètres!$A$1:$I$89,3,0)*0.475*44/12</f>
        <v>2.5088209564749566E-7</v>
      </c>
      <c r="DI118" s="22">
        <f t="shared" si="69"/>
        <v>71.859949286070929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69.164661741574804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69.164661741574804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69.164661741574804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69.164661741574804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69.164661741574804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1.25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4.583333333333333</v>
      </c>
      <c r="H119" s="67">
        <f t="shared" si="56"/>
        <v>238.33333333333334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69.179152992821912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4.5</v>
      </c>
      <c r="N119" s="13">
        <f>IF('Données projet'!$A$36&gt;35,N118+M119-V118,IF(A119&lt;'Données projet'!$A$36,$K$205^A119,IF(A119='Données projet'!$A$36,'Données projet'!$B$36,N118+M119-V118)))</f>
        <v>334</v>
      </c>
      <c r="O119" s="13">
        <f>N119*VLOOKUP('Données projet'!$B$9,Paramètres!$A$1:$I$89,3,0)*VLOOKUP('Données projet'!$B$9,Paramètres!$A$1:$I$89,5,0)</f>
        <v>302.20319999999998</v>
      </c>
      <c r="P119" s="13">
        <f t="shared" si="87"/>
        <v>71.638141943842299</v>
      </c>
      <c r="Q119" s="20">
        <f t="shared" si="107"/>
        <v>651.10700388552527</v>
      </c>
      <c r="R119" s="59">
        <f t="shared" si="55"/>
        <v>941.43056485920556</v>
      </c>
      <c r="S119" s="59">
        <f ca="1">AVERAGE(OFFSET($R$3,0,0,'Données projet'!$E$9+1,1))-AVERAGE(OFFSET($H$3,0,0,'Données projet'!$E$9+1,1))</f>
        <v>467.10712490977266</v>
      </c>
      <c r="T119" s="59">
        <f t="shared" si="88"/>
        <v>282.99426855025968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54.854668360909145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54.854668360909145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69.179152992821912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1.9</v>
      </c>
      <c r="AI119" s="13">
        <f>IF('Données projet'!$A$62&gt;35,AI118+AH119-AQ118,IF(A119&lt;'Données projet'!$A$62,$AF$205^A119,IF(A119='Données projet'!$A$62,'Données projet'!$B$62,AI118+AH119-AQ118)))</f>
        <v>277.39999999999958</v>
      </c>
      <c r="AJ119" s="13">
        <f>AI119*VLOOKUP('Données projet'!$B$10,Paramètres!$A$1:$I$89,3,0)*VLOOKUP('Données projet'!$B$10,Paramètres!$A$1:$I$89,5,0)</f>
        <v>263.9738399999996</v>
      </c>
      <c r="AK119" s="13">
        <f t="shared" si="89"/>
        <v>63.56869082277953</v>
      </c>
      <c r="AL119" s="20">
        <f t="shared" si="58"/>
        <v>570.46990784967363</v>
      </c>
      <c r="AM119" s="59">
        <f t="shared" si="59"/>
        <v>860.79346882335403</v>
      </c>
      <c r="AN119" s="59">
        <f ca="1">AVERAGE(OFFSET($AM$3,0,0,'Données projet'!$E$10+1,1))-AVERAGE(OFFSET($H$3,0,0,'Données projet'!$E$10+1,1))</f>
        <v>399.57236812003225</v>
      </c>
      <c r="AO119" s="59">
        <f t="shared" si="90"/>
        <v>245.95971136213691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29.967050418563506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29.967050418563506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69.179152992821912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2.2737367544323206E-13</v>
      </c>
      <c r="BE119" s="13">
        <f>BD119*VLOOKUP('Données projet'!$B$11,Paramètres!$A$1:$I$89,3,0)*VLOOKUP('Données projet'!$B$11,Paramètres!$A$1:$I$89,5,0)</f>
        <v>1.3596945791505279E-13</v>
      </c>
      <c r="BF119" s="13">
        <f t="shared" si="91"/>
        <v>1.9708830566360721E-12</v>
      </c>
      <c r="BG119" s="20">
        <f t="shared" si="61"/>
        <v>3.669434796176543E-12</v>
      </c>
      <c r="BH119" s="59">
        <f t="shared" si="62"/>
        <v>290.32356097368404</v>
      </c>
      <c r="BI119" s="59">
        <f ca="1">AVERAGE(OFFSET($BH$3,0,0,'Données projet'!$E$11+1,1))-AVERAGE(OFFSET($H$3,0,0,'Données projet'!$E$11+1,1))</f>
        <v>352.88552266225872</v>
      </c>
      <c r="BJ119" s="59">
        <f t="shared" si="92"/>
        <v>403.29115295154782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58.321853309654593</v>
      </c>
      <c r="BQ119" s="21">
        <f>EXP(-LN(2)/25)*BQ118+(1-EXP(-LN(2)/25))/(LN(2)/25)*Calculateur!BL119*Calculateur!BN119*VLOOKUP('Données projet'!$B$11,Paramètres!$A$1:$I$89,3,0)*0.475*44/12</f>
        <v>12.033263705004812</v>
      </c>
      <c r="BR119" s="21">
        <f>EXP(-LN(2)/2)*BR118+(1-EXP(-LN(2)/2))/(LN(2)/2)*BL119*BO119*VLOOKUP('Données projet'!$B$11,Paramètres!$A$1:$I$89,3,0)*0.475*44/12</f>
        <v>1.774004311106362E-7</v>
      </c>
      <c r="BS119" s="22">
        <f t="shared" si="63"/>
        <v>70.355117192059836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69.179152992821912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-1.0049916454590858E-13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297.1442218517625</v>
      </c>
      <c r="CE119" s="59">
        <f t="shared" si="94"/>
        <v>326.0112787126069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61.940152177107798</v>
      </c>
      <c r="CL119" s="21">
        <f>EXP(-LN(2)/25)*CL118+(1-EXP(-LN(2)/25))/(LN(2)/25)*Calculateur!CG119*Calculateur!CI119*VLOOKUP('Données projet'!$B$12,Paramètres!$A$1:$I$89,3,0)*0.475*44/12</f>
        <v>12.247639093256717</v>
      </c>
      <c r="CM119" s="21">
        <f>EXP(-LN(2)/2)*CM118+(1-EXP(-LN(2)/2))/(LN(2)/2)*CG119*CJ119*VLOOKUP('Données projet'!$B$12,Paramètres!$A$1:$I$89,3,0)*0.475*44/12</f>
        <v>1.5990114135057511E-7</v>
      </c>
      <c r="CN119" s="22">
        <f t="shared" si="66"/>
        <v>74.187791430265662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69.179152992821912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2.2737367544323206E-13</v>
      </c>
      <c r="CU119" s="17">
        <f>CT119*VLOOKUP('Données projet'!$B$13,Paramètres!$A$1:$I$89,3,0)*VLOOKUP('Données projet'!$B$13,Paramètres!$A$1:$I$89,5,0)</f>
        <v>1.3596945791505279E-13</v>
      </c>
      <c r="CV119" s="13">
        <f t="shared" si="95"/>
        <v>1.9708830566360721E-12</v>
      </c>
      <c r="CW119" s="20">
        <f t="shared" si="67"/>
        <v>3.669434796176543E-12</v>
      </c>
      <c r="CX119" s="59">
        <f t="shared" si="68"/>
        <v>290.32356097368404</v>
      </c>
      <c r="CY119" s="59">
        <f ca="1">AVERAGE(OFFSET($CX$3,0,0,'Données projet'!$E$13+1,1))-AVERAGE(OFFSET($H$3,0,0,'Données projet'!$E$13+1,1))</f>
        <v>352.88552266225872</v>
      </c>
      <c r="CZ119" s="59">
        <f t="shared" si="96"/>
        <v>403.29115295154782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58.321853309654593</v>
      </c>
      <c r="DG119" s="21">
        <f>EXP(-LN(2)/25)*DG118+(1-EXP(-LN(2)/25))/(LN(2)/25)*Calculateur!DB119*Calculateur!DD119*VLOOKUP('Données projet'!$B$13,Paramètres!$A$1:$I$89,3,0)*0.475*44/12</f>
        <v>12.033263705004812</v>
      </c>
      <c r="DH119" s="21">
        <f>EXP(-LN(2)/2)*DH118+(1-EXP(-LN(2)/2))/(LN(2)/2)*DB119*DE119*VLOOKUP('Données projet'!$B$13,Paramètres!$A$1:$I$89,3,0)*0.475*44/12</f>
        <v>1.774004311106362E-7</v>
      </c>
      <c r="DI119" s="22">
        <f t="shared" si="69"/>
        <v>70.355117192059836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69.179152992821912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69.179152992821912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69.179152992821912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69.179152992821912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69.179152992821912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1.25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4.583333333333333</v>
      </c>
      <c r="H120" s="67">
        <f t="shared" si="56"/>
        <v>238.33333333333334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69.193392853257478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4.5</v>
      </c>
      <c r="N120" s="13">
        <f>IF('Données projet'!$A$36&gt;35,N119+M120-V119,IF(A120&lt;'Données projet'!$A$36,$K$205^A120,IF(A120='Données projet'!$A$36,'Données projet'!$B$36,N119+M120-V119)))</f>
        <v>338.5</v>
      </c>
      <c r="O120" s="13">
        <f>N120*VLOOKUP('Données projet'!$B$9,Paramètres!$A$1:$I$89,3,0)*VLOOKUP('Données projet'!$B$9,Paramètres!$A$1:$I$89,5,0)</f>
        <v>306.27479999999997</v>
      </c>
      <c r="P120" s="13">
        <f t="shared" si="87"/>
        <v>72.490313602283052</v>
      </c>
      <c r="Q120" s="20">
        <f t="shared" si="107"/>
        <v>659.68257285730954</v>
      </c>
      <c r="R120" s="59">
        <f t="shared" si="55"/>
        <v>950.05834665258703</v>
      </c>
      <c r="S120" s="59">
        <f ca="1">AVERAGE(OFFSET($R$3,0,0,'Données projet'!$E$9+1,1))-AVERAGE(OFFSET($H$3,0,0,'Données projet'!$E$9+1,1))</f>
        <v>467.10712490977266</v>
      </c>
      <c r="T120" s="59">
        <f t="shared" si="88"/>
        <v>282.99426855025968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53.779001772395709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53.779001772395709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69.193392853257478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1.9</v>
      </c>
      <c r="AI120" s="13">
        <f>IF('Données projet'!$A$62&gt;35,AI119+AH120-AQ119,IF(A120&lt;'Données projet'!$A$62,$AF$205^A120,IF(A120='Données projet'!$A$62,'Données projet'!$B$62,AI119+AH120-AQ119)))</f>
        <v>279.29999999999956</v>
      </c>
      <c r="AJ120" s="13">
        <f>AI120*VLOOKUP('Données projet'!$B$10,Paramètres!$A$1:$I$89,3,0)*VLOOKUP('Données projet'!$B$10,Paramètres!$A$1:$I$89,5,0)</f>
        <v>265.7818799999996</v>
      </c>
      <c r="AK120" s="13">
        <f t="shared" si="89"/>
        <v>63.953259050876319</v>
      </c>
      <c r="AL120" s="20">
        <f t="shared" si="58"/>
        <v>574.28870051360889</v>
      </c>
      <c r="AM120" s="59">
        <f t="shared" si="59"/>
        <v>864.66447430888638</v>
      </c>
      <c r="AN120" s="59">
        <f ca="1">AVERAGE(OFFSET($AM$3,0,0,'Données projet'!$E$10+1,1))-AVERAGE(OFFSET($H$3,0,0,'Données projet'!$E$10+1,1))</f>
        <v>399.57236812003225</v>
      </c>
      <c r="AO120" s="59">
        <f t="shared" si="90"/>
        <v>245.95971136213691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29.379414837951419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29.379414837951419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69.193392853257478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2.2737367544323206E-13</v>
      </c>
      <c r="BE120" s="13">
        <f>BD120*VLOOKUP('Données projet'!$B$11,Paramètres!$A$1:$I$89,3,0)*VLOOKUP('Données projet'!$B$11,Paramètres!$A$1:$I$89,5,0)</f>
        <v>1.3596945791505279E-13</v>
      </c>
      <c r="BF120" s="13">
        <f t="shared" si="91"/>
        <v>1.9708830566360721E-12</v>
      </c>
      <c r="BG120" s="20">
        <f t="shared" si="61"/>
        <v>3.669434796176543E-12</v>
      </c>
      <c r="BH120" s="59">
        <f t="shared" si="62"/>
        <v>290.37577379528113</v>
      </c>
      <c r="BI120" s="59">
        <f ca="1">AVERAGE(OFFSET($BH$3,0,0,'Données projet'!$E$11+1,1))-AVERAGE(OFFSET($H$3,0,0,'Données projet'!$E$11+1,1))</f>
        <v>352.88552266225872</v>
      </c>
      <c r="BJ120" s="59">
        <f t="shared" si="92"/>
        <v>403.29115295154782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57.178197339070259</v>
      </c>
      <c r="BQ120" s="21">
        <f>EXP(-LN(2)/25)*BQ119+(1-EXP(-LN(2)/25))/(LN(2)/25)*Calculateur!BL120*Calculateur!BN120*VLOOKUP('Données projet'!$B$11,Paramètres!$A$1:$I$89,3,0)*0.475*44/12</f>
        <v>11.704213476189619</v>
      </c>
      <c r="BR120" s="21">
        <f>EXP(-LN(2)/2)*BR119+(1-EXP(-LN(2)/2))/(LN(2)/2)*BL120*BO120*VLOOKUP('Données projet'!$B$11,Paramètres!$A$1:$I$89,3,0)*0.475*44/12</f>
        <v>1.2544104782374783E-7</v>
      </c>
      <c r="BS120" s="22">
        <f t="shared" si="63"/>
        <v>68.882410940700922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69.193392853257478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-1.0049916454590858E-13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297.1442218517625</v>
      </c>
      <c r="CE120" s="59">
        <f t="shared" si="94"/>
        <v>326.0112787126069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60.725543572677104</v>
      </c>
      <c r="CL120" s="21">
        <f>EXP(-LN(2)/25)*CL119+(1-EXP(-LN(2)/25))/(LN(2)/25)*Calculateur!CG120*Calculateur!CI120*VLOOKUP('Données projet'!$B$12,Paramètres!$A$1:$I$89,3,0)*0.475*44/12</f>
        <v>11.912726758176264</v>
      </c>
      <c r="CM120" s="21">
        <f>EXP(-LN(2)/2)*CM119+(1-EXP(-LN(2)/2))/(LN(2)/2)*CG120*CJ120*VLOOKUP('Données projet'!$B$12,Paramètres!$A$1:$I$89,3,0)*0.475*44/12</f>
        <v>1.1306718136846032E-7</v>
      </c>
      <c r="CN120" s="22">
        <f t="shared" si="66"/>
        <v>72.638270443920561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69.193392853257478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2.2737367544323206E-13</v>
      </c>
      <c r="CU120" s="17">
        <f>CT120*VLOOKUP('Données projet'!$B$13,Paramètres!$A$1:$I$89,3,0)*VLOOKUP('Données projet'!$B$13,Paramètres!$A$1:$I$89,5,0)</f>
        <v>1.3596945791505279E-13</v>
      </c>
      <c r="CV120" s="13">
        <f t="shared" si="95"/>
        <v>1.9708830566360721E-12</v>
      </c>
      <c r="CW120" s="20">
        <f t="shared" si="67"/>
        <v>3.669434796176543E-12</v>
      </c>
      <c r="CX120" s="59">
        <f t="shared" si="68"/>
        <v>290.37577379528113</v>
      </c>
      <c r="CY120" s="59">
        <f ca="1">AVERAGE(OFFSET($CX$3,0,0,'Données projet'!$E$13+1,1))-AVERAGE(OFFSET($H$3,0,0,'Données projet'!$E$13+1,1))</f>
        <v>352.88552266225872</v>
      </c>
      <c r="CZ120" s="59">
        <f t="shared" si="96"/>
        <v>403.29115295154782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57.178197339070259</v>
      </c>
      <c r="DG120" s="21">
        <f>EXP(-LN(2)/25)*DG119+(1-EXP(-LN(2)/25))/(LN(2)/25)*Calculateur!DB120*Calculateur!DD120*VLOOKUP('Données projet'!$B$13,Paramètres!$A$1:$I$89,3,0)*0.475*44/12</f>
        <v>11.704213476189619</v>
      </c>
      <c r="DH120" s="21">
        <f>EXP(-LN(2)/2)*DH119+(1-EXP(-LN(2)/2))/(LN(2)/2)*DB120*DE120*VLOOKUP('Données projet'!$B$13,Paramètres!$A$1:$I$89,3,0)*0.475*44/12</f>
        <v>1.2544104782374783E-7</v>
      </c>
      <c r="DI120" s="22">
        <f t="shared" si="69"/>
        <v>68.882410940700922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69.193392853257478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69.193392853257478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69.193392853257478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69.193392853257478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69.193392853257478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1.25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4.583333333333333</v>
      </c>
      <c r="H121" s="67">
        <f t="shared" si="56"/>
        <v>238.33333333333334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69.207385683950037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4.5</v>
      </c>
      <c r="N121" s="13">
        <f>IF('Données projet'!$A$36&gt;35,N120+M121-V120,IF(A121&lt;'Données projet'!$A$36,$K$205^A121,IF(A121='Données projet'!$A$36,'Données projet'!$B$36,N120+M121-V120)))</f>
        <v>343</v>
      </c>
      <c r="O121" s="13">
        <f>N121*VLOOKUP('Données projet'!$B$9,Paramètres!$A$1:$I$89,3,0)*VLOOKUP('Données projet'!$B$9,Paramètres!$A$1:$I$89,5,0)</f>
        <v>310.34640000000002</v>
      </c>
      <c r="P121" s="13">
        <f t="shared" si="87"/>
        <v>73.341167576153055</v>
      </c>
      <c r="Q121" s="20">
        <f t="shared" si="107"/>
        <v>668.25584686179991</v>
      </c>
      <c r="R121" s="59">
        <f t="shared" si="55"/>
        <v>958.68292770295011</v>
      </c>
      <c r="S121" s="59">
        <f ca="1">AVERAGE(OFFSET($R$3,0,0,'Données projet'!$E$9+1,1))-AVERAGE(OFFSET($H$3,0,0,'Données projet'!$E$9+1,1))</f>
        <v>467.10712490977266</v>
      </c>
      <c r="T121" s="59">
        <f t="shared" si="88"/>
        <v>282.99426855025968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52.724428349591186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52.724428349591186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69.207385683950037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1.9</v>
      </c>
      <c r="AI121" s="13">
        <f>IF('Données projet'!$A$62&gt;35,AI120+AH121-AQ120,IF(A121&lt;'Données projet'!$A$62,$AF$205^A121,IF(A121='Données projet'!$A$62,'Données projet'!$B$62,AI120+AH121-AQ120)))</f>
        <v>281.19999999999953</v>
      </c>
      <c r="AJ121" s="13">
        <f>AI121*VLOOKUP('Données projet'!$B$10,Paramètres!$A$1:$I$89,3,0)*VLOOKUP('Données projet'!$B$10,Paramètres!$A$1:$I$89,5,0)</f>
        <v>267.58991999999955</v>
      </c>
      <c r="AK121" s="13">
        <f t="shared" si="89"/>
        <v>64.337522881771037</v>
      </c>
      <c r="AL121" s="20">
        <f t="shared" si="58"/>
        <v>578.10696301908376</v>
      </c>
      <c r="AM121" s="59">
        <f t="shared" si="59"/>
        <v>868.53404386023385</v>
      </c>
      <c r="AN121" s="59">
        <f ca="1">AVERAGE(OFFSET($AM$3,0,0,'Données projet'!$E$10+1,1))-AVERAGE(OFFSET($H$3,0,0,'Données projet'!$E$10+1,1))</f>
        <v>399.57236812003225</v>
      </c>
      <c r="AO121" s="59">
        <f t="shared" si="90"/>
        <v>245.95971136213691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28.803302432652821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28.803302432652821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69.207385683950037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2.2737367544323206E-13</v>
      </c>
      <c r="BE121" s="13">
        <f>BD121*VLOOKUP('Données projet'!$B$11,Paramètres!$A$1:$I$89,3,0)*VLOOKUP('Données projet'!$B$11,Paramètres!$A$1:$I$89,5,0)</f>
        <v>1.3596945791505279E-13</v>
      </c>
      <c r="BF121" s="13">
        <f t="shared" si="91"/>
        <v>1.9708830566360721E-12</v>
      </c>
      <c r="BG121" s="20">
        <f t="shared" si="61"/>
        <v>3.669434796176543E-12</v>
      </c>
      <c r="BH121" s="59">
        <f t="shared" si="62"/>
        <v>290.42708084115384</v>
      </c>
      <c r="BI121" s="59">
        <f ca="1">AVERAGE(OFFSET($BH$3,0,0,'Données projet'!$E$11+1,1))-AVERAGE(OFFSET($H$3,0,0,'Données projet'!$E$11+1,1))</f>
        <v>352.88552266225872</v>
      </c>
      <c r="BJ121" s="59">
        <f t="shared" si="92"/>
        <v>403.29115295154782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56.056967764507824</v>
      </c>
      <c r="BQ121" s="21">
        <f>EXP(-LN(2)/25)*BQ120+(1-EXP(-LN(2)/25))/(LN(2)/25)*Calculateur!BL121*Calculateur!BN121*VLOOKUP('Données projet'!$B$11,Paramètres!$A$1:$I$89,3,0)*0.475*44/12</f>
        <v>11.384161143185377</v>
      </c>
      <c r="BR121" s="21">
        <f>EXP(-LN(2)/2)*BR120+(1-EXP(-LN(2)/2))/(LN(2)/2)*BL121*BO121*VLOOKUP('Données projet'!$B$11,Paramètres!$A$1:$I$89,3,0)*0.475*44/12</f>
        <v>8.8700215555318102E-8</v>
      </c>
      <c r="BS121" s="22">
        <f t="shared" si="63"/>
        <v>67.441128996393417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69.207385683950037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-1.0049916454590858E-13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297.1442218517625</v>
      </c>
      <c r="CE121" s="59">
        <f t="shared" si="94"/>
        <v>326.0112787126069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59.534752702141198</v>
      </c>
      <c r="CL121" s="21">
        <f>EXP(-LN(2)/25)*CL120+(1-EXP(-LN(2)/25))/(LN(2)/25)*Calculateur!CG121*Calculateur!CI121*VLOOKUP('Données projet'!$B$12,Paramètres!$A$1:$I$89,3,0)*0.475*44/12</f>
        <v>11.586972618510861</v>
      </c>
      <c r="CM121" s="21">
        <f>EXP(-LN(2)/2)*CM120+(1-EXP(-LN(2)/2))/(LN(2)/2)*CG121*CJ121*VLOOKUP('Données projet'!$B$12,Paramètres!$A$1:$I$89,3,0)*0.475*44/12</f>
        <v>7.9950570675287555E-8</v>
      </c>
      <c r="CN121" s="22">
        <f t="shared" si="66"/>
        <v>71.121725400602628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69.207385683950037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2.2737367544323206E-13</v>
      </c>
      <c r="CU121" s="17">
        <f>CT121*VLOOKUP('Données projet'!$B$13,Paramètres!$A$1:$I$89,3,0)*VLOOKUP('Données projet'!$B$13,Paramètres!$A$1:$I$89,5,0)</f>
        <v>1.3596945791505279E-13</v>
      </c>
      <c r="CV121" s="13">
        <f t="shared" si="95"/>
        <v>1.9708830566360721E-12</v>
      </c>
      <c r="CW121" s="20">
        <f t="shared" si="67"/>
        <v>3.669434796176543E-12</v>
      </c>
      <c r="CX121" s="59">
        <f t="shared" si="68"/>
        <v>290.42708084115384</v>
      </c>
      <c r="CY121" s="59">
        <f ca="1">AVERAGE(OFFSET($CX$3,0,0,'Données projet'!$E$13+1,1))-AVERAGE(OFFSET($H$3,0,0,'Données projet'!$E$13+1,1))</f>
        <v>352.88552266225872</v>
      </c>
      <c r="CZ121" s="59">
        <f t="shared" si="96"/>
        <v>403.29115295154782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56.056967764507824</v>
      </c>
      <c r="DG121" s="21">
        <f>EXP(-LN(2)/25)*DG120+(1-EXP(-LN(2)/25))/(LN(2)/25)*Calculateur!DB121*Calculateur!DD121*VLOOKUP('Données projet'!$B$13,Paramètres!$A$1:$I$89,3,0)*0.475*44/12</f>
        <v>11.384161143185377</v>
      </c>
      <c r="DH121" s="21">
        <f>EXP(-LN(2)/2)*DH120+(1-EXP(-LN(2)/2))/(LN(2)/2)*DB121*DE121*VLOOKUP('Données projet'!$B$13,Paramètres!$A$1:$I$89,3,0)*0.475*44/12</f>
        <v>8.8700215555318102E-8</v>
      </c>
      <c r="DI121" s="22">
        <f t="shared" si="69"/>
        <v>67.441128996393417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69.207385683950037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69.207385683950037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69.207385683950037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69.207385683950037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69.207385683950037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1.25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4.583333333333333</v>
      </c>
      <c r="H122" s="67">
        <f t="shared" si="56"/>
        <v>238.33333333333334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69.221135770313353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4.5</v>
      </c>
      <c r="N122" s="13">
        <f>IF('Données projet'!$A$36&gt;35,N121+M122-V121,IF(A122&lt;'Données projet'!$A$36,$K$205^A122,IF(A122='Données projet'!$A$36,'Données projet'!$B$36,N121+M122-V121)))</f>
        <v>347.5</v>
      </c>
      <c r="O122" s="13">
        <f>N122*VLOOKUP('Données projet'!$B$9,Paramètres!$A$1:$I$89,3,0)*VLOOKUP('Données projet'!$B$9,Paramètres!$A$1:$I$89,5,0)</f>
        <v>314.41800000000001</v>
      </c>
      <c r="P122" s="13">
        <f t="shared" si="87"/>
        <v>74.190723151497338</v>
      </c>
      <c r="Q122" s="20">
        <f t="shared" si="107"/>
        <v>676.82685948885785</v>
      </c>
      <c r="R122" s="59">
        <f t="shared" si="55"/>
        <v>967.30435731334023</v>
      </c>
      <c r="S122" s="59">
        <f ca="1">AVERAGE(OFFSET($R$3,0,0,'Données projet'!$E$9+1,1))-AVERAGE(OFFSET($H$3,0,0,'Données projet'!$E$9+1,1))</f>
        <v>467.10712490977266</v>
      </c>
      <c r="T122" s="59">
        <f t="shared" si="88"/>
        <v>282.99426855025968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51.690534468381585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51.690534468381585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69.221135770313353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1.9</v>
      </c>
      <c r="AI122" s="13">
        <f>IF('Données projet'!$A$62&gt;35,AI121+AH122-AQ121,IF(A122&lt;'Données projet'!$A$62,$AF$205^A122,IF(A122='Données projet'!$A$62,'Données projet'!$B$62,AI121+AH122-AQ121)))</f>
        <v>283.09999999999951</v>
      </c>
      <c r="AJ122" s="13">
        <f>AI122*VLOOKUP('Données projet'!$B$10,Paramètres!$A$1:$I$89,3,0)*VLOOKUP('Données projet'!$B$10,Paramètres!$A$1:$I$89,5,0)</f>
        <v>269.3979599999995</v>
      </c>
      <c r="AK122" s="13">
        <f t="shared" si="89"/>
        <v>64.721484610738074</v>
      </c>
      <c r="AL122" s="20">
        <f t="shared" si="58"/>
        <v>581.92469936370128</v>
      </c>
      <c r="AM122" s="59">
        <f t="shared" si="59"/>
        <v>872.40219718818366</v>
      </c>
      <c r="AN122" s="59">
        <f ca="1">AVERAGE(OFFSET($AM$3,0,0,'Données projet'!$E$10+1,1))-AVERAGE(OFFSET($H$3,0,0,'Données projet'!$E$10+1,1))</f>
        <v>399.57236812003225</v>
      </c>
      <c r="AO122" s="59">
        <f t="shared" si="90"/>
        <v>245.95971136213691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28.23848724022826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28.23848724022826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69.221135770313353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2.2737367544323206E-13</v>
      </c>
      <c r="BE122" s="13">
        <f>BD122*VLOOKUP('Données projet'!$B$11,Paramètres!$A$1:$I$89,3,0)*VLOOKUP('Données projet'!$B$11,Paramètres!$A$1:$I$89,5,0)</f>
        <v>1.3596945791505279E-13</v>
      </c>
      <c r="BF122" s="13">
        <f t="shared" si="91"/>
        <v>1.9708830566360721E-12</v>
      </c>
      <c r="BG122" s="20">
        <f t="shared" si="61"/>
        <v>3.669434796176543E-12</v>
      </c>
      <c r="BH122" s="59">
        <f t="shared" si="62"/>
        <v>290.47749782448602</v>
      </c>
      <c r="BI122" s="59">
        <f ca="1">AVERAGE(OFFSET($BH$3,0,0,'Données projet'!$E$11+1,1))-AVERAGE(OFFSET($H$3,0,0,'Données projet'!$E$11+1,1))</f>
        <v>352.88552266225872</v>
      </c>
      <c r="BJ122" s="59">
        <f t="shared" si="92"/>
        <v>403.29115295154782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54.957724818020047</v>
      </c>
      <c r="BQ122" s="21">
        <f>EXP(-LN(2)/25)*BQ121+(1-EXP(-LN(2)/25))/(LN(2)/25)*Calculateur!BL122*Calculateur!BN122*VLOOKUP('Données projet'!$B$11,Paramètres!$A$1:$I$89,3,0)*0.475*44/12</f>
        <v>11.072860658057957</v>
      </c>
      <c r="BR122" s="21">
        <f>EXP(-LN(2)/2)*BR121+(1-EXP(-LN(2)/2))/(LN(2)/2)*BL122*BO122*VLOOKUP('Données projet'!$B$11,Paramètres!$A$1:$I$89,3,0)*0.475*44/12</f>
        <v>6.2720523911873915E-8</v>
      </c>
      <c r="BS122" s="22">
        <f t="shared" si="63"/>
        <v>66.030585538798533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69.221135770313353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-1.0049916454590858E-13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297.1442218517625</v>
      </c>
      <c r="CE122" s="59">
        <f t="shared" si="94"/>
        <v>326.0112787126069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58.367312514265784</v>
      </c>
      <c r="CL122" s="21">
        <f>EXP(-LN(2)/25)*CL121+(1-EXP(-LN(2)/25))/(LN(2)/25)*Calculateur!CG122*Calculateur!CI122*VLOOKUP('Données projet'!$B$12,Paramètres!$A$1:$I$89,3,0)*0.475*44/12</f>
        <v>11.270126242925274</v>
      </c>
      <c r="CM122" s="21">
        <f>EXP(-LN(2)/2)*CM121+(1-EXP(-LN(2)/2))/(LN(2)/2)*CG122*CJ122*VLOOKUP('Données projet'!$B$12,Paramètres!$A$1:$I$89,3,0)*0.475*44/12</f>
        <v>5.6533590684230161E-8</v>
      </c>
      <c r="CN122" s="22">
        <f t="shared" si="66"/>
        <v>69.637438813724657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69.221135770313353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2.2737367544323206E-13</v>
      </c>
      <c r="CU122" s="17">
        <f>CT122*VLOOKUP('Données projet'!$B$13,Paramètres!$A$1:$I$89,3,0)*VLOOKUP('Données projet'!$B$13,Paramètres!$A$1:$I$89,5,0)</f>
        <v>1.3596945791505279E-13</v>
      </c>
      <c r="CV122" s="13">
        <f t="shared" si="95"/>
        <v>1.9708830566360721E-12</v>
      </c>
      <c r="CW122" s="20">
        <f t="shared" si="67"/>
        <v>3.669434796176543E-12</v>
      </c>
      <c r="CX122" s="59">
        <f t="shared" si="68"/>
        <v>290.47749782448602</v>
      </c>
      <c r="CY122" s="59">
        <f ca="1">AVERAGE(OFFSET($CX$3,0,0,'Données projet'!$E$13+1,1))-AVERAGE(OFFSET($H$3,0,0,'Données projet'!$E$13+1,1))</f>
        <v>352.88552266225872</v>
      </c>
      <c r="CZ122" s="59">
        <f t="shared" si="96"/>
        <v>403.29115295154782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54.957724818020047</v>
      </c>
      <c r="DG122" s="21">
        <f>EXP(-LN(2)/25)*DG121+(1-EXP(-LN(2)/25))/(LN(2)/25)*Calculateur!DB122*Calculateur!DD122*VLOOKUP('Données projet'!$B$13,Paramètres!$A$1:$I$89,3,0)*0.475*44/12</f>
        <v>11.072860658057957</v>
      </c>
      <c r="DH122" s="21">
        <f>EXP(-LN(2)/2)*DH121+(1-EXP(-LN(2)/2))/(LN(2)/2)*DB122*DE122*VLOOKUP('Données projet'!$B$13,Paramètres!$A$1:$I$89,3,0)*0.475*44/12</f>
        <v>6.2720523911873915E-8</v>
      </c>
      <c r="DI122" s="22">
        <f t="shared" si="69"/>
        <v>66.030585538798533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69.221135770313353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69.221135770313353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69.221135770313353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69.221135770313353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69.221135770313353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1.25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4.583333333333333</v>
      </c>
      <c r="H123" s="67">
        <f t="shared" si="56"/>
        <v>238.33333333333334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69.234647323418869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352</v>
      </c>
      <c r="L123" s="12">
        <f>VLOOKUP(A123,'Données projet'!$A$35:$I$55,9,0)</f>
        <v>4.5</v>
      </c>
      <c r="M123" s="12">
        <f t="array" ref="M123">INDEX(L:L,MIN(IF(ISNUMBER(L123:L319),ROW(L123:L319),"")))</f>
        <v>4.5</v>
      </c>
      <c r="N123" s="13">
        <f>IF('Données projet'!$A$36&gt;35,N122+M123-V122,IF(A123&lt;'Données projet'!$A$36,$K$205^A123,IF(A123='Données projet'!$A$36,'Données projet'!$B$36,N122+M123-V122)))</f>
        <v>352</v>
      </c>
      <c r="O123" s="13">
        <f>N123*VLOOKUP('Données projet'!$B$9,Paramètres!$A$1:$I$89,3,0)*VLOOKUP('Données projet'!$B$9,Paramètres!$A$1:$I$89,5,0)</f>
        <v>318.4896</v>
      </c>
      <c r="P123" s="13">
        <f t="shared" si="87"/>
        <v>75.038999086150298</v>
      </c>
      <c r="Q123" s="20">
        <f t="shared" si="107"/>
        <v>685.39564340837842</v>
      </c>
      <c r="R123" s="59">
        <f t="shared" si="55"/>
        <v>975.9226835942477</v>
      </c>
      <c r="S123" s="59">
        <f ca="1">AVERAGE(OFFSET($R$3,0,0,'Données projet'!$E$9+1,1))-AVERAGE(OFFSET($H$3,0,0,'Données projet'!$E$9+1,1))</f>
        <v>467.10712490977266</v>
      </c>
      <c r="T123" s="59">
        <f t="shared" si="88"/>
        <v>282.99426855025968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352</v>
      </c>
      <c r="W123" s="16">
        <f>IF(ISNA(VLOOKUP(A123,'Données projet'!$A$35:$I$55,5,0)),0%,VLOOKUP(A123,'Données projet'!$A$35:$I$55,5,0)*VLOOKUP('Données projet'!$B$9,Paramètres!$A$1:$I$89,7,0))</f>
        <v>0.38700000000000001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186.9321915644276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186.9321915644276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69.234647323418869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1.9</v>
      </c>
      <c r="AH123" s="12">
        <f t="array" ref="AH123">INDEX(AG:AG,MIN(IF(ISNUMBER(AG123:AG319),ROW(AG123:AG319),"")))</f>
        <v>1.9</v>
      </c>
      <c r="AI123" s="13">
        <f>IF('Données projet'!$A$62&gt;35,AI122+AH123-AQ122,IF(A123&lt;'Données projet'!$A$62,$AF$205^A123,IF(A123='Données projet'!$A$62,'Données projet'!$B$62,AI122+AH123-AQ122)))</f>
        <v>284.99999999999949</v>
      </c>
      <c r="AJ123" s="13">
        <f>AI123*VLOOKUP('Données projet'!$B$10,Paramètres!$A$1:$I$89,3,0)*VLOOKUP('Données projet'!$B$10,Paramètres!$A$1:$I$89,5,0)</f>
        <v>271.20599999999951</v>
      </c>
      <c r="AK123" s="13">
        <f t="shared" si="89"/>
        <v>65.105146500461871</v>
      </c>
      <c r="AL123" s="20">
        <f t="shared" si="58"/>
        <v>585.74191348830357</v>
      </c>
      <c r="AM123" s="59">
        <f t="shared" si="59"/>
        <v>876.26895367417274</v>
      </c>
      <c r="AN123" s="59">
        <f ca="1">AVERAGE(OFFSET($AM$3,0,0,'Données projet'!$E$10+1,1))-AVERAGE(OFFSET($H$3,0,0,'Données projet'!$E$10+1,1))</f>
        <v>399.57236812003225</v>
      </c>
      <c r="AO123" s="59">
        <f t="shared" si="90"/>
        <v>245.95971136213691</v>
      </c>
      <c r="AP123" s="15">
        <f>IF(ISNA(VLOOKUP(A123,'Données projet'!$A$61:$I$81,3,0)),0,VLOOKUP(A123,'Données projet'!$A$61:$I$81,3,0))</f>
        <v>18</v>
      </c>
      <c r="AQ123" s="15">
        <f>IF(ISNA(VLOOKUP(A123,'Données projet'!$A$61:$I$81,4,0)),0,VLOOKUP(A123,'Données projet'!$A$61:$I$81,4,0))</f>
        <v>285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130.81945644377885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130.81945644377885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69.234647323418869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2.2737367544323206E-13</v>
      </c>
      <c r="BE123" s="13">
        <f>BD123*VLOOKUP('Données projet'!$B$11,Paramètres!$A$1:$I$89,3,0)*VLOOKUP('Données projet'!$B$11,Paramètres!$A$1:$I$89,5,0)</f>
        <v>1.3596945791505279E-13</v>
      </c>
      <c r="BF123" s="13">
        <f t="shared" si="91"/>
        <v>1.9708830566360721E-12</v>
      </c>
      <c r="BG123" s="20">
        <f t="shared" si="61"/>
        <v>3.669434796176543E-12</v>
      </c>
      <c r="BH123" s="59">
        <f t="shared" si="62"/>
        <v>290.52704018587292</v>
      </c>
      <c r="BI123" s="59">
        <f ca="1">AVERAGE(OFFSET($BH$3,0,0,'Données projet'!$E$11+1,1))-AVERAGE(OFFSET($H$3,0,0,'Données projet'!$E$11+1,1))</f>
        <v>352.88552266225872</v>
      </c>
      <c r="BJ123" s="59">
        <f t="shared" si="92"/>
        <v>403.29115295154782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53.880037355240901</v>
      </c>
      <c r="BQ123" s="21">
        <f>EXP(-LN(2)/25)*BQ122+(1-EXP(-LN(2)/25))/(LN(2)/25)*Calculateur!BL123*Calculateur!BN123*VLOOKUP('Données projet'!$B$11,Paramètres!$A$1:$I$89,3,0)*0.475*44/12</f>
        <v>10.770072701066928</v>
      </c>
      <c r="BR123" s="21">
        <f>EXP(-LN(2)/2)*BR122+(1-EXP(-LN(2)/2))/(LN(2)/2)*BL123*BO123*VLOOKUP('Données projet'!$B$11,Paramètres!$A$1:$I$89,3,0)*0.475*44/12</f>
        <v>4.4350107777659051E-8</v>
      </c>
      <c r="BS123" s="22">
        <f t="shared" si="63"/>
        <v>64.650110100657926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69.234647323418869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-1.0049916454590858E-13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297.1442218517625</v>
      </c>
      <c r="CE123" s="59">
        <f t="shared" si="94"/>
        <v>326.0112787126069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57.222765116406407</v>
      </c>
      <c r="CL123" s="21">
        <f>EXP(-LN(2)/25)*CL122+(1-EXP(-LN(2)/25))/(LN(2)/25)*Calculateur!CG123*Calculateur!CI123*VLOOKUP('Données projet'!$B$12,Paramètres!$A$1:$I$89,3,0)*0.475*44/12</f>
        <v>10.961944048142302</v>
      </c>
      <c r="CM123" s="21">
        <f>EXP(-LN(2)/2)*CM122+(1-EXP(-LN(2)/2))/(LN(2)/2)*CG123*CJ123*VLOOKUP('Données projet'!$B$12,Paramètres!$A$1:$I$89,3,0)*0.475*44/12</f>
        <v>3.9975285337643778E-8</v>
      </c>
      <c r="CN123" s="22">
        <f t="shared" si="66"/>
        <v>68.184709204523998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69.234647323418869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2.2737367544323206E-13</v>
      </c>
      <c r="CU123" s="17">
        <f>CT123*VLOOKUP('Données projet'!$B$13,Paramètres!$A$1:$I$89,3,0)*VLOOKUP('Données projet'!$B$13,Paramètres!$A$1:$I$89,5,0)</f>
        <v>1.3596945791505279E-13</v>
      </c>
      <c r="CV123" s="13">
        <f t="shared" si="95"/>
        <v>1.9708830566360721E-12</v>
      </c>
      <c r="CW123" s="20">
        <f t="shared" si="67"/>
        <v>3.669434796176543E-12</v>
      </c>
      <c r="CX123" s="59">
        <f t="shared" si="68"/>
        <v>290.52704018587292</v>
      </c>
      <c r="CY123" s="59">
        <f ca="1">AVERAGE(OFFSET($CX$3,0,0,'Données projet'!$E$13+1,1))-AVERAGE(OFFSET($H$3,0,0,'Données projet'!$E$13+1,1))</f>
        <v>352.88552266225872</v>
      </c>
      <c r="CZ123" s="59">
        <f t="shared" si="96"/>
        <v>403.29115295154782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53.880037355240901</v>
      </c>
      <c r="DG123" s="21">
        <f>EXP(-LN(2)/25)*DG122+(1-EXP(-LN(2)/25))/(LN(2)/25)*Calculateur!DB123*Calculateur!DD123*VLOOKUP('Données projet'!$B$13,Paramètres!$A$1:$I$89,3,0)*0.475*44/12</f>
        <v>10.770072701066928</v>
      </c>
      <c r="DH123" s="21">
        <f>EXP(-LN(2)/2)*DH122+(1-EXP(-LN(2)/2))/(LN(2)/2)*DB123*DE123*VLOOKUP('Données projet'!$B$13,Paramètres!$A$1:$I$89,3,0)*0.475*44/12</f>
        <v>4.4350107777659051E-8</v>
      </c>
      <c r="DI123" s="22">
        <f t="shared" si="69"/>
        <v>64.650110100657926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69.234647323418869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69.234647323418869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69.234647323418869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69.234647323418869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69.234647323418869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1.25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4.583333333333333</v>
      </c>
      <c r="H124" s="67">
        <f t="shared" si="56"/>
        <v>238.33333333333334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69.247924481285295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467.10712490977266</v>
      </c>
      <c r="T124" s="59">
        <f t="shared" si="88"/>
        <v>282.99426855025968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183.26656530522774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183.26656530522774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69.247924481285295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-5.1159076974727213E-13</v>
      </c>
      <c r="AJ124" s="13">
        <f>AI124*VLOOKUP('Données projet'!$B$10,Paramètres!$A$1:$I$89,3,0)*VLOOKUP('Données projet'!$B$10,Paramètres!$A$1:$I$89,5,0)</f>
        <v>-4.8682977649150421E-13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399.57236812003225</v>
      </c>
      <c r="AO124" s="59">
        <f t="shared" si="90"/>
        <v>245.95971136213691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128.25416669490596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128.25416669490596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69.247924481285295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2.2737367544323206E-13</v>
      </c>
      <c r="BE124" s="13">
        <f>BD124*VLOOKUP('Données projet'!$B$11,Paramètres!$A$1:$I$89,3,0)*VLOOKUP('Données projet'!$B$11,Paramètres!$A$1:$I$89,5,0)</f>
        <v>1.3596945791505279E-13</v>
      </c>
      <c r="BF124" s="13">
        <f t="shared" si="91"/>
        <v>1.9708830566360721E-12</v>
      </c>
      <c r="BG124" s="20">
        <f t="shared" si="61"/>
        <v>3.669434796176543E-12</v>
      </c>
      <c r="BH124" s="59">
        <f t="shared" si="62"/>
        <v>290.57572309804976</v>
      </c>
      <c r="BI124" s="59">
        <f ca="1">AVERAGE(OFFSET($BH$3,0,0,'Données projet'!$E$11+1,1))-AVERAGE(OFFSET($H$3,0,0,'Données projet'!$E$11+1,1))</f>
        <v>352.88552266225872</v>
      </c>
      <c r="BJ124" s="59">
        <f t="shared" si="92"/>
        <v>403.29115295154782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52.823482686282404</v>
      </c>
      <c r="BQ124" s="21">
        <f>EXP(-LN(2)/25)*BQ123+(1-EXP(-LN(2)/25))/(LN(2)/25)*Calculateur!BL124*Calculateur!BN124*VLOOKUP('Données projet'!$B$11,Paramètres!$A$1:$I$89,3,0)*0.475*44/12</f>
        <v>10.475564496682745</v>
      </c>
      <c r="BR124" s="21">
        <f>EXP(-LN(2)/2)*BR123+(1-EXP(-LN(2)/2))/(LN(2)/2)*BL124*BO124*VLOOKUP('Données projet'!$B$11,Paramètres!$A$1:$I$89,3,0)*0.475*44/12</f>
        <v>3.1360261955936957E-8</v>
      </c>
      <c r="BS124" s="22">
        <f t="shared" si="63"/>
        <v>63.299047214325412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69.247924481285295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-1.0049916454590858E-13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297.1442218517625</v>
      </c>
      <c r="CE124" s="59">
        <f t="shared" si="94"/>
        <v>326.0112787126069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56.100661594914065</v>
      </c>
      <c r="CL124" s="21">
        <f>EXP(-LN(2)/25)*CL123+(1-EXP(-LN(2)/25))/(LN(2)/25)*Calculateur!CG124*Calculateur!CI124*VLOOKUP('Données projet'!$B$12,Paramètres!$A$1:$I$89,3,0)*0.475*44/12</f>
        <v>10.662189111682267</v>
      </c>
      <c r="CM124" s="21">
        <f>EXP(-LN(2)/2)*CM123+(1-EXP(-LN(2)/2))/(LN(2)/2)*CG124*CJ124*VLOOKUP('Données projet'!$B$12,Paramètres!$A$1:$I$89,3,0)*0.475*44/12</f>
        <v>2.8266795342115081E-8</v>
      </c>
      <c r="CN124" s="22">
        <f t="shared" si="66"/>
        <v>66.762850734863136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69.247924481285295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2.2737367544323206E-13</v>
      </c>
      <c r="CU124" s="17">
        <f>CT124*VLOOKUP('Données projet'!$B$13,Paramètres!$A$1:$I$89,3,0)*VLOOKUP('Données projet'!$B$13,Paramètres!$A$1:$I$89,5,0)</f>
        <v>1.3596945791505279E-13</v>
      </c>
      <c r="CV124" s="13">
        <f t="shared" si="95"/>
        <v>1.9708830566360721E-12</v>
      </c>
      <c r="CW124" s="20">
        <f t="shared" si="67"/>
        <v>3.669434796176543E-12</v>
      </c>
      <c r="CX124" s="59">
        <f t="shared" si="68"/>
        <v>290.57572309804976</v>
      </c>
      <c r="CY124" s="59">
        <f ca="1">AVERAGE(OFFSET($CX$3,0,0,'Données projet'!$E$13+1,1))-AVERAGE(OFFSET($H$3,0,0,'Données projet'!$E$13+1,1))</f>
        <v>352.88552266225872</v>
      </c>
      <c r="CZ124" s="59">
        <f t="shared" si="96"/>
        <v>403.29115295154782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52.823482686282404</v>
      </c>
      <c r="DG124" s="21">
        <f>EXP(-LN(2)/25)*DG123+(1-EXP(-LN(2)/25))/(LN(2)/25)*Calculateur!DB124*Calculateur!DD124*VLOOKUP('Données projet'!$B$13,Paramètres!$A$1:$I$89,3,0)*0.475*44/12</f>
        <v>10.475564496682745</v>
      </c>
      <c r="DH124" s="21">
        <f>EXP(-LN(2)/2)*DH123+(1-EXP(-LN(2)/2))/(LN(2)/2)*DB124*DE124*VLOOKUP('Données projet'!$B$13,Paramètres!$A$1:$I$89,3,0)*0.475*44/12</f>
        <v>3.1360261955936957E-8</v>
      </c>
      <c r="DI124" s="22">
        <f t="shared" si="69"/>
        <v>63.299047214325412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69.247924481285295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69.247924481285295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69.247924481285295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69.247924481285295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69.247924481285295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1.25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4.583333333333333</v>
      </c>
      <c r="H125" s="67">
        <f t="shared" si="56"/>
        <v>238.33333333333334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69.260971310146033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467.10712490977266</v>
      </c>
      <c r="T125" s="59">
        <f t="shared" si="88"/>
        <v>282.99426855025968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179.67281974115954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179.67281974115954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69.260971310146033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-5.1159076974727213E-13</v>
      </c>
      <c r="AJ125" s="13">
        <f>AI125*VLOOKUP('Données projet'!$B$10,Paramètres!$A$1:$I$89,3,0)*VLOOKUP('Données projet'!$B$10,Paramètres!$A$1:$I$89,5,0)</f>
        <v>-4.8682977649150421E-13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399.57236812003225</v>
      </c>
      <c r="AO125" s="59">
        <f t="shared" si="90"/>
        <v>245.95971136213691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125.73918071333624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125.73918071333624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69.260971310146033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2.2737367544323206E-13</v>
      </c>
      <c r="BE125" s="13">
        <f>BD125*VLOOKUP('Données projet'!$B$11,Paramètres!$A$1:$I$89,3,0)*VLOOKUP('Données projet'!$B$11,Paramètres!$A$1:$I$89,5,0)</f>
        <v>1.3596945791505279E-13</v>
      </c>
      <c r="BF125" s="13">
        <f t="shared" si="91"/>
        <v>1.9708830566360721E-12</v>
      </c>
      <c r="BG125" s="20">
        <f t="shared" si="61"/>
        <v>3.669434796176543E-12</v>
      </c>
      <c r="BH125" s="59">
        <f t="shared" si="62"/>
        <v>290.62356147053913</v>
      </c>
      <c r="BI125" s="59">
        <f ca="1">AVERAGE(OFFSET($BH$3,0,0,'Données projet'!$E$11+1,1))-AVERAGE(OFFSET($H$3,0,0,'Données projet'!$E$11+1,1))</f>
        <v>352.88552266225872</v>
      </c>
      <c r="BJ125" s="59">
        <f t="shared" si="92"/>
        <v>403.29115295154782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51.78764640994747</v>
      </c>
      <c r="BQ125" s="21">
        <f>EXP(-LN(2)/25)*BQ124+(1-EXP(-LN(2)/25))/(LN(2)/25)*Calculateur!BL125*Calculateur!BN125*VLOOKUP('Données projet'!$B$11,Paramètres!$A$1:$I$89,3,0)*0.475*44/12</f>
        <v>10.18910963463496</v>
      </c>
      <c r="BR125" s="21">
        <f>EXP(-LN(2)/2)*BR124+(1-EXP(-LN(2)/2))/(LN(2)/2)*BL125*BO125*VLOOKUP('Données projet'!$B$11,Paramètres!$A$1:$I$89,3,0)*0.475*44/12</f>
        <v>2.2175053888829525E-8</v>
      </c>
      <c r="BS125" s="22">
        <f t="shared" si="63"/>
        <v>61.976756066757481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69.260971310146033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-1.0049916454590858E-13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297.1442218517625</v>
      </c>
      <c r="CE125" s="59">
        <f t="shared" si="94"/>
        <v>326.0112787126069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55.000561839062627</v>
      </c>
      <c r="CL125" s="21">
        <f>EXP(-LN(2)/25)*CL124+(1-EXP(-LN(2)/25))/(LN(2)/25)*Calculateur!CG125*Calculateur!CI125*VLOOKUP('Données projet'!$B$12,Paramètres!$A$1:$I$89,3,0)*0.475*44/12</f>
        <v>10.370630989723159</v>
      </c>
      <c r="CM125" s="21">
        <f>EXP(-LN(2)/2)*CM124+(1-EXP(-LN(2)/2))/(LN(2)/2)*CG125*CJ125*VLOOKUP('Données projet'!$B$12,Paramètres!$A$1:$I$89,3,0)*0.475*44/12</f>
        <v>1.9987642668821889E-8</v>
      </c>
      <c r="CN125" s="22">
        <f t="shared" si="66"/>
        <v>65.371192848773418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69.260971310146033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2.2737367544323206E-13</v>
      </c>
      <c r="CU125" s="17">
        <f>CT125*VLOOKUP('Données projet'!$B$13,Paramètres!$A$1:$I$89,3,0)*VLOOKUP('Données projet'!$B$13,Paramètres!$A$1:$I$89,5,0)</f>
        <v>1.3596945791505279E-13</v>
      </c>
      <c r="CV125" s="13">
        <f t="shared" si="95"/>
        <v>1.9708830566360721E-12</v>
      </c>
      <c r="CW125" s="20">
        <f t="shared" si="67"/>
        <v>3.669434796176543E-12</v>
      </c>
      <c r="CX125" s="59">
        <f t="shared" si="68"/>
        <v>290.62356147053913</v>
      </c>
      <c r="CY125" s="59">
        <f ca="1">AVERAGE(OFFSET($CX$3,0,0,'Données projet'!$E$13+1,1))-AVERAGE(OFFSET($H$3,0,0,'Données projet'!$E$13+1,1))</f>
        <v>352.88552266225872</v>
      </c>
      <c r="CZ125" s="59">
        <f t="shared" si="96"/>
        <v>403.29115295154782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51.78764640994747</v>
      </c>
      <c r="DG125" s="21">
        <f>EXP(-LN(2)/25)*DG124+(1-EXP(-LN(2)/25))/(LN(2)/25)*Calculateur!DB125*Calculateur!DD125*VLOOKUP('Données projet'!$B$13,Paramètres!$A$1:$I$89,3,0)*0.475*44/12</f>
        <v>10.18910963463496</v>
      </c>
      <c r="DH125" s="21">
        <f>EXP(-LN(2)/2)*DH124+(1-EXP(-LN(2)/2))/(LN(2)/2)*DB125*DE125*VLOOKUP('Données projet'!$B$13,Paramètres!$A$1:$I$89,3,0)*0.475*44/12</f>
        <v>2.2175053888829525E-8</v>
      </c>
      <c r="DI125" s="22">
        <f t="shared" si="69"/>
        <v>61.976756066757481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69.260971310146033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69.260971310146033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69.260971310146033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69.260971310146033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69.260971310146033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1.25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4.583333333333333</v>
      </c>
      <c r="H126" s="67">
        <f t="shared" si="56"/>
        <v>238.33333333333334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69.273791805694373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467.10712490977266</v>
      </c>
      <c r="T126" s="59">
        <f t="shared" si="88"/>
        <v>282.99426855025968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176.14954533563437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176.14954533563437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69.273791805694373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-5.1159076974727213E-13</v>
      </c>
      <c r="AJ126" s="13">
        <f>AI126*VLOOKUP('Données projet'!$B$10,Paramètres!$A$1:$I$89,3,0)*VLOOKUP('Données projet'!$B$10,Paramètres!$A$1:$I$89,5,0)</f>
        <v>-4.8682977649150421E-13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399.57236812003225</v>
      </c>
      <c r="AO126" s="59">
        <f t="shared" si="90"/>
        <v>245.95971136213691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123.27351207287511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123.27351207287511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69.273791805694373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2.2737367544323206E-13</v>
      </c>
      <c r="BE126" s="13">
        <f>BD126*VLOOKUP('Données projet'!$B$11,Paramètres!$A$1:$I$89,3,0)*VLOOKUP('Données projet'!$B$11,Paramètres!$A$1:$I$89,5,0)</f>
        <v>1.3596945791505279E-13</v>
      </c>
      <c r="BF126" s="13">
        <f t="shared" si="91"/>
        <v>1.9708830566360721E-12</v>
      </c>
      <c r="BG126" s="20">
        <f t="shared" si="61"/>
        <v>3.669434796176543E-12</v>
      </c>
      <c r="BH126" s="59">
        <f t="shared" si="62"/>
        <v>290.67056995421638</v>
      </c>
      <c r="BI126" s="59">
        <f ca="1">AVERAGE(OFFSET($BH$3,0,0,'Données projet'!$E$11+1,1))-AVERAGE(OFFSET($H$3,0,0,'Données projet'!$E$11+1,1))</f>
        <v>352.88552266225872</v>
      </c>
      <c r="BJ126" s="59">
        <f t="shared" si="92"/>
        <v>403.29115295154782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50.772122251193721</v>
      </c>
      <c r="BQ126" s="21">
        <f>EXP(-LN(2)/25)*BQ125+(1-EXP(-LN(2)/25))/(LN(2)/25)*Calculateur!BL126*Calculateur!BN126*VLOOKUP('Données projet'!$B$11,Paramètres!$A$1:$I$89,3,0)*0.475*44/12</f>
        <v>9.910487895853878</v>
      </c>
      <c r="BR126" s="21">
        <f>EXP(-LN(2)/2)*BR125+(1-EXP(-LN(2)/2))/(LN(2)/2)*BL126*BO126*VLOOKUP('Données projet'!$B$11,Paramètres!$A$1:$I$89,3,0)*0.475*44/12</f>
        <v>1.5680130977968479E-8</v>
      </c>
      <c r="BS126" s="22">
        <f t="shared" si="63"/>
        <v>60.682610162727727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69.273791805694373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-1.0049916454590858E-13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297.1442218517625</v>
      </c>
      <c r="CE126" s="59">
        <f t="shared" si="94"/>
        <v>326.0112787126069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53.922034368428839</v>
      </c>
      <c r="CL126" s="21">
        <f>EXP(-LN(2)/25)*CL125+(1-EXP(-LN(2)/25))/(LN(2)/25)*Calculateur!CG126*Calculateur!CI126*VLOOKUP('Données projet'!$B$12,Paramètres!$A$1:$I$89,3,0)*0.475*44/12</f>
        <v>10.087045539941398</v>
      </c>
      <c r="CM126" s="21">
        <f>EXP(-LN(2)/2)*CM125+(1-EXP(-LN(2)/2))/(LN(2)/2)*CG126*CJ126*VLOOKUP('Données projet'!$B$12,Paramètres!$A$1:$I$89,3,0)*0.475*44/12</f>
        <v>1.413339767105754E-8</v>
      </c>
      <c r="CN126" s="22">
        <f t="shared" si="66"/>
        <v>64.009079922503631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69.273791805694373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2.2737367544323206E-13</v>
      </c>
      <c r="CU126" s="17">
        <f>CT126*VLOOKUP('Données projet'!$B$13,Paramètres!$A$1:$I$89,3,0)*VLOOKUP('Données projet'!$B$13,Paramètres!$A$1:$I$89,5,0)</f>
        <v>1.3596945791505279E-13</v>
      </c>
      <c r="CV126" s="13">
        <f t="shared" si="95"/>
        <v>1.9708830566360721E-12</v>
      </c>
      <c r="CW126" s="20">
        <f t="shared" si="67"/>
        <v>3.669434796176543E-12</v>
      </c>
      <c r="CX126" s="59">
        <f t="shared" si="68"/>
        <v>290.67056995421638</v>
      </c>
      <c r="CY126" s="59">
        <f ca="1">AVERAGE(OFFSET($CX$3,0,0,'Données projet'!$E$13+1,1))-AVERAGE(OFFSET($H$3,0,0,'Données projet'!$E$13+1,1))</f>
        <v>352.88552266225872</v>
      </c>
      <c r="CZ126" s="59">
        <f t="shared" si="96"/>
        <v>403.29115295154782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50.772122251193721</v>
      </c>
      <c r="DG126" s="21">
        <f>EXP(-LN(2)/25)*DG125+(1-EXP(-LN(2)/25))/(LN(2)/25)*Calculateur!DB126*Calculateur!DD126*VLOOKUP('Données projet'!$B$13,Paramètres!$A$1:$I$89,3,0)*0.475*44/12</f>
        <v>9.910487895853878</v>
      </c>
      <c r="DH126" s="21">
        <f>EXP(-LN(2)/2)*DH125+(1-EXP(-LN(2)/2))/(LN(2)/2)*DB126*DE126*VLOOKUP('Données projet'!$B$13,Paramètres!$A$1:$I$89,3,0)*0.475*44/12</f>
        <v>1.5680130977968479E-8</v>
      </c>
      <c r="DI126" s="22">
        <f t="shared" si="69"/>
        <v>60.682610162727727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69.273791805694373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69.273791805694373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69.273791805694373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69.273791805694373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69.273791805694373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1.25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4.583333333333333</v>
      </c>
      <c r="H127" s="67">
        <f t="shared" si="56"/>
        <v>238.33333333333334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69.286389894307277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467.10712490977266</v>
      </c>
      <c r="T127" s="59">
        <f t="shared" si="88"/>
        <v>282.99426855025968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172.69536019221636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172.69536019221636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69.286389894307277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-5.1159076974727213E-13</v>
      </c>
      <c r="AJ127" s="13">
        <f>AI127*VLOOKUP('Données projet'!$B$10,Paramètres!$A$1:$I$89,3,0)*VLOOKUP('Données projet'!$B$10,Paramètres!$A$1:$I$89,5,0)</f>
        <v>-4.8682977649150421E-13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399.57236812003225</v>
      </c>
      <c r="AO127" s="59">
        <f t="shared" si="90"/>
        <v>245.95971136213691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120.85619369054405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120.85619369054405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69.286389894307277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2.2737367544323206E-13</v>
      </c>
      <c r="BE127" s="13">
        <f>BD127*VLOOKUP('Données projet'!$B$11,Paramètres!$A$1:$I$89,3,0)*VLOOKUP('Données projet'!$B$11,Paramètres!$A$1:$I$89,5,0)</f>
        <v>1.3596945791505279E-13</v>
      </c>
      <c r="BF127" s="13">
        <f t="shared" si="91"/>
        <v>1.9708830566360721E-12</v>
      </c>
      <c r="BG127" s="20">
        <f t="shared" si="61"/>
        <v>3.669434796176543E-12</v>
      </c>
      <c r="BH127" s="59">
        <f t="shared" si="62"/>
        <v>290.71676294579703</v>
      </c>
      <c r="BI127" s="59">
        <f ca="1">AVERAGE(OFFSET($BH$3,0,0,'Données projet'!$E$11+1,1))-AVERAGE(OFFSET($H$3,0,0,'Données projet'!$E$11+1,1))</f>
        <v>352.88552266225872</v>
      </c>
      <c r="BJ127" s="59">
        <f t="shared" si="92"/>
        <v>403.29115295154782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49.776511901784559</v>
      </c>
      <c r="BQ127" s="21">
        <f>EXP(-LN(2)/25)*BQ126+(1-EXP(-LN(2)/25))/(LN(2)/25)*Calculateur!BL127*Calculateur!BN127*VLOOKUP('Données projet'!$B$11,Paramètres!$A$1:$I$89,3,0)*0.475*44/12</f>
        <v>9.6394850831718468</v>
      </c>
      <c r="BR127" s="21">
        <f>EXP(-LN(2)/2)*BR126+(1-EXP(-LN(2)/2))/(LN(2)/2)*BL127*BO127*VLOOKUP('Données projet'!$B$11,Paramètres!$A$1:$I$89,3,0)*0.475*44/12</f>
        <v>1.1087526944414763E-8</v>
      </c>
      <c r="BS127" s="22">
        <f t="shared" si="63"/>
        <v>59.415996996043937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69.286389894307277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-1.0049916454590858E-13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297.1442218517625</v>
      </c>
      <c r="CE127" s="59">
        <f t="shared" si="94"/>
        <v>326.0112787126069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52.864656163657379</v>
      </c>
      <c r="CL127" s="21">
        <f>EXP(-LN(2)/25)*CL126+(1-EXP(-LN(2)/25))/(LN(2)/25)*Calculateur!CG127*Calculateur!CI127*VLOOKUP('Données projet'!$B$12,Paramètres!$A$1:$I$89,3,0)*0.475*44/12</f>
        <v>9.8112147491970294</v>
      </c>
      <c r="CM127" s="21">
        <f>EXP(-LN(2)/2)*CM126+(1-EXP(-LN(2)/2))/(LN(2)/2)*CG127*CJ127*VLOOKUP('Données projet'!$B$12,Paramètres!$A$1:$I$89,3,0)*0.475*44/12</f>
        <v>9.9938213344109444E-9</v>
      </c>
      <c r="CN127" s="22">
        <f t="shared" si="66"/>
        <v>62.675870922848226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69.286389894307277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2.2737367544323206E-13</v>
      </c>
      <c r="CU127" s="17">
        <f>CT127*VLOOKUP('Données projet'!$B$13,Paramètres!$A$1:$I$89,3,0)*VLOOKUP('Données projet'!$B$13,Paramètres!$A$1:$I$89,5,0)</f>
        <v>1.3596945791505279E-13</v>
      </c>
      <c r="CV127" s="13">
        <f t="shared" si="95"/>
        <v>1.9708830566360721E-12</v>
      </c>
      <c r="CW127" s="20">
        <f t="shared" si="67"/>
        <v>3.669434796176543E-12</v>
      </c>
      <c r="CX127" s="59">
        <f t="shared" si="68"/>
        <v>290.71676294579703</v>
      </c>
      <c r="CY127" s="59">
        <f ca="1">AVERAGE(OFFSET($CX$3,0,0,'Données projet'!$E$13+1,1))-AVERAGE(OFFSET($H$3,0,0,'Données projet'!$E$13+1,1))</f>
        <v>352.88552266225872</v>
      </c>
      <c r="CZ127" s="59">
        <f t="shared" si="96"/>
        <v>403.29115295154782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49.776511901784559</v>
      </c>
      <c r="DG127" s="21">
        <f>EXP(-LN(2)/25)*DG126+(1-EXP(-LN(2)/25))/(LN(2)/25)*Calculateur!DB127*Calculateur!DD127*VLOOKUP('Données projet'!$B$13,Paramètres!$A$1:$I$89,3,0)*0.475*44/12</f>
        <v>9.6394850831718468</v>
      </c>
      <c r="DH127" s="21">
        <f>EXP(-LN(2)/2)*DH126+(1-EXP(-LN(2)/2))/(LN(2)/2)*DB127*DE127*VLOOKUP('Données projet'!$B$13,Paramètres!$A$1:$I$89,3,0)*0.475*44/12</f>
        <v>1.1087526944414763E-8</v>
      </c>
      <c r="DI127" s="22">
        <f t="shared" si="69"/>
        <v>59.415996996043937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69.286389894307277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69.286389894307277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69.286389894307277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69.286389894307277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69.286389894307277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1.25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4.583333333333333</v>
      </c>
      <c r="H128" s="67">
        <f t="shared" si="56"/>
        <v>238.33333333333334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69.298769434247845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467.10712490977266</v>
      </c>
      <c r="T128" s="59">
        <f t="shared" si="88"/>
        <v>282.99426855025968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169.30890951261586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169.30890951261586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69.298769434247845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-5.1159076974727213E-13</v>
      </c>
      <c r="AJ128" s="13">
        <f>AI128*VLOOKUP('Données projet'!$B$10,Paramètres!$A$1:$I$89,3,0)*VLOOKUP('Données projet'!$B$10,Paramètres!$A$1:$I$89,5,0)</f>
        <v>-4.8682977649150421E-13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399.57236812003225</v>
      </c>
      <c r="AO128" s="59">
        <f t="shared" si="90"/>
        <v>245.95971136213691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118.48627744727187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118.48627744727187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69.298769434247845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2.2737367544323206E-13</v>
      </c>
      <c r="BE128" s="13">
        <f>BD128*VLOOKUP('Données projet'!$B$11,Paramètres!$A$1:$I$89,3,0)*VLOOKUP('Données projet'!$B$11,Paramètres!$A$1:$I$89,5,0)</f>
        <v>1.3596945791505279E-13</v>
      </c>
      <c r="BF128" s="13">
        <f t="shared" si="91"/>
        <v>1.9708830566360721E-12</v>
      </c>
      <c r="BG128" s="20">
        <f t="shared" si="61"/>
        <v>3.669434796176543E-12</v>
      </c>
      <c r="BH128" s="59">
        <f t="shared" si="62"/>
        <v>290.76215459224579</v>
      </c>
      <c r="BI128" s="59">
        <f ca="1">AVERAGE(OFFSET($BH$3,0,0,'Données projet'!$E$11+1,1))-AVERAGE(OFFSET($H$3,0,0,'Données projet'!$E$11+1,1))</f>
        <v>352.88552266225872</v>
      </c>
      <c r="BJ128" s="59">
        <f t="shared" si="92"/>
        <v>403.29115295154782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48.800424864064958</v>
      </c>
      <c r="BQ128" s="21">
        <f>EXP(-LN(2)/25)*BQ127+(1-EXP(-LN(2)/25))/(LN(2)/25)*Calculateur!BL128*Calculateur!BN128*VLOOKUP('Données projet'!$B$11,Paramètres!$A$1:$I$89,3,0)*0.475*44/12</f>
        <v>9.3758928566540227</v>
      </c>
      <c r="BR128" s="21">
        <f>EXP(-LN(2)/2)*BR127+(1-EXP(-LN(2)/2))/(LN(2)/2)*BL128*BO128*VLOOKUP('Données projet'!$B$11,Paramètres!$A$1:$I$89,3,0)*0.475*44/12</f>
        <v>7.8400654889842393E-9</v>
      </c>
      <c r="BS128" s="22">
        <f t="shared" si="63"/>
        <v>58.176317728559049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69.298769434247845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-1.0049916454590858E-13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297.1442218517625</v>
      </c>
      <c r="CE128" s="59">
        <f t="shared" si="94"/>
        <v>326.0112787126069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51.82801250054446</v>
      </c>
      <c r="CL128" s="21">
        <f>EXP(-LN(2)/25)*CL127+(1-EXP(-LN(2)/25))/(LN(2)/25)*Calculateur!CG128*Calculateur!CI128*VLOOKUP('Données projet'!$B$12,Paramètres!$A$1:$I$89,3,0)*0.475*44/12</f>
        <v>9.5429265659308768</v>
      </c>
      <c r="CM128" s="21">
        <f>EXP(-LN(2)/2)*CM127+(1-EXP(-LN(2)/2))/(LN(2)/2)*CG128*CJ128*VLOOKUP('Données projet'!$B$12,Paramètres!$A$1:$I$89,3,0)*0.475*44/12</f>
        <v>7.0666988355287701E-9</v>
      </c>
      <c r="CN128" s="22">
        <f t="shared" si="66"/>
        <v>61.370939073542033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69.298769434247845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2.2737367544323206E-13</v>
      </c>
      <c r="CU128" s="17">
        <f>CT128*VLOOKUP('Données projet'!$B$13,Paramètres!$A$1:$I$89,3,0)*VLOOKUP('Données projet'!$B$13,Paramètres!$A$1:$I$89,5,0)</f>
        <v>1.3596945791505279E-13</v>
      </c>
      <c r="CV128" s="13">
        <f t="shared" si="95"/>
        <v>1.9708830566360721E-12</v>
      </c>
      <c r="CW128" s="20">
        <f t="shared" si="67"/>
        <v>3.669434796176543E-12</v>
      </c>
      <c r="CX128" s="59">
        <f t="shared" si="68"/>
        <v>290.76215459224579</v>
      </c>
      <c r="CY128" s="59">
        <f ca="1">AVERAGE(OFFSET($CX$3,0,0,'Données projet'!$E$13+1,1))-AVERAGE(OFFSET($H$3,0,0,'Données projet'!$E$13+1,1))</f>
        <v>352.88552266225872</v>
      </c>
      <c r="CZ128" s="59">
        <f t="shared" si="96"/>
        <v>403.29115295154782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48.800424864064958</v>
      </c>
      <c r="DG128" s="21">
        <f>EXP(-LN(2)/25)*DG127+(1-EXP(-LN(2)/25))/(LN(2)/25)*Calculateur!DB128*Calculateur!DD128*VLOOKUP('Données projet'!$B$13,Paramètres!$A$1:$I$89,3,0)*0.475*44/12</f>
        <v>9.3758928566540227</v>
      </c>
      <c r="DH128" s="21">
        <f>EXP(-LN(2)/2)*DH127+(1-EXP(-LN(2)/2))/(LN(2)/2)*DB128*DE128*VLOOKUP('Données projet'!$B$13,Paramètres!$A$1:$I$89,3,0)*0.475*44/12</f>
        <v>7.8400654889842393E-9</v>
      </c>
      <c r="DI128" s="22">
        <f t="shared" si="69"/>
        <v>58.176317728559049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69.298769434247845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69.298769434247845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69.298769434247845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69.298769434247845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69.298769434247845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1.25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4.583333333333333</v>
      </c>
      <c r="H129" s="67">
        <f t="shared" si="56"/>
        <v>238.33333333333334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69.31093421684696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467.10712490977266</v>
      </c>
      <c r="T129" s="59">
        <f t="shared" si="88"/>
        <v>282.99426855025968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165.98886506531136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165.98886506531136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69.31093421684696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-5.1159076974727213E-13</v>
      </c>
      <c r="AJ129" s="13">
        <f>AI129*VLOOKUP('Données projet'!$B$10,Paramètres!$A$1:$I$89,3,0)*VLOOKUP('Données projet'!$B$10,Paramètres!$A$1:$I$89,5,0)</f>
        <v>-4.8682977649150421E-13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399.57236812003225</v>
      </c>
      <c r="AO129" s="59">
        <f t="shared" si="90"/>
        <v>245.95971136213691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116.16283381602409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116.16283381602409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69.31093421684696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2.2737367544323206E-13</v>
      </c>
      <c r="BE129" s="13">
        <f>BD129*VLOOKUP('Données projet'!$B$11,Paramètres!$A$1:$I$89,3,0)*VLOOKUP('Données projet'!$B$11,Paramètres!$A$1:$I$89,5,0)</f>
        <v>1.3596945791505279E-13</v>
      </c>
      <c r="BF129" s="13">
        <f t="shared" si="91"/>
        <v>1.9708830566360721E-12</v>
      </c>
      <c r="BG129" s="20">
        <f t="shared" si="61"/>
        <v>3.669434796176543E-12</v>
      </c>
      <c r="BH129" s="59">
        <f t="shared" si="62"/>
        <v>290.8067587951092</v>
      </c>
      <c r="BI129" s="59">
        <f ca="1">AVERAGE(OFFSET($BH$3,0,0,'Données projet'!$E$11+1,1))-AVERAGE(OFFSET($H$3,0,0,'Données projet'!$E$11+1,1))</f>
        <v>352.88552266225872</v>
      </c>
      <c r="BJ129" s="59">
        <f t="shared" si="92"/>
        <v>403.29115295154782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47.843478297800729</v>
      </c>
      <c r="BQ129" s="21">
        <f>EXP(-LN(2)/25)*BQ128+(1-EXP(-LN(2)/25))/(LN(2)/25)*Calculateur!BL129*Calculateur!BN129*VLOOKUP('Données projet'!$B$11,Paramètres!$A$1:$I$89,3,0)*0.475*44/12</f>
        <v>9.1195085734320429</v>
      </c>
      <c r="BR129" s="21">
        <f>EXP(-LN(2)/2)*BR128+(1-EXP(-LN(2)/2))/(LN(2)/2)*BL129*BO129*VLOOKUP('Données projet'!$B$11,Paramètres!$A$1:$I$89,3,0)*0.475*44/12</f>
        <v>5.5437634722073813E-9</v>
      </c>
      <c r="BS129" s="22">
        <f t="shared" si="63"/>
        <v>56.962986876776533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69.31093421684696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-1.0049916454590858E-13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297.1442218517625</v>
      </c>
      <c r="CE129" s="59">
        <f t="shared" si="94"/>
        <v>326.0112787126069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50.811696787374984</v>
      </c>
      <c r="CL129" s="21">
        <f>EXP(-LN(2)/25)*CL128+(1-EXP(-LN(2)/25))/(LN(2)/25)*Calculateur!CG129*Calculateur!CI129*VLOOKUP('Données projet'!$B$12,Paramètres!$A$1:$I$89,3,0)*0.475*44/12</f>
        <v>9.2819747371448003</v>
      </c>
      <c r="CM129" s="21">
        <f>EXP(-LN(2)/2)*CM128+(1-EXP(-LN(2)/2))/(LN(2)/2)*CG129*CJ129*VLOOKUP('Données projet'!$B$12,Paramètres!$A$1:$I$89,3,0)*0.475*44/12</f>
        <v>4.9969106672054722E-9</v>
      </c>
      <c r="CN129" s="22">
        <f t="shared" si="66"/>
        <v>60.093671529516698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69.31093421684696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2.2737367544323206E-13</v>
      </c>
      <c r="CU129" s="17">
        <f>CT129*VLOOKUP('Données projet'!$B$13,Paramètres!$A$1:$I$89,3,0)*VLOOKUP('Données projet'!$B$13,Paramètres!$A$1:$I$89,5,0)</f>
        <v>1.3596945791505279E-13</v>
      </c>
      <c r="CV129" s="13">
        <f t="shared" si="95"/>
        <v>1.9708830566360721E-12</v>
      </c>
      <c r="CW129" s="20">
        <f t="shared" si="67"/>
        <v>3.669434796176543E-12</v>
      </c>
      <c r="CX129" s="59">
        <f t="shared" si="68"/>
        <v>290.8067587951092</v>
      </c>
      <c r="CY129" s="59">
        <f ca="1">AVERAGE(OFFSET($CX$3,0,0,'Données projet'!$E$13+1,1))-AVERAGE(OFFSET($H$3,0,0,'Données projet'!$E$13+1,1))</f>
        <v>352.88552266225872</v>
      </c>
      <c r="CZ129" s="59">
        <f t="shared" si="96"/>
        <v>403.29115295154782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47.843478297800729</v>
      </c>
      <c r="DG129" s="21">
        <f>EXP(-LN(2)/25)*DG128+(1-EXP(-LN(2)/25))/(LN(2)/25)*Calculateur!DB129*Calculateur!DD129*VLOOKUP('Données projet'!$B$13,Paramètres!$A$1:$I$89,3,0)*0.475*44/12</f>
        <v>9.1195085734320429</v>
      </c>
      <c r="DH129" s="21">
        <f>EXP(-LN(2)/2)*DH128+(1-EXP(-LN(2)/2))/(LN(2)/2)*DB129*DE129*VLOOKUP('Données projet'!$B$13,Paramètres!$A$1:$I$89,3,0)*0.475*44/12</f>
        <v>5.5437634722073813E-9</v>
      </c>
      <c r="DI129" s="22">
        <f t="shared" si="69"/>
        <v>56.962986876776533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69.31093421684696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69.31093421684696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69.31093421684696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69.31093421684696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69.31093421684696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1.25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4.583333333333333</v>
      </c>
      <c r="H130" s="67">
        <f t="shared" si="56"/>
        <v>238.33333333333334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69.322887967664371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467.10712490977266</v>
      </c>
      <c r="T130" s="59">
        <f t="shared" si="88"/>
        <v>282.99426855025968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162.73392466459134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162.73392466459134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69.322887967664371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-5.1159076974727213E-13</v>
      </c>
      <c r="AJ130" s="13">
        <f>AI130*VLOOKUP('Données projet'!$B$10,Paramètres!$A$1:$I$89,3,0)*VLOOKUP('Données projet'!$B$10,Paramètres!$A$1:$I$89,5,0)</f>
        <v>-4.8682977649150421E-13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399.57236812003225</v>
      </c>
      <c r="AO130" s="59">
        <f t="shared" si="90"/>
        <v>245.95971136213691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113.88495149722439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113.88495149722439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69.322887967664371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2.2737367544323206E-13</v>
      </c>
      <c r="BE130" s="13">
        <f>BD130*VLOOKUP('Données projet'!$B$11,Paramètres!$A$1:$I$89,3,0)*VLOOKUP('Données projet'!$B$11,Paramètres!$A$1:$I$89,5,0)</f>
        <v>1.3596945791505279E-13</v>
      </c>
      <c r="BF130" s="13">
        <f t="shared" si="91"/>
        <v>1.9708830566360721E-12</v>
      </c>
      <c r="BG130" s="20">
        <f t="shared" si="61"/>
        <v>3.669434796176543E-12</v>
      </c>
      <c r="BH130" s="59">
        <f t="shared" si="62"/>
        <v>290.85058921477304</v>
      </c>
      <c r="BI130" s="59">
        <f ca="1">AVERAGE(OFFSET($BH$3,0,0,'Données projet'!$E$11+1,1))-AVERAGE(OFFSET($H$3,0,0,'Données projet'!$E$11+1,1))</f>
        <v>352.88552266225872</v>
      </c>
      <c r="BJ130" s="59">
        <f t="shared" si="92"/>
        <v>403.29115295154782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46.905296870021168</v>
      </c>
      <c r="BQ130" s="21">
        <f>EXP(-LN(2)/25)*BQ129+(1-EXP(-LN(2)/25))/(LN(2)/25)*Calculateur!BL130*Calculateur!BN130*VLOOKUP('Données projet'!$B$11,Paramètres!$A$1:$I$89,3,0)*0.475*44/12</f>
        <v>8.8701351319174311</v>
      </c>
      <c r="BR130" s="21">
        <f>EXP(-LN(2)/2)*BR129+(1-EXP(-LN(2)/2))/(LN(2)/2)*BL130*BO130*VLOOKUP('Données projet'!$B$11,Paramètres!$A$1:$I$89,3,0)*0.475*44/12</f>
        <v>3.9200327444921197E-9</v>
      </c>
      <c r="BS130" s="22">
        <f t="shared" si="63"/>
        <v>55.775432005858633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69.322887967664371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-1.0049916454590858E-13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297.1442218517625</v>
      </c>
      <c r="CE130" s="59">
        <f t="shared" si="94"/>
        <v>326.0112787126069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49.815310405449388</v>
      </c>
      <c r="CL130" s="21">
        <f>EXP(-LN(2)/25)*CL129+(1-EXP(-LN(2)/25))/(LN(2)/25)*Calculateur!CG130*Calculateur!CI130*VLOOKUP('Données projet'!$B$12,Paramètres!$A$1:$I$89,3,0)*0.475*44/12</f>
        <v>9.0281586498397388</v>
      </c>
      <c r="CM130" s="21">
        <f>EXP(-LN(2)/2)*CM129+(1-EXP(-LN(2)/2))/(LN(2)/2)*CG130*CJ130*VLOOKUP('Données projet'!$B$12,Paramètres!$A$1:$I$89,3,0)*0.475*44/12</f>
        <v>3.5333494177643851E-9</v>
      </c>
      <c r="CN130" s="22">
        <f t="shared" si="66"/>
        <v>58.843469058822478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69.322887967664371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2.2737367544323206E-13</v>
      </c>
      <c r="CU130" s="17">
        <f>CT130*VLOOKUP('Données projet'!$B$13,Paramètres!$A$1:$I$89,3,0)*VLOOKUP('Données projet'!$B$13,Paramètres!$A$1:$I$89,5,0)</f>
        <v>1.3596945791505279E-13</v>
      </c>
      <c r="CV130" s="13">
        <f t="shared" si="95"/>
        <v>1.9708830566360721E-12</v>
      </c>
      <c r="CW130" s="20">
        <f t="shared" si="67"/>
        <v>3.669434796176543E-12</v>
      </c>
      <c r="CX130" s="59">
        <f t="shared" si="68"/>
        <v>290.85058921477304</v>
      </c>
      <c r="CY130" s="59">
        <f ca="1">AVERAGE(OFFSET($CX$3,0,0,'Données projet'!$E$13+1,1))-AVERAGE(OFFSET($H$3,0,0,'Données projet'!$E$13+1,1))</f>
        <v>352.88552266225872</v>
      </c>
      <c r="CZ130" s="59">
        <f t="shared" si="96"/>
        <v>403.29115295154782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46.905296870021168</v>
      </c>
      <c r="DG130" s="21">
        <f>EXP(-LN(2)/25)*DG129+(1-EXP(-LN(2)/25))/(LN(2)/25)*Calculateur!DB130*Calculateur!DD130*VLOOKUP('Données projet'!$B$13,Paramètres!$A$1:$I$89,3,0)*0.475*44/12</f>
        <v>8.8701351319174311</v>
      </c>
      <c r="DH130" s="21">
        <f>EXP(-LN(2)/2)*DH129+(1-EXP(-LN(2)/2))/(LN(2)/2)*DB130*DE130*VLOOKUP('Données projet'!$B$13,Paramètres!$A$1:$I$89,3,0)*0.475*44/12</f>
        <v>3.9200327444921197E-9</v>
      </c>
      <c r="DI130" s="22">
        <f t="shared" si="69"/>
        <v>55.775432005858633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69.322887967664371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69.322887967664371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69.322887967664371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69.322887967664371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69.322887967664371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1.25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4.583333333333333</v>
      </c>
      <c r="H131" s="67">
        <f t="shared" si="56"/>
        <v>238.33333333333334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69.334634347629674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467.10712490977266</v>
      </c>
      <c r="T131" s="59">
        <f t="shared" si="88"/>
        <v>282.99426855025968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159.54281165981186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159.54281165981186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69.334634347629674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-5.1159076974727213E-13</v>
      </c>
      <c r="AJ131" s="13">
        <f>AI131*VLOOKUP('Données projet'!$B$10,Paramètres!$A$1:$I$89,3,0)*VLOOKUP('Données projet'!$B$10,Paramètres!$A$1:$I$89,5,0)</f>
        <v>-4.8682977649150421E-13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399.57236812003225</v>
      </c>
      <c r="AO131" s="59">
        <f t="shared" si="90"/>
        <v>245.95971136213691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111.65173706132533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111.65173706132533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69.334634347629674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2.2737367544323206E-13</v>
      </c>
      <c r="BE131" s="13">
        <f>BD131*VLOOKUP('Données projet'!$B$11,Paramètres!$A$1:$I$89,3,0)*VLOOKUP('Données projet'!$B$11,Paramètres!$A$1:$I$89,5,0)</f>
        <v>1.3596945791505279E-13</v>
      </c>
      <c r="BF131" s="13">
        <f t="shared" si="91"/>
        <v>1.9708830566360721E-12</v>
      </c>
      <c r="BG131" s="20">
        <f t="shared" si="61"/>
        <v>3.669434796176543E-12</v>
      </c>
      <c r="BH131" s="59">
        <f t="shared" si="62"/>
        <v>290.89365927464587</v>
      </c>
      <c r="BI131" s="59">
        <f ca="1">AVERAGE(OFFSET($BH$3,0,0,'Données projet'!$E$11+1,1))-AVERAGE(OFFSET($H$3,0,0,'Données projet'!$E$11+1,1))</f>
        <v>352.88552266225872</v>
      </c>
      <c r="BJ131" s="59">
        <f t="shared" si="92"/>
        <v>403.29115295154782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45.9855126078062</v>
      </c>
      <c r="BQ131" s="21">
        <f>EXP(-LN(2)/25)*BQ130+(1-EXP(-LN(2)/25))/(LN(2)/25)*Calculateur!BL131*Calculateur!BN131*VLOOKUP('Données projet'!$B$11,Paramètres!$A$1:$I$89,3,0)*0.475*44/12</f>
        <v>8.6275808202750159</v>
      </c>
      <c r="BR131" s="21">
        <f>EXP(-LN(2)/2)*BR130+(1-EXP(-LN(2)/2))/(LN(2)/2)*BL131*BO131*VLOOKUP('Données projet'!$B$11,Paramètres!$A$1:$I$89,3,0)*0.475*44/12</f>
        <v>2.7718817361036907E-9</v>
      </c>
      <c r="BS131" s="22">
        <f t="shared" si="63"/>
        <v>54.613093430853098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69.334634347629674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-1.0049916454590858E-13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297.1442218517625</v>
      </c>
      <c r="CE131" s="59">
        <f t="shared" si="94"/>
        <v>326.0112787126069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48.838462552737667</v>
      </c>
      <c r="CL131" s="21">
        <f>EXP(-LN(2)/25)*CL130+(1-EXP(-LN(2)/25))/(LN(2)/25)*Calculateur!CG131*Calculateur!CI131*VLOOKUP('Données projet'!$B$12,Paramètres!$A$1:$I$89,3,0)*0.475*44/12</f>
        <v>8.7812831767896427</v>
      </c>
      <c r="CM131" s="21">
        <f>EXP(-LN(2)/2)*CM130+(1-EXP(-LN(2)/2))/(LN(2)/2)*CG131*CJ131*VLOOKUP('Données projet'!$B$12,Paramètres!$A$1:$I$89,3,0)*0.475*44/12</f>
        <v>2.4984553336027361E-9</v>
      </c>
      <c r="CN131" s="22">
        <f t="shared" si="66"/>
        <v>57.619745732025763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69.334634347629674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2.2737367544323206E-13</v>
      </c>
      <c r="CU131" s="17">
        <f>CT131*VLOOKUP('Données projet'!$B$13,Paramètres!$A$1:$I$89,3,0)*VLOOKUP('Données projet'!$B$13,Paramètres!$A$1:$I$89,5,0)</f>
        <v>1.3596945791505279E-13</v>
      </c>
      <c r="CV131" s="13">
        <f t="shared" si="95"/>
        <v>1.9708830566360721E-12</v>
      </c>
      <c r="CW131" s="20">
        <f t="shared" si="67"/>
        <v>3.669434796176543E-12</v>
      </c>
      <c r="CX131" s="59">
        <f t="shared" si="68"/>
        <v>290.89365927464587</v>
      </c>
      <c r="CY131" s="59">
        <f ca="1">AVERAGE(OFFSET($CX$3,0,0,'Données projet'!$E$13+1,1))-AVERAGE(OFFSET($H$3,0,0,'Données projet'!$E$13+1,1))</f>
        <v>352.88552266225872</v>
      </c>
      <c r="CZ131" s="59">
        <f t="shared" si="96"/>
        <v>403.29115295154782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45.9855126078062</v>
      </c>
      <c r="DG131" s="21">
        <f>EXP(-LN(2)/25)*DG130+(1-EXP(-LN(2)/25))/(LN(2)/25)*Calculateur!DB131*Calculateur!DD131*VLOOKUP('Données projet'!$B$13,Paramètres!$A$1:$I$89,3,0)*0.475*44/12</f>
        <v>8.6275808202750159</v>
      </c>
      <c r="DH131" s="21">
        <f>EXP(-LN(2)/2)*DH130+(1-EXP(-LN(2)/2))/(LN(2)/2)*DB131*DE131*VLOOKUP('Données projet'!$B$13,Paramètres!$A$1:$I$89,3,0)*0.475*44/12</f>
        <v>2.7718817361036907E-9</v>
      </c>
      <c r="DI131" s="22">
        <f t="shared" si="69"/>
        <v>54.613093430853098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69.334634347629674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69.334634347629674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69.334634347629674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69.334634347629674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69.334634347629674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1.25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4.583333333333333</v>
      </c>
      <c r="H132" s="67">
        <f t="shared" ref="H132:H195" si="110">(B132+E132+F132)*44/12+(C132+D132)*0.475*44/12</f>
        <v>238.33333333333334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69.346176954163553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467.10712490977266</v>
      </c>
      <c r="T132" s="59">
        <f t="shared" si="88"/>
        <v>282.99426855025968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156.41427443466935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156.41427443466935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69.346176954163553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-5.1159076974727213E-13</v>
      </c>
      <c r="AJ132" s="13">
        <f>AI132*VLOOKUP('Données projet'!$B$10,Paramètres!$A$1:$I$89,3,0)*VLOOKUP('Données projet'!$B$10,Paramètres!$A$1:$I$89,5,0)</f>
        <v>-4.8682977649150421E-13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399.57236812003225</v>
      </c>
      <c r="AO132" s="59">
        <f t="shared" si="90"/>
        <v>245.95971136213691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109.46231459838795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109.46231459838795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69.346176954163553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2.2737367544323206E-13</v>
      </c>
      <c r="BE132" s="13">
        <f>BD132*VLOOKUP('Données projet'!$B$11,Paramètres!$A$1:$I$89,3,0)*VLOOKUP('Données projet'!$B$11,Paramètres!$A$1:$I$89,5,0)</f>
        <v>1.3596945791505279E-13</v>
      </c>
      <c r="BF132" s="13">
        <f t="shared" si="91"/>
        <v>1.9708830566360721E-12</v>
      </c>
      <c r="BG132" s="20">
        <f t="shared" ref="BG132:BG153" si="115">(BE132+BF132)*0.475*44/12</f>
        <v>3.669434796176543E-12</v>
      </c>
      <c r="BH132" s="59">
        <f t="shared" ref="BH132:BH195" si="116">BG132+(AY132+AZ132)*44/12</f>
        <v>290.93598216527005</v>
      </c>
      <c r="BI132" s="59">
        <f ca="1">AVERAGE(OFFSET($BH$3,0,0,'Données projet'!$E$11+1,1))-AVERAGE(OFFSET($H$3,0,0,'Données projet'!$E$11+1,1))</f>
        <v>352.88552266225872</v>
      </c>
      <c r="BJ132" s="59">
        <f t="shared" si="92"/>
        <v>403.29115295154782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45.08376475396026</v>
      </c>
      <c r="BQ132" s="21">
        <f>EXP(-LN(2)/25)*BQ131+(1-EXP(-LN(2)/25))/(LN(2)/25)*Calculateur!BL132*Calculateur!BN132*VLOOKUP('Données projet'!$B$11,Paramètres!$A$1:$I$89,3,0)*0.475*44/12</f>
        <v>8.3916591690398388</v>
      </c>
      <c r="BR132" s="21">
        <f>EXP(-LN(2)/2)*BR131+(1-EXP(-LN(2)/2))/(LN(2)/2)*BL132*BO132*VLOOKUP('Données projet'!$B$11,Paramètres!$A$1:$I$89,3,0)*0.475*44/12</f>
        <v>1.9600163722460598E-9</v>
      </c>
      <c r="BS132" s="22">
        <f t="shared" ref="BS132:BS153" si="117">SUM(BP132:BR132)</f>
        <v>53.475423924960118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69.346176954163553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-1.0049916454590858E-13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297.1442218517625</v>
      </c>
      <c r="CE132" s="59">
        <f t="shared" si="94"/>
        <v>326.0112787126069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47.880770090599263</v>
      </c>
      <c r="CL132" s="21">
        <f>EXP(-LN(2)/25)*CL131+(1-EXP(-LN(2)/25))/(LN(2)/25)*Calculateur!CG132*Calculateur!CI132*VLOOKUP('Données projet'!$B$12,Paramètres!$A$1:$I$89,3,0)*0.475*44/12</f>
        <v>8.5411585265327172</v>
      </c>
      <c r="CM132" s="21">
        <f>EXP(-LN(2)/2)*CM131+(1-EXP(-LN(2)/2))/(LN(2)/2)*CG132*CJ132*VLOOKUP('Données projet'!$B$12,Paramètres!$A$1:$I$89,3,0)*0.475*44/12</f>
        <v>1.7666747088821925E-9</v>
      </c>
      <c r="CN132" s="22">
        <f t="shared" ref="CN132:CN153" si="120">SUM(CK132:CM132)</f>
        <v>56.421928618898654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69.346176954163553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2.2737367544323206E-13</v>
      </c>
      <c r="CU132" s="17">
        <f>CT132*VLOOKUP('Données projet'!$B$13,Paramètres!$A$1:$I$89,3,0)*VLOOKUP('Données projet'!$B$13,Paramètres!$A$1:$I$89,5,0)</f>
        <v>1.3596945791505279E-13</v>
      </c>
      <c r="CV132" s="13">
        <f t="shared" si="95"/>
        <v>1.9708830566360721E-12</v>
      </c>
      <c r="CW132" s="20">
        <f t="shared" ref="CW132:CW153" si="121">(CU132+CV132)*0.475*44/12</f>
        <v>3.669434796176543E-12</v>
      </c>
      <c r="CX132" s="59">
        <f t="shared" ref="CX132:CX195" si="122">CW132+(CO132+CP132)*44/12</f>
        <v>290.93598216527005</v>
      </c>
      <c r="CY132" s="59">
        <f ca="1">AVERAGE(OFFSET($CX$3,0,0,'Données projet'!$E$13+1,1))-AVERAGE(OFFSET($H$3,0,0,'Données projet'!$E$13+1,1))</f>
        <v>352.88552266225872</v>
      </c>
      <c r="CZ132" s="59">
        <f t="shared" si="96"/>
        <v>403.29115295154782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45.08376475396026</v>
      </c>
      <c r="DG132" s="21">
        <f>EXP(-LN(2)/25)*DG131+(1-EXP(-LN(2)/25))/(LN(2)/25)*Calculateur!DB132*Calculateur!DD132*VLOOKUP('Données projet'!$B$13,Paramètres!$A$1:$I$89,3,0)*0.475*44/12</f>
        <v>8.3916591690398388</v>
      </c>
      <c r="DH132" s="21">
        <f>EXP(-LN(2)/2)*DH131+(1-EXP(-LN(2)/2))/(LN(2)/2)*DB132*DE132*VLOOKUP('Données projet'!$B$13,Paramètres!$A$1:$I$89,3,0)*0.475*44/12</f>
        <v>1.9600163722460598E-9</v>
      </c>
      <c r="DI132" s="22">
        <f t="shared" ref="DI132:DI153" si="123">SUM(DF132:DH132)</f>
        <v>53.475423924960118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69.346176954163553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69.346176954163553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69.346176954163553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69.346176954163553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69.346176954163553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1.25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4.583333333333333</v>
      </c>
      <c r="H133" s="67">
        <f t="shared" si="110"/>
        <v>238.33333333333334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69.357519322279458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467.10712490977266</v>
      </c>
      <c r="T133" s="59">
        <f t="shared" ref="T133:T196" si="142">$T$3</f>
        <v>282.99426855025968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153.3470859162926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153.3470859162926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69.357519322279458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-5.1159076974727213E-13</v>
      </c>
      <c r="AJ133" s="13">
        <f>AI133*VLOOKUP('Données projet'!$B$10,Paramètres!$A$1:$I$89,3,0)*VLOOKUP('Données projet'!$B$10,Paramètres!$A$1:$I$89,5,0)</f>
        <v>-4.8682977649150421E-13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399.57236812003225</v>
      </c>
      <c r="AO133" s="59">
        <f t="shared" ref="AO133:AO196" si="144">$AO$3</f>
        <v>245.95971136213691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107.31582537453293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107.31582537453293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69.357519322279458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2.2737367544323206E-13</v>
      </c>
      <c r="BE133" s="13">
        <f>BD133*VLOOKUP('Données projet'!$B$11,Paramètres!$A$1:$I$89,3,0)*VLOOKUP('Données projet'!$B$11,Paramètres!$A$1:$I$89,5,0)</f>
        <v>1.3596945791505279E-13</v>
      </c>
      <c r="BF133" s="13">
        <f t="shared" ref="BF133:BF153" si="145">EXP(-1.0587+0.8836*LN(BE133)+0.284)</f>
        <v>1.9708830566360721E-12</v>
      </c>
      <c r="BG133" s="20">
        <f t="shared" si="115"/>
        <v>3.669434796176543E-12</v>
      </c>
      <c r="BH133" s="59">
        <f t="shared" si="116"/>
        <v>290.97757084836172</v>
      </c>
      <c r="BI133" s="59">
        <f ca="1">AVERAGE(OFFSET($BH$3,0,0,'Données projet'!$E$11+1,1))-AVERAGE(OFFSET($H$3,0,0,'Données projet'!$E$11+1,1))</f>
        <v>352.88552266225872</v>
      </c>
      <c r="BJ133" s="59">
        <f t="shared" ref="BJ133:BJ196" si="146">$BJ$3</f>
        <v>403.29115295154782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44.199699625516359</v>
      </c>
      <c r="BQ133" s="21">
        <f>EXP(-LN(2)/25)*BQ132+(1-EXP(-LN(2)/25))/(LN(2)/25)*Calculateur!BL133*Calculateur!BN133*VLOOKUP('Données projet'!$B$11,Paramètres!$A$1:$I$89,3,0)*0.475*44/12</f>
        <v>8.1621888077642684</v>
      </c>
      <c r="BR133" s="21">
        <f>EXP(-LN(2)/2)*BR132+(1-EXP(-LN(2)/2))/(LN(2)/2)*BL133*BO133*VLOOKUP('Données projet'!$B$11,Paramètres!$A$1:$I$89,3,0)*0.475*44/12</f>
        <v>1.3859408680518453E-9</v>
      </c>
      <c r="BS133" s="22">
        <f t="shared" si="117"/>
        <v>52.361888434666568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69.357519322279458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-1.0049916454590858E-13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297.1442218517625</v>
      </c>
      <c r="CE133" s="59">
        <f t="shared" ref="CE133:CE196" si="148">$CE$3</f>
        <v>326.0112787126069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46.94185739350867</v>
      </c>
      <c r="CL133" s="21">
        <f>EXP(-LN(2)/25)*CL132+(1-EXP(-LN(2)/25))/(LN(2)/25)*Calculateur!CG133*Calculateur!CI133*VLOOKUP('Données projet'!$B$12,Paramètres!$A$1:$I$89,3,0)*0.475*44/12</f>
        <v>8.3076000974646735</v>
      </c>
      <c r="CM133" s="21">
        <f>EXP(-LN(2)/2)*CM132+(1-EXP(-LN(2)/2))/(LN(2)/2)*CG133*CJ133*VLOOKUP('Données projet'!$B$12,Paramètres!$A$1:$I$89,3,0)*0.475*44/12</f>
        <v>1.249227666801368E-9</v>
      </c>
      <c r="CN133" s="22">
        <f t="shared" si="120"/>
        <v>55.249457492222568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69.357519322279458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2.2737367544323206E-13</v>
      </c>
      <c r="CU133" s="17">
        <f>CT133*VLOOKUP('Données projet'!$B$13,Paramètres!$A$1:$I$89,3,0)*VLOOKUP('Données projet'!$B$13,Paramètres!$A$1:$I$89,5,0)</f>
        <v>1.3596945791505279E-13</v>
      </c>
      <c r="CV133" s="13">
        <f t="shared" ref="CV133:CV153" si="149">EXP(-1.0587+0.8836*LN(CU133)+0.284)</f>
        <v>1.9708830566360721E-12</v>
      </c>
      <c r="CW133" s="20">
        <f t="shared" si="121"/>
        <v>3.669434796176543E-12</v>
      </c>
      <c r="CX133" s="59">
        <f t="shared" si="122"/>
        <v>290.97757084836172</v>
      </c>
      <c r="CY133" s="59">
        <f ca="1">AVERAGE(OFFSET($CX$3,0,0,'Données projet'!$E$13+1,1))-AVERAGE(OFFSET($H$3,0,0,'Données projet'!$E$13+1,1))</f>
        <v>352.88552266225872</v>
      </c>
      <c r="CZ133" s="59">
        <f t="shared" ref="CZ133:CZ196" si="150">$CZ$3</f>
        <v>403.29115295154782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44.199699625516359</v>
      </c>
      <c r="DG133" s="21">
        <f>EXP(-LN(2)/25)*DG132+(1-EXP(-LN(2)/25))/(LN(2)/25)*Calculateur!DB133*Calculateur!DD133*VLOOKUP('Données projet'!$B$13,Paramètres!$A$1:$I$89,3,0)*0.475*44/12</f>
        <v>8.1621888077642684</v>
      </c>
      <c r="DH133" s="21">
        <f>EXP(-LN(2)/2)*DH132+(1-EXP(-LN(2)/2))/(LN(2)/2)*DB133*DE133*VLOOKUP('Données projet'!$B$13,Paramètres!$A$1:$I$89,3,0)*0.475*44/12</f>
        <v>1.3859408680518453E-9</v>
      </c>
      <c r="DI133" s="22">
        <f t="shared" si="123"/>
        <v>52.361888434666568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69.357519322279458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69.357519322279458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69.357519322279458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69.357519322279458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69.357519322279458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1.25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4.583333333333333</v>
      </c>
      <c r="H134" s="67">
        <f t="shared" si="110"/>
        <v>238.33333333333334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69.368664925666309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467.10712490977266</v>
      </c>
      <c r="T134" s="59">
        <f t="shared" si="142"/>
        <v>282.99426855025968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150.34004309396096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150.34004309396096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69.368664925666309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-5.1159076974727213E-13</v>
      </c>
      <c r="AJ134" s="13">
        <f>AI134*VLOOKUP('Données projet'!$B$10,Paramètres!$A$1:$I$89,3,0)*VLOOKUP('Données projet'!$B$10,Paramètres!$A$1:$I$89,5,0)</f>
        <v>-4.8682977649150421E-13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399.57236812003225</v>
      </c>
      <c r="AO134" s="59">
        <f t="shared" si="144"/>
        <v>245.95971136213691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105.21142749512856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105.21142749512856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69.368664925666309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2.2737367544323206E-13</v>
      </c>
      <c r="BE134" s="13">
        <f>BD134*VLOOKUP('Données projet'!$B$11,Paramètres!$A$1:$I$89,3,0)*VLOOKUP('Données projet'!$B$11,Paramètres!$A$1:$I$89,5,0)</f>
        <v>1.3596945791505279E-13</v>
      </c>
      <c r="BF134" s="13">
        <f t="shared" si="145"/>
        <v>1.9708830566360721E-12</v>
      </c>
      <c r="BG134" s="20">
        <f t="shared" si="115"/>
        <v>3.669434796176543E-12</v>
      </c>
      <c r="BH134" s="59">
        <f t="shared" si="116"/>
        <v>291.01843806078017</v>
      </c>
      <c r="BI134" s="59">
        <f ca="1">AVERAGE(OFFSET($BH$3,0,0,'Données projet'!$E$11+1,1))-AVERAGE(OFFSET($H$3,0,0,'Données projet'!$E$11+1,1))</f>
        <v>352.88552266225872</v>
      </c>
      <c r="BJ134" s="59">
        <f t="shared" si="146"/>
        <v>403.29115295154782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43.332970475014761</v>
      </c>
      <c r="BQ134" s="21">
        <f>EXP(-LN(2)/25)*BQ133+(1-EXP(-LN(2)/25))/(LN(2)/25)*Calculateur!BL134*Calculateur!BN134*VLOOKUP('Données projet'!$B$11,Paramètres!$A$1:$I$89,3,0)*0.475*44/12</f>
        <v>7.9389933255851002</v>
      </c>
      <c r="BR134" s="21">
        <f>EXP(-LN(2)/2)*BR133+(1-EXP(-LN(2)/2))/(LN(2)/2)*BL134*BO134*VLOOKUP('Données projet'!$B$11,Paramètres!$A$1:$I$89,3,0)*0.475*44/12</f>
        <v>9.8000818612302992E-10</v>
      </c>
      <c r="BS134" s="22">
        <f t="shared" si="117"/>
        <v>51.271963801579872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69.368664925666309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-1.0049916454590858E-13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297.1442218517625</v>
      </c>
      <c r="CE134" s="59">
        <f t="shared" si="148"/>
        <v>326.0112787126069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46.021356201727826</v>
      </c>
      <c r="CL134" s="21">
        <f>EXP(-LN(2)/25)*CL133+(1-EXP(-LN(2)/25))/(LN(2)/25)*Calculateur!CG134*Calculateur!CI134*VLOOKUP('Données projet'!$B$12,Paramètres!$A$1:$I$89,3,0)*0.475*44/12</f>
        <v>8.0804283359218001</v>
      </c>
      <c r="CM134" s="21">
        <f>EXP(-LN(2)/2)*CM133+(1-EXP(-LN(2)/2))/(LN(2)/2)*CG134*CJ134*VLOOKUP('Données projet'!$B$12,Paramètres!$A$1:$I$89,3,0)*0.475*44/12</f>
        <v>8.8333735444109627E-10</v>
      </c>
      <c r="CN134" s="22">
        <f t="shared" si="120"/>
        <v>54.101784538532968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69.368664925666309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2.2737367544323206E-13</v>
      </c>
      <c r="CU134" s="17">
        <f>CT134*VLOOKUP('Données projet'!$B$13,Paramètres!$A$1:$I$89,3,0)*VLOOKUP('Données projet'!$B$13,Paramètres!$A$1:$I$89,5,0)</f>
        <v>1.3596945791505279E-13</v>
      </c>
      <c r="CV134" s="13">
        <f t="shared" si="149"/>
        <v>1.9708830566360721E-12</v>
      </c>
      <c r="CW134" s="20">
        <f t="shared" si="121"/>
        <v>3.669434796176543E-12</v>
      </c>
      <c r="CX134" s="59">
        <f t="shared" si="122"/>
        <v>291.01843806078017</v>
      </c>
      <c r="CY134" s="59">
        <f ca="1">AVERAGE(OFFSET($CX$3,0,0,'Données projet'!$E$13+1,1))-AVERAGE(OFFSET($H$3,0,0,'Données projet'!$E$13+1,1))</f>
        <v>352.88552266225872</v>
      </c>
      <c r="CZ134" s="59">
        <f t="shared" si="150"/>
        <v>403.29115295154782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43.332970475014761</v>
      </c>
      <c r="DG134" s="21">
        <f>EXP(-LN(2)/25)*DG133+(1-EXP(-LN(2)/25))/(LN(2)/25)*Calculateur!DB134*Calculateur!DD134*VLOOKUP('Données projet'!$B$13,Paramètres!$A$1:$I$89,3,0)*0.475*44/12</f>
        <v>7.9389933255851002</v>
      </c>
      <c r="DH134" s="21">
        <f>EXP(-LN(2)/2)*DH133+(1-EXP(-LN(2)/2))/(LN(2)/2)*DB134*DE134*VLOOKUP('Données projet'!$B$13,Paramètres!$A$1:$I$89,3,0)*0.475*44/12</f>
        <v>9.8000818612302992E-10</v>
      </c>
      <c r="DI134" s="22">
        <f t="shared" si="123"/>
        <v>51.271963801579872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69.368664925666309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69.368664925666309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69.368664925666309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69.368664925666309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69.368664925666309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1.25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4.583333333333333</v>
      </c>
      <c r="H135" s="67">
        <f t="shared" si="110"/>
        <v>238.33333333333334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69.379617177752209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467.10712490977266</v>
      </c>
      <c r="T135" s="59">
        <f t="shared" si="142"/>
        <v>282.99426855025968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147.39196654726021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147.39196654726021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69.379617177752209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-5.1159076974727213E-13</v>
      </c>
      <c r="AJ135" s="13">
        <f>AI135*VLOOKUP('Données projet'!$B$10,Paramètres!$A$1:$I$89,3,0)*VLOOKUP('Données projet'!$B$10,Paramètres!$A$1:$I$89,5,0)</f>
        <v>-4.8682977649150421E-13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399.57236812003225</v>
      </c>
      <c r="AO135" s="59">
        <f t="shared" si="144"/>
        <v>245.95971136213691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103.14829557458334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103.14829557458334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69.379617177752209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2.2737367544323206E-13</v>
      </c>
      <c r="BE135" s="13">
        <f>BD135*VLOOKUP('Données projet'!$B$11,Paramètres!$A$1:$I$89,3,0)*VLOOKUP('Données projet'!$B$11,Paramètres!$A$1:$I$89,5,0)</f>
        <v>1.3596945791505279E-13</v>
      </c>
      <c r="BF135" s="13">
        <f t="shared" si="145"/>
        <v>1.9708830566360721E-12</v>
      </c>
      <c r="BG135" s="20">
        <f t="shared" si="115"/>
        <v>3.669434796176543E-12</v>
      </c>
      <c r="BH135" s="59">
        <f t="shared" si="116"/>
        <v>291.0585963184285</v>
      </c>
      <c r="BI135" s="59">
        <f ca="1">AVERAGE(OFFSET($BH$3,0,0,'Données projet'!$E$11+1,1))-AVERAGE(OFFSET($H$3,0,0,'Données projet'!$E$11+1,1))</f>
        <v>352.88552266225872</v>
      </c>
      <c r="BJ135" s="59">
        <f t="shared" si="146"/>
        <v>403.29115295154782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42.483237354501917</v>
      </c>
      <c r="BQ135" s="21">
        <f>EXP(-LN(2)/25)*BQ134+(1-EXP(-LN(2)/25))/(LN(2)/25)*Calculateur!BL135*Calculateur!BN135*VLOOKUP('Données projet'!$B$11,Paramètres!$A$1:$I$89,3,0)*0.475*44/12</f>
        <v>7.7219011356034617</v>
      </c>
      <c r="BR135" s="21">
        <f>EXP(-LN(2)/2)*BR134+(1-EXP(-LN(2)/2))/(LN(2)/2)*BL135*BO135*VLOOKUP('Données projet'!$B$11,Paramètres!$A$1:$I$89,3,0)*0.475*44/12</f>
        <v>6.9297043402592267E-10</v>
      </c>
      <c r="BS135" s="22">
        <f t="shared" si="117"/>
        <v>50.205138490798348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69.379617177752209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-1.0049916454590858E-13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297.1442218517625</v>
      </c>
      <c r="CE135" s="59">
        <f t="shared" si="148"/>
        <v>326.0112787126069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45.118905476867518</v>
      </c>
      <c r="CL135" s="21">
        <f>EXP(-LN(2)/25)*CL134+(1-EXP(-LN(2)/25))/(LN(2)/25)*Calculateur!CG135*Calculateur!CI135*VLOOKUP('Données projet'!$B$12,Paramètres!$A$1:$I$89,3,0)*0.475*44/12</f>
        <v>7.8594685981447601</v>
      </c>
      <c r="CM135" s="21">
        <f>EXP(-LN(2)/2)*CM134+(1-EXP(-LN(2)/2))/(LN(2)/2)*CG135*CJ135*VLOOKUP('Données projet'!$B$12,Paramètres!$A$1:$I$89,3,0)*0.475*44/12</f>
        <v>6.2461383340068402E-10</v>
      </c>
      <c r="CN135" s="22">
        <f t="shared" si="120"/>
        <v>52.978374075636893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69.379617177752209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2.2737367544323206E-13</v>
      </c>
      <c r="CU135" s="17">
        <f>CT135*VLOOKUP('Données projet'!$B$13,Paramètres!$A$1:$I$89,3,0)*VLOOKUP('Données projet'!$B$13,Paramètres!$A$1:$I$89,5,0)</f>
        <v>1.3596945791505279E-13</v>
      </c>
      <c r="CV135" s="13">
        <f t="shared" si="149"/>
        <v>1.9708830566360721E-12</v>
      </c>
      <c r="CW135" s="20">
        <f t="shared" si="121"/>
        <v>3.669434796176543E-12</v>
      </c>
      <c r="CX135" s="59">
        <f t="shared" si="122"/>
        <v>291.0585963184285</v>
      </c>
      <c r="CY135" s="59">
        <f ca="1">AVERAGE(OFFSET($CX$3,0,0,'Données projet'!$E$13+1,1))-AVERAGE(OFFSET($H$3,0,0,'Données projet'!$E$13+1,1))</f>
        <v>352.88552266225872</v>
      </c>
      <c r="CZ135" s="59">
        <f t="shared" si="150"/>
        <v>403.29115295154782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42.483237354501917</v>
      </c>
      <c r="DG135" s="21">
        <f>EXP(-LN(2)/25)*DG134+(1-EXP(-LN(2)/25))/(LN(2)/25)*Calculateur!DB135*Calculateur!DD135*VLOOKUP('Données projet'!$B$13,Paramètres!$A$1:$I$89,3,0)*0.475*44/12</f>
        <v>7.7219011356034617</v>
      </c>
      <c r="DH135" s="21">
        <f>EXP(-LN(2)/2)*DH134+(1-EXP(-LN(2)/2))/(LN(2)/2)*DB135*DE135*VLOOKUP('Données projet'!$B$13,Paramètres!$A$1:$I$89,3,0)*0.475*44/12</f>
        <v>6.9297043402592267E-10</v>
      </c>
      <c r="DI135" s="22">
        <f t="shared" si="123"/>
        <v>50.205138490798348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69.379617177752209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69.379617177752209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69.379617177752209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69.379617177752209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69.379617177752209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1.25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4.583333333333333</v>
      </c>
      <c r="H136" s="67">
        <f t="shared" si="110"/>
        <v>238.33333333333334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69.390379432750009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467.10712490977266</v>
      </c>
      <c r="T136" s="59">
        <f t="shared" si="142"/>
        <v>282.99426855025968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144.50169998349114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144.50169998349114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69.390379432750009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-5.1159076974727213E-13</v>
      </c>
      <c r="AJ136" s="13">
        <f>AI136*VLOOKUP('Données projet'!$B$10,Paramètres!$A$1:$I$89,3,0)*VLOOKUP('Données projet'!$B$10,Paramètres!$A$1:$I$89,5,0)</f>
        <v>-4.8682977649150421E-13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399.57236812003225</v>
      </c>
      <c r="AO136" s="59">
        <f t="shared" si="144"/>
        <v>245.95971136213691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101.1256204126138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101.1256204126138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69.390379432750009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2.2737367544323206E-13</v>
      </c>
      <c r="BE136" s="13">
        <f>BD136*VLOOKUP('Données projet'!$B$11,Paramètres!$A$1:$I$89,3,0)*VLOOKUP('Données projet'!$B$11,Paramètres!$A$1:$I$89,5,0)</f>
        <v>1.3596945791505279E-13</v>
      </c>
      <c r="BF136" s="13">
        <f t="shared" si="145"/>
        <v>1.9708830566360721E-12</v>
      </c>
      <c r="BG136" s="20">
        <f t="shared" si="115"/>
        <v>3.669434796176543E-12</v>
      </c>
      <c r="BH136" s="59">
        <f t="shared" si="116"/>
        <v>291.09805792008706</v>
      </c>
      <c r="BI136" s="59">
        <f ca="1">AVERAGE(OFFSET($BH$3,0,0,'Données projet'!$E$11+1,1))-AVERAGE(OFFSET($H$3,0,0,'Données projet'!$E$11+1,1))</f>
        <v>352.88552266225872</v>
      </c>
      <c r="BJ136" s="59">
        <f t="shared" si="146"/>
        <v>403.29115295154782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41.650166982196303</v>
      </c>
      <c r="BQ136" s="21">
        <f>EXP(-LN(2)/25)*BQ135+(1-EXP(-LN(2)/25))/(LN(2)/25)*Calculateur!BL136*Calculateur!BN136*VLOOKUP('Données projet'!$B$11,Paramètres!$A$1:$I$89,3,0)*0.475*44/12</f>
        <v>7.5107453429732534</v>
      </c>
      <c r="BR136" s="21">
        <f>EXP(-LN(2)/2)*BR135+(1-EXP(-LN(2)/2))/(LN(2)/2)*BL136*BO136*VLOOKUP('Données projet'!$B$11,Paramètres!$A$1:$I$89,3,0)*0.475*44/12</f>
        <v>4.9000409306151496E-10</v>
      </c>
      <c r="BS136" s="22">
        <f t="shared" si="117"/>
        <v>49.160912325659559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69.390379432750009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-1.0049916454590858E-13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297.1442218517625</v>
      </c>
      <c r="CE136" s="59">
        <f t="shared" si="148"/>
        <v>326.0112787126069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44.234151260281131</v>
      </c>
      <c r="CL136" s="21">
        <f>EXP(-LN(2)/25)*CL135+(1-EXP(-LN(2)/25))/(LN(2)/25)*Calculateur!CG136*Calculateur!CI136*VLOOKUP('Données projet'!$B$12,Paramètres!$A$1:$I$89,3,0)*0.475*44/12</f>
        <v>7.6445510160170009</v>
      </c>
      <c r="CM136" s="21">
        <f>EXP(-LN(2)/2)*CM135+(1-EXP(-LN(2)/2))/(LN(2)/2)*CG136*CJ136*VLOOKUP('Données projet'!$B$12,Paramètres!$A$1:$I$89,3,0)*0.475*44/12</f>
        <v>4.4166867722054813E-10</v>
      </c>
      <c r="CN136" s="22">
        <f t="shared" si="120"/>
        <v>51.878702276739794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69.390379432750009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2.2737367544323206E-13</v>
      </c>
      <c r="CU136" s="17">
        <f>CT136*VLOOKUP('Données projet'!$B$13,Paramètres!$A$1:$I$89,3,0)*VLOOKUP('Données projet'!$B$13,Paramètres!$A$1:$I$89,5,0)</f>
        <v>1.3596945791505279E-13</v>
      </c>
      <c r="CV136" s="13">
        <f t="shared" si="149"/>
        <v>1.9708830566360721E-12</v>
      </c>
      <c r="CW136" s="20">
        <f t="shared" si="121"/>
        <v>3.669434796176543E-12</v>
      </c>
      <c r="CX136" s="59">
        <f t="shared" si="122"/>
        <v>291.09805792008706</v>
      </c>
      <c r="CY136" s="59">
        <f ca="1">AVERAGE(OFFSET($CX$3,0,0,'Données projet'!$E$13+1,1))-AVERAGE(OFFSET($H$3,0,0,'Données projet'!$E$13+1,1))</f>
        <v>352.88552266225872</v>
      </c>
      <c r="CZ136" s="59">
        <f t="shared" si="150"/>
        <v>403.29115295154782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41.650166982196303</v>
      </c>
      <c r="DG136" s="21">
        <f>EXP(-LN(2)/25)*DG135+(1-EXP(-LN(2)/25))/(LN(2)/25)*Calculateur!DB136*Calculateur!DD136*VLOOKUP('Données projet'!$B$13,Paramètres!$A$1:$I$89,3,0)*0.475*44/12</f>
        <v>7.5107453429732534</v>
      </c>
      <c r="DH136" s="21">
        <f>EXP(-LN(2)/2)*DH135+(1-EXP(-LN(2)/2))/(LN(2)/2)*DB136*DE136*VLOOKUP('Données projet'!$B$13,Paramètres!$A$1:$I$89,3,0)*0.475*44/12</f>
        <v>4.9000409306151496E-10</v>
      </c>
      <c r="DI136" s="22">
        <f t="shared" si="123"/>
        <v>49.160912325659559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69.390379432750009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69.390379432750009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69.390379432750009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69.390379432750009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69.390379432750009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1.25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4.583333333333333</v>
      </c>
      <c r="H137" s="67">
        <f t="shared" si="110"/>
        <v>238.33333333333334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69.400954986684383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467.10712490977266</v>
      </c>
      <c r="T137" s="59">
        <f t="shared" si="142"/>
        <v>282.99426855025968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141.66810978414904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141.66810978414904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69.400954986684383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-5.1159076974727213E-13</v>
      </c>
      <c r="AJ137" s="13">
        <f>AI137*VLOOKUP('Données projet'!$B$10,Paramètres!$A$1:$I$89,3,0)*VLOOKUP('Données projet'!$B$10,Paramètres!$A$1:$I$89,5,0)</f>
        <v>-4.8682977649150421E-13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399.57236812003225</v>
      </c>
      <c r="AO137" s="59">
        <f t="shared" si="144"/>
        <v>245.95971136213691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99.142608676860448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99.142608676860448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69.400954986684383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2.2737367544323206E-13</v>
      </c>
      <c r="BE137" s="13">
        <f>BD137*VLOOKUP('Données projet'!$B$11,Paramètres!$A$1:$I$89,3,0)*VLOOKUP('Données projet'!$B$11,Paramètres!$A$1:$I$89,5,0)</f>
        <v>1.3596945791505279E-13</v>
      </c>
      <c r="BF137" s="13">
        <f t="shared" si="145"/>
        <v>1.9708830566360721E-12</v>
      </c>
      <c r="BG137" s="20">
        <f t="shared" si="115"/>
        <v>3.669434796176543E-12</v>
      </c>
      <c r="BH137" s="59">
        <f t="shared" si="116"/>
        <v>291.13683495117976</v>
      </c>
      <c r="BI137" s="59">
        <f ca="1">AVERAGE(OFFSET($BH$3,0,0,'Données projet'!$E$11+1,1))-AVERAGE(OFFSET($H$3,0,0,'Données projet'!$E$11+1,1))</f>
        <v>352.88552266225872</v>
      </c>
      <c r="BJ137" s="59">
        <f t="shared" si="146"/>
        <v>403.29115295154782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40.833432611768849</v>
      </c>
      <c r="BQ137" s="21">
        <f>EXP(-LN(2)/25)*BQ136+(1-EXP(-LN(2)/25))/(LN(2)/25)*Calculateur!BL137*Calculateur!BN137*VLOOKUP('Données projet'!$B$11,Paramètres!$A$1:$I$89,3,0)*0.475*44/12</f>
        <v>7.3053636165967184</v>
      </c>
      <c r="BR137" s="21">
        <f>EXP(-LN(2)/2)*BR136+(1-EXP(-LN(2)/2))/(LN(2)/2)*BL137*BO137*VLOOKUP('Données projet'!$B$11,Paramètres!$A$1:$I$89,3,0)*0.475*44/12</f>
        <v>3.4648521701296133E-10</v>
      </c>
      <c r="BS137" s="22">
        <f t="shared" si="117"/>
        <v>48.138796228712046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69.400954986684383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-1.0049916454590858E-13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297.1442218517625</v>
      </c>
      <c r="CE137" s="59">
        <f t="shared" si="148"/>
        <v>326.0112787126069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43.366746534235219</v>
      </c>
      <c r="CL137" s="21">
        <f>EXP(-LN(2)/25)*CL136+(1-EXP(-LN(2)/25))/(LN(2)/25)*Calculateur!CG137*Calculateur!CI137*VLOOKUP('Données projet'!$B$12,Paramètres!$A$1:$I$89,3,0)*0.475*44/12</f>
        <v>7.4355103664745501</v>
      </c>
      <c r="CM137" s="21">
        <f>EXP(-LN(2)/2)*CM136+(1-EXP(-LN(2)/2))/(LN(2)/2)*CG137*CJ137*VLOOKUP('Données projet'!$B$12,Paramètres!$A$1:$I$89,3,0)*0.475*44/12</f>
        <v>3.1230691670034201E-10</v>
      </c>
      <c r="CN137" s="22">
        <f t="shared" si="120"/>
        <v>50.802256901022076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69.400954986684383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2.2737367544323206E-13</v>
      </c>
      <c r="CU137" s="17">
        <f>CT137*VLOOKUP('Données projet'!$B$13,Paramètres!$A$1:$I$89,3,0)*VLOOKUP('Données projet'!$B$13,Paramètres!$A$1:$I$89,5,0)</f>
        <v>1.3596945791505279E-13</v>
      </c>
      <c r="CV137" s="13">
        <f t="shared" si="149"/>
        <v>1.9708830566360721E-12</v>
      </c>
      <c r="CW137" s="20">
        <f t="shared" si="121"/>
        <v>3.669434796176543E-12</v>
      </c>
      <c r="CX137" s="59">
        <f t="shared" si="122"/>
        <v>291.13683495117976</v>
      </c>
      <c r="CY137" s="59">
        <f ca="1">AVERAGE(OFFSET($CX$3,0,0,'Données projet'!$E$13+1,1))-AVERAGE(OFFSET($H$3,0,0,'Données projet'!$E$13+1,1))</f>
        <v>352.88552266225872</v>
      </c>
      <c r="CZ137" s="59">
        <f t="shared" si="150"/>
        <v>403.29115295154782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40.833432611768849</v>
      </c>
      <c r="DG137" s="21">
        <f>EXP(-LN(2)/25)*DG136+(1-EXP(-LN(2)/25))/(LN(2)/25)*Calculateur!DB137*Calculateur!DD137*VLOOKUP('Données projet'!$B$13,Paramètres!$A$1:$I$89,3,0)*0.475*44/12</f>
        <v>7.3053636165967184</v>
      </c>
      <c r="DH137" s="21">
        <f>EXP(-LN(2)/2)*DH136+(1-EXP(-LN(2)/2))/(LN(2)/2)*DB137*DE137*VLOOKUP('Données projet'!$B$13,Paramètres!$A$1:$I$89,3,0)*0.475*44/12</f>
        <v>3.4648521701296133E-10</v>
      </c>
      <c r="DI137" s="22">
        <f t="shared" si="123"/>
        <v>48.138796228712046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69.400954986684383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69.400954986684383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69.400954986684383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69.400954986684383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69.400954986684383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1.25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4.583333333333333</v>
      </c>
      <c r="H138" s="67">
        <f t="shared" si="110"/>
        <v>238.33333333333334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69.411347078401391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467.10712490977266</v>
      </c>
      <c r="T138" s="59">
        <f t="shared" si="142"/>
        <v>282.99426855025968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138.89008456029666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138.89008456029666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69.411347078401391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-5.1159076974727213E-13</v>
      </c>
      <c r="AJ138" s="13">
        <f>AI138*VLOOKUP('Données projet'!$B$10,Paramètres!$A$1:$I$89,3,0)*VLOOKUP('Données projet'!$B$10,Paramètres!$A$1:$I$89,5,0)</f>
        <v>-4.8682977649150421E-13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399.57236812003225</v>
      </c>
      <c r="AO138" s="59">
        <f t="shared" si="144"/>
        <v>245.95971136213691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97.198482591727483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97.198482591727483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69.411347078401391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2.2737367544323206E-13</v>
      </c>
      <c r="BE138" s="13">
        <f>BD138*VLOOKUP('Données projet'!$B$11,Paramètres!$A$1:$I$89,3,0)*VLOOKUP('Données projet'!$B$11,Paramètres!$A$1:$I$89,5,0)</f>
        <v>1.3596945791505279E-13</v>
      </c>
      <c r="BF138" s="13">
        <f t="shared" si="145"/>
        <v>1.9708830566360721E-12</v>
      </c>
      <c r="BG138" s="20">
        <f t="shared" si="115"/>
        <v>3.669434796176543E-12</v>
      </c>
      <c r="BH138" s="59">
        <f t="shared" si="116"/>
        <v>291.17493928747547</v>
      </c>
      <c r="BI138" s="59">
        <f ca="1">AVERAGE(OFFSET($BH$3,0,0,'Données projet'!$E$11+1,1))-AVERAGE(OFFSET($H$3,0,0,'Données projet'!$E$11+1,1))</f>
        <v>352.88552266225872</v>
      </c>
      <c r="BJ138" s="59">
        <f t="shared" si="146"/>
        <v>403.29115295154782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40.0327139041867</v>
      </c>
      <c r="BQ138" s="21">
        <f>EXP(-LN(2)/25)*BQ137+(1-EXP(-LN(2)/25))/(LN(2)/25)*Calculateur!BL138*Calculateur!BN138*VLOOKUP('Données projet'!$B$11,Paramètres!$A$1:$I$89,3,0)*0.475*44/12</f>
        <v>7.1055980643285048</v>
      </c>
      <c r="BR138" s="21">
        <f>EXP(-LN(2)/2)*BR137+(1-EXP(-LN(2)/2))/(LN(2)/2)*BL138*BO138*VLOOKUP('Données projet'!$B$11,Paramètres!$A$1:$I$89,3,0)*0.475*44/12</f>
        <v>2.4500204653075748E-10</v>
      </c>
      <c r="BS138" s="22">
        <f t="shared" si="117"/>
        <v>47.138311968760206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69.411347078401391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-1.0049916454590858E-13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297.1442218517625</v>
      </c>
      <c r="CE138" s="59">
        <f t="shared" si="148"/>
        <v>326.0112787126069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42.51635108580242</v>
      </c>
      <c r="CL138" s="21">
        <f>EXP(-LN(2)/25)*CL137+(1-EXP(-LN(2)/25))/(LN(2)/25)*Calculateur!CG138*Calculateur!CI138*VLOOKUP('Données projet'!$B$12,Paramètres!$A$1:$I$89,3,0)*0.475*44/12</f>
        <v>7.2321859444868073</v>
      </c>
      <c r="CM138" s="21">
        <f>EXP(-LN(2)/2)*CM137+(1-EXP(-LN(2)/2))/(LN(2)/2)*CG138*CJ138*VLOOKUP('Données projet'!$B$12,Paramètres!$A$1:$I$89,3,0)*0.475*44/12</f>
        <v>2.2083433861027407E-10</v>
      </c>
      <c r="CN138" s="22">
        <f t="shared" si="120"/>
        <v>49.748537030510064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69.411347078401391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2.2737367544323206E-13</v>
      </c>
      <c r="CU138" s="17">
        <f>CT138*VLOOKUP('Données projet'!$B$13,Paramètres!$A$1:$I$89,3,0)*VLOOKUP('Données projet'!$B$13,Paramètres!$A$1:$I$89,5,0)</f>
        <v>1.3596945791505279E-13</v>
      </c>
      <c r="CV138" s="13">
        <f t="shared" si="149"/>
        <v>1.9708830566360721E-12</v>
      </c>
      <c r="CW138" s="20">
        <f t="shared" si="121"/>
        <v>3.669434796176543E-12</v>
      </c>
      <c r="CX138" s="59">
        <f t="shared" si="122"/>
        <v>291.17493928747547</v>
      </c>
      <c r="CY138" s="59">
        <f ca="1">AVERAGE(OFFSET($CX$3,0,0,'Données projet'!$E$13+1,1))-AVERAGE(OFFSET($H$3,0,0,'Données projet'!$E$13+1,1))</f>
        <v>352.88552266225872</v>
      </c>
      <c r="CZ138" s="59">
        <f t="shared" si="150"/>
        <v>403.29115295154782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40.0327139041867</v>
      </c>
      <c r="DG138" s="21">
        <f>EXP(-LN(2)/25)*DG137+(1-EXP(-LN(2)/25))/(LN(2)/25)*Calculateur!DB138*Calculateur!DD138*VLOOKUP('Données projet'!$B$13,Paramètres!$A$1:$I$89,3,0)*0.475*44/12</f>
        <v>7.1055980643285048</v>
      </c>
      <c r="DH138" s="21">
        <f>EXP(-LN(2)/2)*DH137+(1-EXP(-LN(2)/2))/(LN(2)/2)*DB138*DE138*VLOOKUP('Données projet'!$B$13,Paramètres!$A$1:$I$89,3,0)*0.475*44/12</f>
        <v>2.4500204653075748E-10</v>
      </c>
      <c r="DI138" s="22">
        <f t="shared" si="123"/>
        <v>47.138311968760206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69.411347078401391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69.411347078401391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69.411347078401391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69.411347078401391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69.411347078401391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1.25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4.583333333333333</v>
      </c>
      <c r="H139" s="67">
        <f t="shared" si="110"/>
        <v>238.33333333333334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69.421558890560362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467.10712490977266</v>
      </c>
      <c r="T139" s="59">
        <f t="shared" si="142"/>
        <v>282.99426855025968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136.16653471665595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136.16653471665595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69.421558890560362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-5.1159076974727213E-13</v>
      </c>
      <c r="AJ139" s="13">
        <f>AI139*VLOOKUP('Données projet'!$B$10,Paramètres!$A$1:$I$89,3,0)*VLOOKUP('Données projet'!$B$10,Paramètres!$A$1:$I$89,5,0)</f>
        <v>-4.8682977649150421E-13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399.57236812003225</v>
      </c>
      <c r="AO139" s="59">
        <f t="shared" si="144"/>
        <v>245.95971136213691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95.292479633324163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95.292479633324163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69.421558890560362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2.2737367544323206E-13</v>
      </c>
      <c r="BE139" s="13">
        <f>BD139*VLOOKUP('Données projet'!$B$11,Paramètres!$A$1:$I$89,3,0)*VLOOKUP('Données projet'!$B$11,Paramètres!$A$1:$I$89,5,0)</f>
        <v>1.3596945791505279E-13</v>
      </c>
      <c r="BF139" s="13">
        <f t="shared" si="145"/>
        <v>1.9708830566360721E-12</v>
      </c>
      <c r="BG139" s="20">
        <f t="shared" si="115"/>
        <v>3.669434796176543E-12</v>
      </c>
      <c r="BH139" s="59">
        <f t="shared" si="116"/>
        <v>291.21238259872501</v>
      </c>
      <c r="BI139" s="59">
        <f ca="1">AVERAGE(OFFSET($BH$3,0,0,'Données projet'!$E$11+1,1))-AVERAGE(OFFSET($H$3,0,0,'Données projet'!$E$11+1,1))</f>
        <v>352.88552266225872</v>
      </c>
      <c r="BJ139" s="59">
        <f t="shared" si="146"/>
        <v>403.29115295154782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39.247696802070045</v>
      </c>
      <c r="BQ139" s="21">
        <f>EXP(-LN(2)/25)*BQ138+(1-EXP(-LN(2)/25))/(LN(2)/25)*Calculateur!BL139*Calculateur!BN139*VLOOKUP('Données projet'!$B$11,Paramètres!$A$1:$I$89,3,0)*0.475*44/12</f>
        <v>6.9112951115922794</v>
      </c>
      <c r="BR139" s="21">
        <f>EXP(-LN(2)/2)*BR138+(1-EXP(-LN(2)/2))/(LN(2)/2)*BL139*BO139*VLOOKUP('Données projet'!$B$11,Paramètres!$A$1:$I$89,3,0)*0.475*44/12</f>
        <v>1.7324260850648067E-10</v>
      </c>
      <c r="BS139" s="22">
        <f t="shared" si="117"/>
        <v>46.158991913835571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69.421558890560362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-1.0049916454590858E-13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297.1442218517625</v>
      </c>
      <c r="CE139" s="59">
        <f t="shared" si="148"/>
        <v>326.0112787126069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41.682631373423384</v>
      </c>
      <c r="CL139" s="21">
        <f>EXP(-LN(2)/25)*CL138+(1-EXP(-LN(2)/25))/(LN(2)/25)*Calculateur!CG139*Calculateur!CI139*VLOOKUP('Données projet'!$B$12,Paramètres!$A$1:$I$89,3,0)*0.475*44/12</f>
        <v>7.0344214395106865</v>
      </c>
      <c r="CM139" s="21">
        <f>EXP(-LN(2)/2)*CM138+(1-EXP(-LN(2)/2))/(LN(2)/2)*CG139*CJ139*VLOOKUP('Données projet'!$B$12,Paramètres!$A$1:$I$89,3,0)*0.475*44/12</f>
        <v>1.5615345835017101E-10</v>
      </c>
      <c r="CN139" s="22">
        <f t="shared" si="120"/>
        <v>48.717052813090227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69.421558890560362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2.2737367544323206E-13</v>
      </c>
      <c r="CU139" s="17">
        <f>CT139*VLOOKUP('Données projet'!$B$13,Paramètres!$A$1:$I$89,3,0)*VLOOKUP('Données projet'!$B$13,Paramètres!$A$1:$I$89,5,0)</f>
        <v>1.3596945791505279E-13</v>
      </c>
      <c r="CV139" s="13">
        <f t="shared" si="149"/>
        <v>1.9708830566360721E-12</v>
      </c>
      <c r="CW139" s="20">
        <f t="shared" si="121"/>
        <v>3.669434796176543E-12</v>
      </c>
      <c r="CX139" s="59">
        <f t="shared" si="122"/>
        <v>291.21238259872501</v>
      </c>
      <c r="CY139" s="59">
        <f ca="1">AVERAGE(OFFSET($CX$3,0,0,'Données projet'!$E$13+1,1))-AVERAGE(OFFSET($H$3,0,0,'Données projet'!$E$13+1,1))</f>
        <v>352.88552266225872</v>
      </c>
      <c r="CZ139" s="59">
        <f t="shared" si="150"/>
        <v>403.29115295154782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39.247696802070045</v>
      </c>
      <c r="DG139" s="21">
        <f>EXP(-LN(2)/25)*DG138+(1-EXP(-LN(2)/25))/(LN(2)/25)*Calculateur!DB139*Calculateur!DD139*VLOOKUP('Données projet'!$B$13,Paramètres!$A$1:$I$89,3,0)*0.475*44/12</f>
        <v>6.9112951115922794</v>
      </c>
      <c r="DH139" s="21">
        <f>EXP(-LN(2)/2)*DH138+(1-EXP(-LN(2)/2))/(LN(2)/2)*DB139*DE139*VLOOKUP('Données projet'!$B$13,Paramètres!$A$1:$I$89,3,0)*0.475*44/12</f>
        <v>1.7324260850648067E-10</v>
      </c>
      <c r="DI139" s="22">
        <f t="shared" si="123"/>
        <v>46.158991913835571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69.421558890560362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69.421558890560362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69.421558890560362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69.421558890560362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69.421558890560362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1.25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4.583333333333333</v>
      </c>
      <c r="H140" s="67">
        <f t="shared" si="110"/>
        <v>238.33333333333334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69.43159355060854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467.10712490977266</v>
      </c>
      <c r="T140" s="59">
        <f t="shared" si="142"/>
        <v>282.99426855025968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133.49639202424765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133.49639202424765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69.43159355060854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-5.1159076974727213E-13</v>
      </c>
      <c r="AJ140" s="13">
        <f>AI140*VLOOKUP('Données projet'!$B$10,Paramètres!$A$1:$I$89,3,0)*VLOOKUP('Données projet'!$B$10,Paramètres!$A$1:$I$89,5,0)</f>
        <v>-4.8682977649150421E-13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399.57236812003225</v>
      </c>
      <c r="AO140" s="59">
        <f t="shared" si="144"/>
        <v>245.95971136213691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93.423852230388121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93.423852230388121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69.43159355060854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2.2737367544323206E-13</v>
      </c>
      <c r="BE140" s="13">
        <f>BD140*VLOOKUP('Données projet'!$B$11,Paramètres!$A$1:$I$89,3,0)*VLOOKUP('Données projet'!$B$11,Paramètres!$A$1:$I$89,5,0)</f>
        <v>1.3596945791505279E-13</v>
      </c>
      <c r="BF140" s="13">
        <f t="shared" si="145"/>
        <v>1.9708830566360721E-12</v>
      </c>
      <c r="BG140" s="20">
        <f t="shared" si="115"/>
        <v>3.669434796176543E-12</v>
      </c>
      <c r="BH140" s="59">
        <f t="shared" si="116"/>
        <v>291.249176352235</v>
      </c>
      <c r="BI140" s="59">
        <f ca="1">AVERAGE(OFFSET($BH$3,0,0,'Données projet'!$E$11+1,1))-AVERAGE(OFFSET($H$3,0,0,'Données projet'!$E$11+1,1))</f>
        <v>352.88552266225872</v>
      </c>
      <c r="BJ140" s="59">
        <f t="shared" si="146"/>
        <v>403.29115295154782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38.478073406512749</v>
      </c>
      <c r="BQ140" s="21">
        <f>EXP(-LN(2)/25)*BQ139+(1-EXP(-LN(2)/25))/(LN(2)/25)*Calculateur!BL140*Calculateur!BN140*VLOOKUP('Données projet'!$B$11,Paramètres!$A$1:$I$89,3,0)*0.475*44/12</f>
        <v>6.7223053833165745</v>
      </c>
      <c r="BR140" s="21">
        <f>EXP(-LN(2)/2)*BR139+(1-EXP(-LN(2)/2))/(LN(2)/2)*BL140*BO140*VLOOKUP('Données projet'!$B$11,Paramètres!$A$1:$I$89,3,0)*0.475*44/12</f>
        <v>1.2250102326537874E-10</v>
      </c>
      <c r="BS140" s="22">
        <f t="shared" si="117"/>
        <v>45.20037878995182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69.43159355060854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-1.0049916454590858E-13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297.1442218517625</v>
      </c>
      <c r="CE140" s="59">
        <f t="shared" si="148"/>
        <v>326.0112787126069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40.86526039608529</v>
      </c>
      <c r="CL140" s="21">
        <f>EXP(-LN(2)/25)*CL139+(1-EXP(-LN(2)/25))/(LN(2)/25)*Calculateur!CG140*Calculateur!CI140*VLOOKUP('Données projet'!$B$12,Paramètres!$A$1:$I$89,3,0)*0.475*44/12</f>
        <v>6.8420648153231207</v>
      </c>
      <c r="CM140" s="21">
        <f>EXP(-LN(2)/2)*CM139+(1-EXP(-LN(2)/2))/(LN(2)/2)*CG140*CJ140*VLOOKUP('Données projet'!$B$12,Paramètres!$A$1:$I$89,3,0)*0.475*44/12</f>
        <v>1.1041716930513703E-10</v>
      </c>
      <c r="CN140" s="22">
        <f t="shared" si="120"/>
        <v>47.707325211518828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69.43159355060854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2.2737367544323206E-13</v>
      </c>
      <c r="CU140" s="17">
        <f>CT140*VLOOKUP('Données projet'!$B$13,Paramètres!$A$1:$I$89,3,0)*VLOOKUP('Données projet'!$B$13,Paramètres!$A$1:$I$89,5,0)</f>
        <v>1.3596945791505279E-13</v>
      </c>
      <c r="CV140" s="13">
        <f t="shared" si="149"/>
        <v>1.9708830566360721E-12</v>
      </c>
      <c r="CW140" s="20">
        <f t="shared" si="121"/>
        <v>3.669434796176543E-12</v>
      </c>
      <c r="CX140" s="59">
        <f t="shared" si="122"/>
        <v>291.249176352235</v>
      </c>
      <c r="CY140" s="59">
        <f ca="1">AVERAGE(OFFSET($CX$3,0,0,'Données projet'!$E$13+1,1))-AVERAGE(OFFSET($H$3,0,0,'Données projet'!$E$13+1,1))</f>
        <v>352.88552266225872</v>
      </c>
      <c r="CZ140" s="59">
        <f t="shared" si="150"/>
        <v>403.29115295154782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38.478073406512749</v>
      </c>
      <c r="DG140" s="21">
        <f>EXP(-LN(2)/25)*DG139+(1-EXP(-LN(2)/25))/(LN(2)/25)*Calculateur!DB140*Calculateur!DD140*VLOOKUP('Données projet'!$B$13,Paramètres!$A$1:$I$89,3,0)*0.475*44/12</f>
        <v>6.7223053833165745</v>
      </c>
      <c r="DH140" s="21">
        <f>EXP(-LN(2)/2)*DH139+(1-EXP(-LN(2)/2))/(LN(2)/2)*DB140*DE140*VLOOKUP('Données projet'!$B$13,Paramètres!$A$1:$I$89,3,0)*0.475*44/12</f>
        <v>1.2250102326537874E-10</v>
      </c>
      <c r="DI140" s="22">
        <f t="shared" si="123"/>
        <v>45.20037878995182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69.43159355060854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69.43159355060854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69.43159355060854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69.43159355060854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69.43159355060854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1.25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4.583333333333333</v>
      </c>
      <c r="H141" s="67">
        <f t="shared" si="110"/>
        <v>238.33333333333334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69.44145413173905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467.10712490977266</v>
      </c>
      <c r="T141" s="59">
        <f t="shared" si="142"/>
        <v>282.99426855025968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130.87860920141128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130.87860920141128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69.44145413173905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-5.1159076974727213E-13</v>
      </c>
      <c r="AJ141" s="13">
        <f>AI141*VLOOKUP('Données projet'!$B$10,Paramètres!$A$1:$I$89,3,0)*VLOOKUP('Données projet'!$B$10,Paramètres!$A$1:$I$89,5,0)</f>
        <v>-4.8682977649150421E-13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399.57236812003225</v>
      </c>
      <c r="AO141" s="59">
        <f t="shared" si="144"/>
        <v>245.95971136213691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91.591867471073471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91.591867471073471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69.44145413173905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2.2737367544323206E-13</v>
      </c>
      <c r="BE141" s="13">
        <f>BD141*VLOOKUP('Données projet'!$B$11,Paramètres!$A$1:$I$89,3,0)*VLOOKUP('Données projet'!$B$11,Paramètres!$A$1:$I$89,5,0)</f>
        <v>1.3596945791505279E-13</v>
      </c>
      <c r="BF141" s="13">
        <f t="shared" si="145"/>
        <v>1.9708830566360721E-12</v>
      </c>
      <c r="BG141" s="20">
        <f t="shared" si="115"/>
        <v>3.669434796176543E-12</v>
      </c>
      <c r="BH141" s="59">
        <f t="shared" si="116"/>
        <v>291.28533181638022</v>
      </c>
      <c r="BI141" s="59">
        <f ca="1">AVERAGE(OFFSET($BH$3,0,0,'Données projet'!$E$11+1,1))-AVERAGE(OFFSET($H$3,0,0,'Données projet'!$E$11+1,1))</f>
        <v>352.88552266225872</v>
      </c>
      <c r="BJ141" s="59">
        <f t="shared" si="146"/>
        <v>403.29115295154782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37.723541856318413</v>
      </c>
      <c r="BQ141" s="21">
        <f>EXP(-LN(2)/25)*BQ140+(1-EXP(-LN(2)/25))/(LN(2)/25)*Calculateur!BL141*Calculateur!BN141*VLOOKUP('Données projet'!$B$11,Paramètres!$A$1:$I$89,3,0)*0.475*44/12</f>
        <v>6.5384835890991067</v>
      </c>
      <c r="BR141" s="21">
        <f>EXP(-LN(2)/2)*BR140+(1-EXP(-LN(2)/2))/(LN(2)/2)*BL141*BO141*VLOOKUP('Données projet'!$B$11,Paramètres!$A$1:$I$89,3,0)*0.475*44/12</f>
        <v>8.6621304253240334E-11</v>
      </c>
      <c r="BS141" s="22">
        <f t="shared" si="117"/>
        <v>44.262025445504143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69.44145413173905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-1.0049916454590858E-13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297.1442218517625</v>
      </c>
      <c r="CE141" s="59">
        <f t="shared" si="148"/>
        <v>326.0112787126069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40.063917565065722</v>
      </c>
      <c r="CL141" s="21">
        <f>EXP(-LN(2)/25)*CL140+(1-EXP(-LN(2)/25))/(LN(2)/25)*Calculateur!CG141*Calculateur!CI141*VLOOKUP('Données projet'!$B$12,Paramètres!$A$1:$I$89,3,0)*0.475*44/12</f>
        <v>6.6549681931395588</v>
      </c>
      <c r="CM141" s="21">
        <f>EXP(-LN(2)/2)*CM140+(1-EXP(-LN(2)/2))/(LN(2)/2)*CG141*CJ141*VLOOKUP('Données projet'!$B$12,Paramètres!$A$1:$I$89,3,0)*0.475*44/12</f>
        <v>7.8076729175085503E-11</v>
      </c>
      <c r="CN141" s="22">
        <f t="shared" si="120"/>
        <v>46.718885758283356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69.44145413173905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2.2737367544323206E-13</v>
      </c>
      <c r="CU141" s="17">
        <f>CT141*VLOOKUP('Données projet'!$B$13,Paramètres!$A$1:$I$89,3,0)*VLOOKUP('Données projet'!$B$13,Paramètres!$A$1:$I$89,5,0)</f>
        <v>1.3596945791505279E-13</v>
      </c>
      <c r="CV141" s="13">
        <f t="shared" si="149"/>
        <v>1.9708830566360721E-12</v>
      </c>
      <c r="CW141" s="20">
        <f t="shared" si="121"/>
        <v>3.669434796176543E-12</v>
      </c>
      <c r="CX141" s="59">
        <f t="shared" si="122"/>
        <v>291.28533181638022</v>
      </c>
      <c r="CY141" s="59">
        <f ca="1">AVERAGE(OFFSET($CX$3,0,0,'Données projet'!$E$13+1,1))-AVERAGE(OFFSET($H$3,0,0,'Données projet'!$E$13+1,1))</f>
        <v>352.88552266225872</v>
      </c>
      <c r="CZ141" s="59">
        <f t="shared" si="150"/>
        <v>403.29115295154782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37.723541856318413</v>
      </c>
      <c r="DG141" s="21">
        <f>EXP(-LN(2)/25)*DG140+(1-EXP(-LN(2)/25))/(LN(2)/25)*Calculateur!DB141*Calculateur!DD141*VLOOKUP('Données projet'!$B$13,Paramètres!$A$1:$I$89,3,0)*0.475*44/12</f>
        <v>6.5384835890991067</v>
      </c>
      <c r="DH141" s="21">
        <f>EXP(-LN(2)/2)*DH140+(1-EXP(-LN(2)/2))/(LN(2)/2)*DB141*DE141*VLOOKUP('Données projet'!$B$13,Paramètres!$A$1:$I$89,3,0)*0.475*44/12</f>
        <v>8.6621304253240334E-11</v>
      </c>
      <c r="DI141" s="22">
        <f t="shared" si="123"/>
        <v>44.262025445504143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69.44145413173905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69.44145413173905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69.44145413173905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69.44145413173905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69.44145413173905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1.25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4.583333333333333</v>
      </c>
      <c r="H142" s="67">
        <f t="shared" si="110"/>
        <v>238.33333333333334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69.451143653831878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467.10712490977266</v>
      </c>
      <c r="T142" s="59">
        <f t="shared" si="142"/>
        <v>282.99426855025968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128.31215950304085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128.31215950304085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69.451143653831878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-5.1159076974727213E-13</v>
      </c>
      <c r="AJ142" s="13">
        <f>AI142*VLOOKUP('Données projet'!$B$10,Paramètres!$A$1:$I$89,3,0)*VLOOKUP('Données projet'!$B$10,Paramètres!$A$1:$I$89,5,0)</f>
        <v>-4.8682977649150421E-13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399.57236812003225</v>
      </c>
      <c r="AO142" s="59">
        <f t="shared" si="144"/>
        <v>245.95971136213691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89.795806815488618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89.795806815488618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69.451143653831878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2.2737367544323206E-13</v>
      </c>
      <c r="BE142" s="13">
        <f>BD142*VLOOKUP('Données projet'!$B$11,Paramètres!$A$1:$I$89,3,0)*VLOOKUP('Données projet'!$B$11,Paramètres!$A$1:$I$89,5,0)</f>
        <v>1.3596945791505279E-13</v>
      </c>
      <c r="BF142" s="13">
        <f t="shared" si="145"/>
        <v>1.9708830566360721E-12</v>
      </c>
      <c r="BG142" s="20">
        <f t="shared" si="115"/>
        <v>3.669434796176543E-12</v>
      </c>
      <c r="BH142" s="59">
        <f t="shared" si="116"/>
        <v>291.32086006405393</v>
      </c>
      <c r="BI142" s="59">
        <f ca="1">AVERAGE(OFFSET($BH$3,0,0,'Données projet'!$E$11+1,1))-AVERAGE(OFFSET($H$3,0,0,'Données projet'!$E$11+1,1))</f>
        <v>352.88552266225872</v>
      </c>
      <c r="BJ142" s="59">
        <f t="shared" si="146"/>
        <v>403.29115295154782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36.98380620960458</v>
      </c>
      <c r="BQ142" s="21">
        <f>EXP(-LN(2)/25)*BQ141+(1-EXP(-LN(2)/25))/(LN(2)/25)*Calculateur!BL142*Calculateur!BN142*VLOOKUP('Données projet'!$B$11,Paramètres!$A$1:$I$89,3,0)*0.475*44/12</f>
        <v>6.3596884115112839</v>
      </c>
      <c r="BR142" s="21">
        <f>EXP(-LN(2)/2)*BR141+(1-EXP(-LN(2)/2))/(LN(2)/2)*BL142*BO142*VLOOKUP('Données projet'!$B$11,Paramètres!$A$1:$I$89,3,0)*0.475*44/12</f>
        <v>6.125051163268937E-11</v>
      </c>
      <c r="BS142" s="22">
        <f t="shared" si="117"/>
        <v>43.343494621177115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69.451143653831878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-1.0049916454590858E-13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297.1442218517625</v>
      </c>
      <c r="CE142" s="59">
        <f t="shared" si="148"/>
        <v>326.0112787126069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39.278288578191585</v>
      </c>
      <c r="CL142" s="21">
        <f>EXP(-LN(2)/25)*CL141+(1-EXP(-LN(2)/25))/(LN(2)/25)*Calculateur!CG142*Calculateur!CI142*VLOOKUP('Données projet'!$B$12,Paramètres!$A$1:$I$89,3,0)*0.475*44/12</f>
        <v>6.4729877379285901</v>
      </c>
      <c r="CM142" s="21">
        <f>EXP(-LN(2)/2)*CM141+(1-EXP(-LN(2)/2))/(LN(2)/2)*CG142*CJ142*VLOOKUP('Données projet'!$B$12,Paramètres!$A$1:$I$89,3,0)*0.475*44/12</f>
        <v>5.5208584652568517E-11</v>
      </c>
      <c r="CN142" s="22">
        <f t="shared" si="120"/>
        <v>45.751276316175385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69.451143653831878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2.2737367544323206E-13</v>
      </c>
      <c r="CU142" s="17">
        <f>CT142*VLOOKUP('Données projet'!$B$13,Paramètres!$A$1:$I$89,3,0)*VLOOKUP('Données projet'!$B$13,Paramètres!$A$1:$I$89,5,0)</f>
        <v>1.3596945791505279E-13</v>
      </c>
      <c r="CV142" s="13">
        <f t="shared" si="149"/>
        <v>1.9708830566360721E-12</v>
      </c>
      <c r="CW142" s="20">
        <f t="shared" si="121"/>
        <v>3.669434796176543E-12</v>
      </c>
      <c r="CX142" s="59">
        <f t="shared" si="122"/>
        <v>291.32086006405393</v>
      </c>
      <c r="CY142" s="59">
        <f ca="1">AVERAGE(OFFSET($CX$3,0,0,'Données projet'!$E$13+1,1))-AVERAGE(OFFSET($H$3,0,0,'Données projet'!$E$13+1,1))</f>
        <v>352.88552266225872</v>
      </c>
      <c r="CZ142" s="59">
        <f t="shared" si="150"/>
        <v>403.29115295154782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36.98380620960458</v>
      </c>
      <c r="DG142" s="21">
        <f>EXP(-LN(2)/25)*DG141+(1-EXP(-LN(2)/25))/(LN(2)/25)*Calculateur!DB142*Calculateur!DD142*VLOOKUP('Données projet'!$B$13,Paramètres!$A$1:$I$89,3,0)*0.475*44/12</f>
        <v>6.3596884115112839</v>
      </c>
      <c r="DH142" s="21">
        <f>EXP(-LN(2)/2)*DH141+(1-EXP(-LN(2)/2))/(LN(2)/2)*DB142*DE142*VLOOKUP('Données projet'!$B$13,Paramètres!$A$1:$I$89,3,0)*0.475*44/12</f>
        <v>6.125051163268937E-11</v>
      </c>
      <c r="DI142" s="22">
        <f t="shared" si="123"/>
        <v>43.343494621177115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69.451143653831878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69.451143653831878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69.451143653831878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69.451143653831878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69.451143653831878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1.25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4.583333333333333</v>
      </c>
      <c r="H143" s="67">
        <f t="shared" si="110"/>
        <v>238.33333333333334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69.460665084378931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467.10712490977266</v>
      </c>
      <c r="T143" s="59">
        <f t="shared" si="142"/>
        <v>282.99426855025968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125.79603631787572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125.79603631787572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69.460665084378931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-5.1159076974727213E-13</v>
      </c>
      <c r="AJ143" s="13">
        <f>AI143*VLOOKUP('Données projet'!$B$10,Paramètres!$A$1:$I$89,3,0)*VLOOKUP('Données projet'!$B$10,Paramètres!$A$1:$I$89,5,0)</f>
        <v>-4.8682977649150421E-13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399.57236812003225</v>
      </c>
      <c r="AO143" s="59">
        <f t="shared" si="144"/>
        <v>245.95971136213691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88.034965813870954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88.034965813870954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69.460665084378931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2.2737367544323206E-13</v>
      </c>
      <c r="BE143" s="13">
        <f>BD143*VLOOKUP('Données projet'!$B$11,Paramètres!$A$1:$I$89,3,0)*VLOOKUP('Données projet'!$B$11,Paramètres!$A$1:$I$89,5,0)</f>
        <v>1.3596945791505279E-13</v>
      </c>
      <c r="BF143" s="13">
        <f t="shared" si="145"/>
        <v>1.9708830566360721E-12</v>
      </c>
      <c r="BG143" s="20">
        <f t="shared" si="115"/>
        <v>3.669434796176543E-12</v>
      </c>
      <c r="BH143" s="59">
        <f t="shared" si="116"/>
        <v>291.35577197605977</v>
      </c>
      <c r="BI143" s="59">
        <f ca="1">AVERAGE(OFFSET($BH$3,0,0,'Données projet'!$E$11+1,1))-AVERAGE(OFFSET($H$3,0,0,'Données projet'!$E$11+1,1))</f>
        <v>352.88552266225872</v>
      </c>
      <c r="BJ143" s="59">
        <f t="shared" si="146"/>
        <v>403.29115295154782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36.258576327728612</v>
      </c>
      <c r="BQ143" s="21">
        <f>EXP(-LN(2)/25)*BQ142+(1-EXP(-LN(2)/25))/(LN(2)/25)*Calculateur!BL143*Calculateur!BN143*VLOOKUP('Données projet'!$B$11,Paramètres!$A$1:$I$89,3,0)*0.475*44/12</f>
        <v>6.1857823974570296</v>
      </c>
      <c r="BR143" s="21">
        <f>EXP(-LN(2)/2)*BR142+(1-EXP(-LN(2)/2))/(LN(2)/2)*BL143*BO143*VLOOKUP('Données projet'!$B$11,Paramètres!$A$1:$I$89,3,0)*0.475*44/12</f>
        <v>4.3310652126620167E-11</v>
      </c>
      <c r="BS143" s="22">
        <f t="shared" si="117"/>
        <v>42.444358725228952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69.460665084378931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-1.0049916454590858E-13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297.1442218517625</v>
      </c>
      <c r="CE143" s="59">
        <f t="shared" si="148"/>
        <v>326.0112787126069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38.508065296563686</v>
      </c>
      <c r="CL143" s="21">
        <f>EXP(-LN(2)/25)*CL142+(1-EXP(-LN(2)/25))/(LN(2)/25)*Calculateur!CG143*Calculateur!CI143*VLOOKUP('Données projet'!$B$12,Paramètres!$A$1:$I$89,3,0)*0.475*44/12</f>
        <v>6.2959835478353021</v>
      </c>
      <c r="CM143" s="21">
        <f>EXP(-LN(2)/2)*CM142+(1-EXP(-LN(2)/2))/(LN(2)/2)*CG143*CJ143*VLOOKUP('Données projet'!$B$12,Paramètres!$A$1:$I$89,3,0)*0.475*44/12</f>
        <v>3.9038364587542752E-11</v>
      </c>
      <c r="CN143" s="22">
        <f t="shared" si="120"/>
        <v>44.804048844438029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69.460665084378931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2.2737367544323206E-13</v>
      </c>
      <c r="CU143" s="17">
        <f>CT143*VLOOKUP('Données projet'!$B$13,Paramètres!$A$1:$I$89,3,0)*VLOOKUP('Données projet'!$B$13,Paramètres!$A$1:$I$89,5,0)</f>
        <v>1.3596945791505279E-13</v>
      </c>
      <c r="CV143" s="13">
        <f t="shared" si="149"/>
        <v>1.9708830566360721E-12</v>
      </c>
      <c r="CW143" s="20">
        <f t="shared" si="121"/>
        <v>3.669434796176543E-12</v>
      </c>
      <c r="CX143" s="59">
        <f t="shared" si="122"/>
        <v>291.35577197605977</v>
      </c>
      <c r="CY143" s="59">
        <f ca="1">AVERAGE(OFFSET($CX$3,0,0,'Données projet'!$E$13+1,1))-AVERAGE(OFFSET($H$3,0,0,'Données projet'!$E$13+1,1))</f>
        <v>352.88552266225872</v>
      </c>
      <c r="CZ143" s="59">
        <f t="shared" si="150"/>
        <v>403.29115295154782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36.258576327728612</v>
      </c>
      <c r="DG143" s="21">
        <f>EXP(-LN(2)/25)*DG142+(1-EXP(-LN(2)/25))/(LN(2)/25)*Calculateur!DB143*Calculateur!DD143*VLOOKUP('Données projet'!$B$13,Paramètres!$A$1:$I$89,3,0)*0.475*44/12</f>
        <v>6.1857823974570296</v>
      </c>
      <c r="DH143" s="21">
        <f>EXP(-LN(2)/2)*DH142+(1-EXP(-LN(2)/2))/(LN(2)/2)*DB143*DE143*VLOOKUP('Données projet'!$B$13,Paramètres!$A$1:$I$89,3,0)*0.475*44/12</f>
        <v>4.3310652126620167E-11</v>
      </c>
      <c r="DI143" s="22">
        <f t="shared" si="123"/>
        <v>42.444358725228952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69.460665084378931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69.460665084378931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69.460665084378931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69.460665084378931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69.460665084378931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1.25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4.583333333333333</v>
      </c>
      <c r="H144" s="67">
        <f t="shared" si="110"/>
        <v>238.33333333333334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69.47002133939273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467.10712490977266</v>
      </c>
      <c r="T144" s="59">
        <f t="shared" si="142"/>
        <v>282.99426855025968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123.32925277368807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123.32925277368807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69.47002133939273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-5.1159076974727213E-13</v>
      </c>
      <c r="AJ144" s="13">
        <f>AI144*VLOOKUP('Données projet'!$B$10,Paramètres!$A$1:$I$89,3,0)*VLOOKUP('Données projet'!$B$10,Paramètres!$A$1:$I$89,5,0)</f>
        <v>-4.8682977649150421E-13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399.57236812003225</v>
      </c>
      <c r="AO144" s="59">
        <f t="shared" si="144"/>
        <v>245.95971136213691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86.308653830288051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86.308653830288051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69.47002133939273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2.2737367544323206E-13</v>
      </c>
      <c r="BE144" s="13">
        <f>BD144*VLOOKUP('Données projet'!$B$11,Paramètres!$A$1:$I$89,3,0)*VLOOKUP('Données projet'!$B$11,Paramètres!$A$1:$I$89,5,0)</f>
        <v>1.3596945791505279E-13</v>
      </c>
      <c r="BF144" s="13">
        <f t="shared" si="145"/>
        <v>1.9708830566360721E-12</v>
      </c>
      <c r="BG144" s="20">
        <f t="shared" si="115"/>
        <v>3.669434796176543E-12</v>
      </c>
      <c r="BH144" s="59">
        <f t="shared" si="116"/>
        <v>291.39007824444371</v>
      </c>
      <c r="BI144" s="59">
        <f ca="1">AVERAGE(OFFSET($BH$3,0,0,'Données projet'!$E$11+1,1))-AVERAGE(OFFSET($H$3,0,0,'Données projet'!$E$11+1,1))</f>
        <v>352.88552266225872</v>
      </c>
      <c r="BJ144" s="59">
        <f t="shared" si="146"/>
        <v>403.29115295154782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35.547567761489688</v>
      </c>
      <c r="BQ144" s="21">
        <f>EXP(-LN(2)/25)*BQ143+(1-EXP(-LN(2)/25))/(LN(2)/25)*Calculateur!BL144*Calculateur!BN144*VLOOKUP('Données projet'!$B$11,Paramètres!$A$1:$I$89,3,0)*0.475*44/12</f>
        <v>6.0166318525024085</v>
      </c>
      <c r="BR144" s="21">
        <f>EXP(-LN(2)/2)*BR143+(1-EXP(-LN(2)/2))/(LN(2)/2)*BL144*BO144*VLOOKUP('Données projet'!$B$11,Paramètres!$A$1:$I$89,3,0)*0.475*44/12</f>
        <v>3.0625255816344685E-11</v>
      </c>
      <c r="BS144" s="22">
        <f t="shared" si="117"/>
        <v>41.564199614022719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69.47002133939273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-1.0049916454590858E-13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297.1442218517625</v>
      </c>
      <c r="CE144" s="59">
        <f t="shared" si="148"/>
        <v>326.0112787126069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37.752945623698693</v>
      </c>
      <c r="CL144" s="21">
        <f>EXP(-LN(2)/25)*CL143+(1-EXP(-LN(2)/25))/(LN(2)/25)*Calculateur!CG144*Calculateur!CI144*VLOOKUP('Données projet'!$B$12,Paramètres!$A$1:$I$89,3,0)*0.475*44/12</f>
        <v>6.1238195466283605</v>
      </c>
      <c r="CM144" s="21">
        <f>EXP(-LN(2)/2)*CM143+(1-EXP(-LN(2)/2))/(LN(2)/2)*CG144*CJ144*VLOOKUP('Données projet'!$B$12,Paramètres!$A$1:$I$89,3,0)*0.475*44/12</f>
        <v>2.7604292326284258E-11</v>
      </c>
      <c r="CN144" s="22">
        <f t="shared" si="120"/>
        <v>43.876765170354659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69.47002133939273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2.2737367544323206E-13</v>
      </c>
      <c r="CU144" s="17">
        <f>CT144*VLOOKUP('Données projet'!$B$13,Paramètres!$A$1:$I$89,3,0)*VLOOKUP('Données projet'!$B$13,Paramètres!$A$1:$I$89,5,0)</f>
        <v>1.3596945791505279E-13</v>
      </c>
      <c r="CV144" s="13">
        <f t="shared" si="149"/>
        <v>1.9708830566360721E-12</v>
      </c>
      <c r="CW144" s="20">
        <f t="shared" si="121"/>
        <v>3.669434796176543E-12</v>
      </c>
      <c r="CX144" s="59">
        <f t="shared" si="122"/>
        <v>291.39007824444371</v>
      </c>
      <c r="CY144" s="59">
        <f ca="1">AVERAGE(OFFSET($CX$3,0,0,'Données projet'!$E$13+1,1))-AVERAGE(OFFSET($H$3,0,0,'Données projet'!$E$13+1,1))</f>
        <v>352.88552266225872</v>
      </c>
      <c r="CZ144" s="59">
        <f t="shared" si="150"/>
        <v>403.29115295154782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35.547567761489688</v>
      </c>
      <c r="DG144" s="21">
        <f>EXP(-LN(2)/25)*DG143+(1-EXP(-LN(2)/25))/(LN(2)/25)*Calculateur!DB144*Calculateur!DD144*VLOOKUP('Données projet'!$B$13,Paramètres!$A$1:$I$89,3,0)*0.475*44/12</f>
        <v>6.0166318525024085</v>
      </c>
      <c r="DH144" s="21">
        <f>EXP(-LN(2)/2)*DH143+(1-EXP(-LN(2)/2))/(LN(2)/2)*DB144*DE144*VLOOKUP('Données projet'!$B$13,Paramètres!$A$1:$I$89,3,0)*0.475*44/12</f>
        <v>3.0625255816344685E-11</v>
      </c>
      <c r="DI144" s="22">
        <f t="shared" si="123"/>
        <v>41.564199614022719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69.47002133939273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69.47002133939273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69.47002133939273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69.47002133939273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69.47002133939273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1.25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4.583333333333333</v>
      </c>
      <c r="H145" s="67">
        <f t="shared" si="110"/>
        <v>238.33333333333334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69.479215284299485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467.10712490977266</v>
      </c>
      <c r="T145" s="59">
        <f t="shared" si="142"/>
        <v>282.99426855025968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120.91084135021254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120.91084135021254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69.479215284299485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-5.1159076974727213E-13</v>
      </c>
      <c r="AJ145" s="13">
        <f>AI145*VLOOKUP('Données projet'!$B$10,Paramètres!$A$1:$I$89,3,0)*VLOOKUP('Données projet'!$B$10,Paramètres!$A$1:$I$89,5,0)</f>
        <v>-4.8682977649150421E-13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399.57236812003225</v>
      </c>
      <c r="AO145" s="59">
        <f t="shared" si="144"/>
        <v>245.95971136213691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84.616193771756869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84.616193771756869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69.479215284299485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2.2737367544323206E-13</v>
      </c>
      <c r="BE145" s="13">
        <f>BD145*VLOOKUP('Données projet'!$B$11,Paramètres!$A$1:$I$89,3,0)*VLOOKUP('Données projet'!$B$11,Paramètres!$A$1:$I$89,5,0)</f>
        <v>1.3596945791505279E-13</v>
      </c>
      <c r="BF145" s="13">
        <f t="shared" si="145"/>
        <v>1.9708830566360721E-12</v>
      </c>
      <c r="BG145" s="20">
        <f t="shared" si="115"/>
        <v>3.669434796176543E-12</v>
      </c>
      <c r="BH145" s="59">
        <f t="shared" si="116"/>
        <v>291.42378937576848</v>
      </c>
      <c r="BI145" s="59">
        <f ca="1">AVERAGE(OFFSET($BH$3,0,0,'Données projet'!$E$11+1,1))-AVERAGE(OFFSET($H$3,0,0,'Données projet'!$E$11+1,1))</f>
        <v>352.88552266225872</v>
      </c>
      <c r="BJ145" s="59">
        <f t="shared" si="146"/>
        <v>403.29115295154782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34.850501639562303</v>
      </c>
      <c r="BQ145" s="21">
        <f>EXP(-LN(2)/25)*BQ144+(1-EXP(-LN(2)/25))/(LN(2)/25)*Calculateur!BL145*Calculateur!BN145*VLOOKUP('Données projet'!$B$11,Paramètres!$A$1:$I$89,3,0)*0.475*44/12</f>
        <v>5.852106738094812</v>
      </c>
      <c r="BR145" s="21">
        <f>EXP(-LN(2)/2)*BR144+(1-EXP(-LN(2)/2))/(LN(2)/2)*BL145*BO145*VLOOKUP('Données projet'!$B$11,Paramètres!$A$1:$I$89,3,0)*0.475*44/12</f>
        <v>2.1655326063310083E-11</v>
      </c>
      <c r="BS145" s="22">
        <f t="shared" si="117"/>
        <v>40.702608377678771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69.479215284299485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-1.0049916454590858E-13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297.1442218517625</v>
      </c>
      <c r="CE145" s="59">
        <f t="shared" si="148"/>
        <v>326.0112787126069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37.012633387041063</v>
      </c>
      <c r="CL145" s="21">
        <f>EXP(-LN(2)/25)*CL144+(1-EXP(-LN(2)/25))/(LN(2)/25)*Calculateur!CG145*Calculateur!CI145*VLOOKUP('Données projet'!$B$12,Paramètres!$A$1:$I$89,3,0)*0.475*44/12</f>
        <v>5.9563633790881338</v>
      </c>
      <c r="CM145" s="21">
        <f>EXP(-LN(2)/2)*CM144+(1-EXP(-LN(2)/2))/(LN(2)/2)*CG145*CJ145*VLOOKUP('Données projet'!$B$12,Paramètres!$A$1:$I$89,3,0)*0.475*44/12</f>
        <v>1.9519182293771376E-11</v>
      </c>
      <c r="CN145" s="22">
        <f t="shared" si="120"/>
        <v>42.968996766148713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69.479215284299485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2.2737367544323206E-13</v>
      </c>
      <c r="CU145" s="17">
        <f>CT145*VLOOKUP('Données projet'!$B$13,Paramètres!$A$1:$I$89,3,0)*VLOOKUP('Données projet'!$B$13,Paramètres!$A$1:$I$89,5,0)</f>
        <v>1.3596945791505279E-13</v>
      </c>
      <c r="CV145" s="13">
        <f t="shared" si="149"/>
        <v>1.9708830566360721E-12</v>
      </c>
      <c r="CW145" s="20">
        <f t="shared" si="121"/>
        <v>3.669434796176543E-12</v>
      </c>
      <c r="CX145" s="59">
        <f t="shared" si="122"/>
        <v>291.42378937576848</v>
      </c>
      <c r="CY145" s="59">
        <f ca="1">AVERAGE(OFFSET($CX$3,0,0,'Données projet'!$E$13+1,1))-AVERAGE(OFFSET($H$3,0,0,'Données projet'!$E$13+1,1))</f>
        <v>352.88552266225872</v>
      </c>
      <c r="CZ145" s="59">
        <f t="shared" si="150"/>
        <v>403.29115295154782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34.850501639562303</v>
      </c>
      <c r="DG145" s="21">
        <f>EXP(-LN(2)/25)*DG144+(1-EXP(-LN(2)/25))/(LN(2)/25)*Calculateur!DB145*Calculateur!DD145*VLOOKUP('Données projet'!$B$13,Paramètres!$A$1:$I$89,3,0)*0.475*44/12</f>
        <v>5.852106738094812</v>
      </c>
      <c r="DH145" s="21">
        <f>EXP(-LN(2)/2)*DH144+(1-EXP(-LN(2)/2))/(LN(2)/2)*DB145*DE145*VLOOKUP('Données projet'!$B$13,Paramètres!$A$1:$I$89,3,0)*0.475*44/12</f>
        <v>2.1655326063310083E-11</v>
      </c>
      <c r="DI145" s="22">
        <f t="shared" si="123"/>
        <v>40.702608377678771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69.479215284299485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69.479215284299485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69.479215284299485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69.479215284299485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69.479215284299485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1.25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4.583333333333333</v>
      </c>
      <c r="H146" s="67">
        <f t="shared" si="110"/>
        <v>238.33333333333334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69.488249734816691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467.10712490977266</v>
      </c>
      <c r="T146" s="59">
        <f t="shared" si="142"/>
        <v>282.99426855025968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118.53985349966605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118.53985349966605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69.488249734816691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-5.1159076974727213E-13</v>
      </c>
      <c r="AJ146" s="13">
        <f>AI146*VLOOKUP('Données projet'!$B$10,Paramètres!$A$1:$I$89,3,0)*VLOOKUP('Données projet'!$B$10,Paramètres!$A$1:$I$89,5,0)</f>
        <v>-4.8682977649150421E-13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399.57236812003225</v>
      </c>
      <c r="AO146" s="59">
        <f t="shared" si="144"/>
        <v>245.95971136213691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82.956921822674772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82.956921822674772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69.488249734816691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2.2737367544323206E-13</v>
      </c>
      <c r="BE146" s="13">
        <f>BD146*VLOOKUP('Données projet'!$B$11,Paramètres!$A$1:$I$89,3,0)*VLOOKUP('Données projet'!$B$11,Paramètres!$A$1:$I$89,5,0)</f>
        <v>1.3596945791505279E-13</v>
      </c>
      <c r="BF146" s="13">
        <f t="shared" si="145"/>
        <v>1.9708830566360721E-12</v>
      </c>
      <c r="BG146" s="20">
        <f t="shared" si="115"/>
        <v>3.669434796176543E-12</v>
      </c>
      <c r="BH146" s="59">
        <f t="shared" si="116"/>
        <v>291.45691569433154</v>
      </c>
      <c r="BI146" s="59">
        <f ca="1">AVERAGE(OFFSET($BH$3,0,0,'Données projet'!$E$11+1,1))-AVERAGE(OFFSET($H$3,0,0,'Données projet'!$E$11+1,1))</f>
        <v>352.88552266225872</v>
      </c>
      <c r="BJ146" s="59">
        <f t="shared" si="146"/>
        <v>403.29115295154782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34.167104559117561</v>
      </c>
      <c r="BQ146" s="21">
        <f>EXP(-LN(2)/25)*BQ145+(1-EXP(-LN(2)/25))/(LN(2)/25)*Calculateur!BL146*Calculateur!BN146*VLOOKUP('Données projet'!$B$11,Paramètres!$A$1:$I$89,3,0)*0.475*44/12</f>
        <v>5.6920805715926912</v>
      </c>
      <c r="BR146" s="21">
        <f>EXP(-LN(2)/2)*BR145+(1-EXP(-LN(2)/2))/(LN(2)/2)*BL146*BO146*VLOOKUP('Données projet'!$B$11,Paramètres!$A$1:$I$89,3,0)*0.475*44/12</f>
        <v>1.5312627908172342E-11</v>
      </c>
      <c r="BS146" s="22">
        <f t="shared" si="117"/>
        <v>39.859185130725564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69.488249734816691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-1.0049916454590858E-13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297.1442218517625</v>
      </c>
      <c r="CE146" s="59">
        <f t="shared" si="148"/>
        <v>326.0112787126069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36.286838221798412</v>
      </c>
      <c r="CL146" s="21">
        <f>EXP(-LN(2)/25)*CL145+(1-EXP(-LN(2)/25))/(LN(2)/25)*Calculateur!CG146*Calculateur!CI146*VLOOKUP('Données projet'!$B$12,Paramètres!$A$1:$I$89,3,0)*0.475*44/12</f>
        <v>5.7934863092554325</v>
      </c>
      <c r="CM146" s="21">
        <f>EXP(-LN(2)/2)*CM145+(1-EXP(-LN(2)/2))/(LN(2)/2)*CG146*CJ146*VLOOKUP('Données projet'!$B$12,Paramètres!$A$1:$I$89,3,0)*0.475*44/12</f>
        <v>1.3802146163142129E-11</v>
      </c>
      <c r="CN146" s="22">
        <f t="shared" si="120"/>
        <v>42.080324531067646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69.488249734816691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2.2737367544323206E-13</v>
      </c>
      <c r="CU146" s="17">
        <f>CT146*VLOOKUP('Données projet'!$B$13,Paramètres!$A$1:$I$89,3,0)*VLOOKUP('Données projet'!$B$13,Paramètres!$A$1:$I$89,5,0)</f>
        <v>1.3596945791505279E-13</v>
      </c>
      <c r="CV146" s="13">
        <f t="shared" si="149"/>
        <v>1.9708830566360721E-12</v>
      </c>
      <c r="CW146" s="20">
        <f t="shared" si="121"/>
        <v>3.669434796176543E-12</v>
      </c>
      <c r="CX146" s="59">
        <f t="shared" si="122"/>
        <v>291.45691569433154</v>
      </c>
      <c r="CY146" s="59">
        <f ca="1">AVERAGE(OFFSET($CX$3,0,0,'Données projet'!$E$13+1,1))-AVERAGE(OFFSET($H$3,0,0,'Données projet'!$E$13+1,1))</f>
        <v>352.88552266225872</v>
      </c>
      <c r="CZ146" s="59">
        <f t="shared" si="150"/>
        <v>403.29115295154782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34.167104559117561</v>
      </c>
      <c r="DG146" s="21">
        <f>EXP(-LN(2)/25)*DG145+(1-EXP(-LN(2)/25))/(LN(2)/25)*Calculateur!DB146*Calculateur!DD146*VLOOKUP('Données projet'!$B$13,Paramètres!$A$1:$I$89,3,0)*0.475*44/12</f>
        <v>5.6920805715926912</v>
      </c>
      <c r="DH146" s="21">
        <f>EXP(-LN(2)/2)*DH145+(1-EXP(-LN(2)/2))/(LN(2)/2)*DB146*DE146*VLOOKUP('Données projet'!$B$13,Paramètres!$A$1:$I$89,3,0)*0.475*44/12</f>
        <v>1.5312627908172342E-11</v>
      </c>
      <c r="DI146" s="22">
        <f t="shared" si="123"/>
        <v>39.859185130725564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69.488249734816691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69.488249734816691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69.488249734816691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69.488249734816691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69.488249734816691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1.25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4.583333333333333</v>
      </c>
      <c r="H147" s="67">
        <f t="shared" si="110"/>
        <v>238.33333333333334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69.497127457815424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467.10712490977266</v>
      </c>
      <c r="T147" s="59">
        <f t="shared" si="142"/>
        <v>282.99426855025968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116.21535927470899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116.21535927470899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69.497127457815424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-5.1159076974727213E-13</v>
      </c>
      <c r="AJ147" s="13">
        <f>AI147*VLOOKUP('Données projet'!$B$10,Paramètres!$A$1:$I$89,3,0)*VLOOKUP('Données projet'!$B$10,Paramètres!$A$1:$I$89,5,0)</f>
        <v>-4.8682977649150421E-13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399.57236812003225</v>
      </c>
      <c r="AO147" s="59">
        <f t="shared" si="144"/>
        <v>245.95971136213691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81.330187184458225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81.330187184458225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69.497127457815424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2.2737367544323206E-13</v>
      </c>
      <c r="BE147" s="13">
        <f>BD147*VLOOKUP('Données projet'!$B$11,Paramètres!$A$1:$I$89,3,0)*VLOOKUP('Données projet'!$B$11,Paramètres!$A$1:$I$89,5,0)</f>
        <v>1.3596945791505279E-13</v>
      </c>
      <c r="BF147" s="13">
        <f t="shared" si="145"/>
        <v>1.9708830566360721E-12</v>
      </c>
      <c r="BG147" s="20">
        <f t="shared" si="115"/>
        <v>3.669434796176543E-12</v>
      </c>
      <c r="BH147" s="59">
        <f t="shared" si="116"/>
        <v>291.48946734532694</v>
      </c>
      <c r="BI147" s="59">
        <f ca="1">AVERAGE(OFFSET($BH$3,0,0,'Données projet'!$E$11+1,1))-AVERAGE(OFFSET($H$3,0,0,'Données projet'!$E$11+1,1))</f>
        <v>352.88552266225872</v>
      </c>
      <c r="BJ147" s="59">
        <f t="shared" si="146"/>
        <v>403.29115295154782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33.497108478589283</v>
      </c>
      <c r="BQ147" s="21">
        <f>EXP(-LN(2)/25)*BQ146+(1-EXP(-LN(2)/25))/(LN(2)/25)*Calculateur!BL147*Calculateur!BN147*VLOOKUP('Données projet'!$B$11,Paramètres!$A$1:$I$89,3,0)*0.475*44/12</f>
        <v>5.5364303290289811</v>
      </c>
      <c r="BR147" s="21">
        <f>EXP(-LN(2)/2)*BR146+(1-EXP(-LN(2)/2))/(LN(2)/2)*BL147*BO147*VLOOKUP('Données projet'!$B$11,Paramètres!$A$1:$I$89,3,0)*0.475*44/12</f>
        <v>1.0827663031655042E-11</v>
      </c>
      <c r="BS147" s="22">
        <f t="shared" si="117"/>
        <v>39.033538807629093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69.497127457815424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-1.0049916454590858E-13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297.1442218517625</v>
      </c>
      <c r="CE147" s="59">
        <f t="shared" si="148"/>
        <v>326.0112787126069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35.575275457054829</v>
      </c>
      <c r="CL147" s="21">
        <f>EXP(-LN(2)/25)*CL146+(1-EXP(-LN(2)/25))/(LN(2)/25)*Calculateur!CG147*Calculateur!CI147*VLOOKUP('Données projet'!$B$12,Paramètres!$A$1:$I$89,3,0)*0.475*44/12</f>
        <v>5.6350631214626388</v>
      </c>
      <c r="CM147" s="21">
        <f>EXP(-LN(2)/2)*CM146+(1-EXP(-LN(2)/2))/(LN(2)/2)*CG147*CJ147*VLOOKUP('Données projet'!$B$12,Paramètres!$A$1:$I$89,3,0)*0.475*44/12</f>
        <v>9.7595911468856879E-12</v>
      </c>
      <c r="CN147" s="22">
        <f t="shared" si="120"/>
        <v>41.210338578527228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69.497127457815424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2.2737367544323206E-13</v>
      </c>
      <c r="CU147" s="17">
        <f>CT147*VLOOKUP('Données projet'!$B$13,Paramètres!$A$1:$I$89,3,0)*VLOOKUP('Données projet'!$B$13,Paramètres!$A$1:$I$89,5,0)</f>
        <v>1.3596945791505279E-13</v>
      </c>
      <c r="CV147" s="13">
        <f t="shared" si="149"/>
        <v>1.9708830566360721E-12</v>
      </c>
      <c r="CW147" s="20">
        <f t="shared" si="121"/>
        <v>3.669434796176543E-12</v>
      </c>
      <c r="CX147" s="59">
        <f t="shared" si="122"/>
        <v>291.48946734532694</v>
      </c>
      <c r="CY147" s="59">
        <f ca="1">AVERAGE(OFFSET($CX$3,0,0,'Données projet'!$E$13+1,1))-AVERAGE(OFFSET($H$3,0,0,'Données projet'!$E$13+1,1))</f>
        <v>352.88552266225872</v>
      </c>
      <c r="CZ147" s="59">
        <f t="shared" si="150"/>
        <v>403.29115295154782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33.497108478589283</v>
      </c>
      <c r="DG147" s="21">
        <f>EXP(-LN(2)/25)*DG146+(1-EXP(-LN(2)/25))/(LN(2)/25)*Calculateur!DB147*Calculateur!DD147*VLOOKUP('Données projet'!$B$13,Paramètres!$A$1:$I$89,3,0)*0.475*44/12</f>
        <v>5.5364303290289811</v>
      </c>
      <c r="DH147" s="21">
        <f>EXP(-LN(2)/2)*DH146+(1-EXP(-LN(2)/2))/(LN(2)/2)*DB147*DE147*VLOOKUP('Données projet'!$B$13,Paramètres!$A$1:$I$89,3,0)*0.475*44/12</f>
        <v>1.0827663031655042E-11</v>
      </c>
      <c r="DI147" s="22">
        <f t="shared" si="123"/>
        <v>39.033538807629093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69.497127457815424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69.497127457815424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69.497127457815424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69.497127457815424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69.497127457815424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1.25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4.583333333333333</v>
      </c>
      <c r="H148" s="67">
        <f t="shared" si="110"/>
        <v>238.33333333333334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69.505851172167752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467.10712490977266</v>
      </c>
      <c r="T148" s="59">
        <f t="shared" si="142"/>
        <v>282.99426855025968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113.93644696370185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113.93644696370185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69.505851172167752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-5.1159076974727213E-13</v>
      </c>
      <c r="AJ148" s="13">
        <f>AI148*VLOOKUP('Données projet'!$B$10,Paramètres!$A$1:$I$89,3,0)*VLOOKUP('Données projet'!$B$10,Paramètres!$A$1:$I$89,5,0)</f>
        <v>-4.8682977649150421E-13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399.57236812003225</v>
      </c>
      <c r="AO148" s="59">
        <f t="shared" si="144"/>
        <v>245.95971136213691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79.735351820286951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79.735351820286951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69.505851172167752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2.2737367544323206E-13</v>
      </c>
      <c r="BE148" s="13">
        <f>BD148*VLOOKUP('Données projet'!$B$11,Paramètres!$A$1:$I$89,3,0)*VLOOKUP('Données projet'!$B$11,Paramètres!$A$1:$I$89,5,0)</f>
        <v>1.3596945791505279E-13</v>
      </c>
      <c r="BF148" s="13">
        <f t="shared" si="145"/>
        <v>1.9708830566360721E-12</v>
      </c>
      <c r="BG148" s="20">
        <f t="shared" si="115"/>
        <v>3.669434796176543E-12</v>
      </c>
      <c r="BH148" s="59">
        <f t="shared" si="116"/>
        <v>291.52145429795212</v>
      </c>
      <c r="BI148" s="59">
        <f ca="1">AVERAGE(OFFSET($BH$3,0,0,'Données projet'!$E$11+1,1))-AVERAGE(OFFSET($H$3,0,0,'Données projet'!$E$11+1,1))</f>
        <v>352.88552266225872</v>
      </c>
      <c r="BJ148" s="59">
        <f t="shared" si="146"/>
        <v>403.29115295154782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32.840250612542903</v>
      </c>
      <c r="BQ148" s="21">
        <f>EXP(-LN(2)/25)*BQ147+(1-EXP(-LN(2)/25))/(LN(2)/25)*Calculateur!BL148*Calculateur!BN148*VLOOKUP('Données projet'!$B$11,Paramètres!$A$1:$I$89,3,0)*0.475*44/12</f>
        <v>5.3850363505334666</v>
      </c>
      <c r="BR148" s="21">
        <f>EXP(-LN(2)/2)*BR147+(1-EXP(-LN(2)/2))/(LN(2)/2)*BL148*BO148*VLOOKUP('Données projet'!$B$11,Paramètres!$A$1:$I$89,3,0)*0.475*44/12</f>
        <v>7.6563139540861712E-12</v>
      </c>
      <c r="BS148" s="22">
        <f t="shared" si="117"/>
        <v>38.225286963084031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69.505851172167752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-1.0049916454590858E-13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297.1442218517625</v>
      </c>
      <c r="CE148" s="59">
        <f t="shared" si="148"/>
        <v>326.0112787126069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34.877666004117437</v>
      </c>
      <c r="CL148" s="21">
        <f>EXP(-LN(2)/25)*CL147+(1-EXP(-LN(2)/25))/(LN(2)/25)*Calculateur!CG148*Calculateur!CI148*VLOOKUP('Données projet'!$B$12,Paramètres!$A$1:$I$89,3,0)*0.475*44/12</f>
        <v>5.4809720240711526</v>
      </c>
      <c r="CM148" s="21">
        <f>EXP(-LN(2)/2)*CM147+(1-EXP(-LN(2)/2))/(LN(2)/2)*CG148*CJ148*VLOOKUP('Données projet'!$B$12,Paramètres!$A$1:$I$89,3,0)*0.475*44/12</f>
        <v>6.9010730815710646E-12</v>
      </c>
      <c r="CN148" s="22">
        <f t="shared" si="120"/>
        <v>40.358638028195486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69.505851172167752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2.2737367544323206E-13</v>
      </c>
      <c r="CU148" s="17">
        <f>CT148*VLOOKUP('Données projet'!$B$13,Paramètres!$A$1:$I$89,3,0)*VLOOKUP('Données projet'!$B$13,Paramètres!$A$1:$I$89,5,0)</f>
        <v>1.3596945791505279E-13</v>
      </c>
      <c r="CV148" s="13">
        <f t="shared" si="149"/>
        <v>1.9708830566360721E-12</v>
      </c>
      <c r="CW148" s="20">
        <f t="shared" si="121"/>
        <v>3.669434796176543E-12</v>
      </c>
      <c r="CX148" s="59">
        <f t="shared" si="122"/>
        <v>291.52145429795212</v>
      </c>
      <c r="CY148" s="59">
        <f ca="1">AVERAGE(OFFSET($CX$3,0,0,'Données projet'!$E$13+1,1))-AVERAGE(OFFSET($H$3,0,0,'Données projet'!$E$13+1,1))</f>
        <v>352.88552266225872</v>
      </c>
      <c r="CZ148" s="59">
        <f t="shared" si="150"/>
        <v>403.29115295154782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32.840250612542903</v>
      </c>
      <c r="DG148" s="21">
        <f>EXP(-LN(2)/25)*DG147+(1-EXP(-LN(2)/25))/(LN(2)/25)*Calculateur!DB148*Calculateur!DD148*VLOOKUP('Données projet'!$B$13,Paramètres!$A$1:$I$89,3,0)*0.475*44/12</f>
        <v>5.3850363505334666</v>
      </c>
      <c r="DH148" s="21">
        <f>EXP(-LN(2)/2)*DH147+(1-EXP(-LN(2)/2))/(LN(2)/2)*DB148*DE148*VLOOKUP('Données projet'!$B$13,Paramètres!$A$1:$I$89,3,0)*0.475*44/12</f>
        <v>7.6563139540861712E-12</v>
      </c>
      <c r="DI148" s="22">
        <f t="shared" si="123"/>
        <v>38.225286963084031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69.505851172167752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69.505851172167752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69.505851172167752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69.505851172167752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69.505851172167752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1.25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4.583333333333333</v>
      </c>
      <c r="H149" s="67">
        <f t="shared" si="110"/>
        <v>238.33333333333334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69.514423549579362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467.10712490977266</v>
      </c>
      <c r="T149" s="59">
        <f t="shared" si="142"/>
        <v>282.99426855025968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111.70222273311431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111.70222273311431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69.514423549579362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-5.1159076974727213E-13</v>
      </c>
      <c r="AJ149" s="13">
        <f>AI149*VLOOKUP('Données projet'!$B$10,Paramètres!$A$1:$I$89,3,0)*VLOOKUP('Données projet'!$B$10,Paramètres!$A$1:$I$89,5,0)</f>
        <v>-4.8682977649150421E-13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399.57236812003225</v>
      </c>
      <c r="AO149" s="59">
        <f t="shared" si="144"/>
        <v>245.95971136213691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78.171790204853551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78.171790204853551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69.514423549579362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2.2737367544323206E-13</v>
      </c>
      <c r="BE149" s="13">
        <f>BD149*VLOOKUP('Données projet'!$B$11,Paramètres!$A$1:$I$89,3,0)*VLOOKUP('Données projet'!$B$11,Paramètres!$A$1:$I$89,5,0)</f>
        <v>1.3596945791505279E-13</v>
      </c>
      <c r="BF149" s="13">
        <f t="shared" si="145"/>
        <v>1.9708830566360721E-12</v>
      </c>
      <c r="BG149" s="20">
        <f t="shared" si="115"/>
        <v>3.669434796176543E-12</v>
      </c>
      <c r="BH149" s="59">
        <f t="shared" si="116"/>
        <v>291.55288634846136</v>
      </c>
      <c r="BI149" s="59">
        <f ca="1">AVERAGE(OFFSET($BH$3,0,0,'Données projet'!$E$11+1,1))-AVERAGE(OFFSET($H$3,0,0,'Données projet'!$E$11+1,1))</f>
        <v>352.88552266225872</v>
      </c>
      <c r="BJ149" s="59">
        <f t="shared" si="146"/>
        <v>403.29115295154782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32.196273328605955</v>
      </c>
      <c r="BQ149" s="21">
        <f>EXP(-LN(2)/25)*BQ148+(1-EXP(-LN(2)/25))/(LN(2)/25)*Calculateur!BL149*Calculateur!BN149*VLOOKUP('Données projet'!$B$11,Paramètres!$A$1:$I$89,3,0)*0.475*44/12</f>
        <v>5.2377822483413752</v>
      </c>
      <c r="BR149" s="21">
        <f>EXP(-LN(2)/2)*BR148+(1-EXP(-LN(2)/2))/(LN(2)/2)*BL149*BO149*VLOOKUP('Données projet'!$B$11,Paramètres!$A$1:$I$89,3,0)*0.475*44/12</f>
        <v>5.4138315158275208E-12</v>
      </c>
      <c r="BS149" s="22">
        <f t="shared" si="117"/>
        <v>37.434055576952744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69.514423549579362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-1.0049916454590858E-13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297.1442218517625</v>
      </c>
      <c r="CE149" s="59">
        <f t="shared" si="148"/>
        <v>326.0112787126069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34.193736247052392</v>
      </c>
      <c r="CL149" s="21">
        <f>EXP(-LN(2)/25)*CL148+(1-EXP(-LN(2)/25))/(LN(2)/25)*Calculateur!CG149*Calculateur!CI149*VLOOKUP('Données projet'!$B$12,Paramètres!$A$1:$I$89,3,0)*0.475*44/12</f>
        <v>5.3310945558411351</v>
      </c>
      <c r="CM149" s="21">
        <f>EXP(-LN(2)/2)*CM148+(1-EXP(-LN(2)/2))/(LN(2)/2)*CG149*CJ149*VLOOKUP('Données projet'!$B$12,Paramètres!$A$1:$I$89,3,0)*0.475*44/12</f>
        <v>4.8797955734428439E-12</v>
      </c>
      <c r="CN149" s="22">
        <f t="shared" si="120"/>
        <v>39.524830802898407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69.514423549579362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2.2737367544323206E-13</v>
      </c>
      <c r="CU149" s="17">
        <f>CT149*VLOOKUP('Données projet'!$B$13,Paramètres!$A$1:$I$89,3,0)*VLOOKUP('Données projet'!$B$13,Paramètres!$A$1:$I$89,5,0)</f>
        <v>1.3596945791505279E-13</v>
      </c>
      <c r="CV149" s="13">
        <f t="shared" si="149"/>
        <v>1.9708830566360721E-12</v>
      </c>
      <c r="CW149" s="20">
        <f t="shared" si="121"/>
        <v>3.669434796176543E-12</v>
      </c>
      <c r="CX149" s="59">
        <f t="shared" si="122"/>
        <v>291.55288634846136</v>
      </c>
      <c r="CY149" s="59">
        <f ca="1">AVERAGE(OFFSET($CX$3,0,0,'Données projet'!$E$13+1,1))-AVERAGE(OFFSET($H$3,0,0,'Données projet'!$E$13+1,1))</f>
        <v>352.88552266225872</v>
      </c>
      <c r="CZ149" s="59">
        <f t="shared" si="150"/>
        <v>403.29115295154782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32.196273328605955</v>
      </c>
      <c r="DG149" s="21">
        <f>EXP(-LN(2)/25)*DG148+(1-EXP(-LN(2)/25))/(LN(2)/25)*Calculateur!DB149*Calculateur!DD149*VLOOKUP('Données projet'!$B$13,Paramètres!$A$1:$I$89,3,0)*0.475*44/12</f>
        <v>5.2377822483413752</v>
      </c>
      <c r="DH149" s="21">
        <f>EXP(-LN(2)/2)*DH148+(1-EXP(-LN(2)/2))/(LN(2)/2)*DB149*DE149*VLOOKUP('Données projet'!$B$13,Paramètres!$A$1:$I$89,3,0)*0.475*44/12</f>
        <v>5.4138315158275208E-12</v>
      </c>
      <c r="DI149" s="22">
        <f t="shared" si="123"/>
        <v>37.434055576952744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69.514423549579362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69.514423549579362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69.514423549579362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69.514423549579362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69.514423549579362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1.25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4.583333333333333</v>
      </c>
      <c r="H150" s="67">
        <f t="shared" si="110"/>
        <v>238.33333333333334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69.52284721540785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467.10712490977266</v>
      </c>
      <c r="T150" s="59">
        <f t="shared" si="142"/>
        <v>282.99426855025968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109.51181027694636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109.51181027694636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69.52284721540785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-5.1159076974727213E-13</v>
      </c>
      <c r="AJ150" s="13">
        <f>AI150*VLOOKUP('Données projet'!$B$10,Paramètres!$A$1:$I$89,3,0)*VLOOKUP('Données projet'!$B$10,Paramètres!$A$1:$I$89,5,0)</f>
        <v>-4.8682977649150421E-13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399.57236812003225</v>
      </c>
      <c r="AO150" s="59">
        <f t="shared" si="144"/>
        <v>245.95971136213691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76.638889079020373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76.638889079020373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69.52284721540785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2.2737367544323206E-13</v>
      </c>
      <c r="BE150" s="13">
        <f>BD150*VLOOKUP('Données projet'!$B$11,Paramètres!$A$1:$I$89,3,0)*VLOOKUP('Données projet'!$B$11,Paramètres!$A$1:$I$89,5,0)</f>
        <v>1.3596945791505279E-13</v>
      </c>
      <c r="BF150" s="13">
        <f t="shared" si="145"/>
        <v>1.9708830566360721E-12</v>
      </c>
      <c r="BG150" s="20">
        <f t="shared" si="115"/>
        <v>3.669434796176543E-12</v>
      </c>
      <c r="BH150" s="59">
        <f t="shared" si="116"/>
        <v>291.58377312316583</v>
      </c>
      <c r="BI150" s="59">
        <f ca="1">AVERAGE(OFFSET($BH$3,0,0,'Données projet'!$E$11+1,1))-AVERAGE(OFFSET($H$3,0,0,'Données projet'!$E$11+1,1))</f>
        <v>352.88552266225872</v>
      </c>
      <c r="BJ150" s="59">
        <f t="shared" si="146"/>
        <v>403.29115295154782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31.564924046419652</v>
      </c>
      <c r="BQ150" s="21">
        <f>EXP(-LN(2)/25)*BQ149+(1-EXP(-LN(2)/25))/(LN(2)/25)*Calculateur!BL150*Calculateur!BN150*VLOOKUP('Données projet'!$B$11,Paramètres!$A$1:$I$89,3,0)*0.475*44/12</f>
        <v>5.0945548173174826</v>
      </c>
      <c r="BR150" s="21">
        <f>EXP(-LN(2)/2)*BR149+(1-EXP(-LN(2)/2))/(LN(2)/2)*BL150*BO150*VLOOKUP('Données projet'!$B$11,Paramètres!$A$1:$I$89,3,0)*0.475*44/12</f>
        <v>3.8281569770430856E-12</v>
      </c>
      <c r="BS150" s="22">
        <f t="shared" si="117"/>
        <v>36.659478863740965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69.52284721540785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-1.0049916454590858E-13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297.1442218517625</v>
      </c>
      <c r="CE150" s="59">
        <f t="shared" si="148"/>
        <v>326.0112787126069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33.523217935367434</v>
      </c>
      <c r="CL150" s="21">
        <f>EXP(-LN(2)/25)*CL149+(1-EXP(-LN(2)/25))/(LN(2)/25)*Calculateur!CG150*Calculateur!CI150*VLOOKUP('Données projet'!$B$12,Paramètres!$A$1:$I$89,3,0)*0.475*44/12</f>
        <v>5.1853154948615812</v>
      </c>
      <c r="CM150" s="21">
        <f>EXP(-LN(2)/2)*CM149+(1-EXP(-LN(2)/2))/(LN(2)/2)*CG150*CJ150*VLOOKUP('Données projet'!$B$12,Paramètres!$A$1:$I$89,3,0)*0.475*44/12</f>
        <v>3.4505365407855323E-12</v>
      </c>
      <c r="CN150" s="22">
        <f t="shared" si="120"/>
        <v>38.708533430232471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69.52284721540785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2.2737367544323206E-13</v>
      </c>
      <c r="CU150" s="17">
        <f>CT150*VLOOKUP('Données projet'!$B$13,Paramètres!$A$1:$I$89,3,0)*VLOOKUP('Données projet'!$B$13,Paramètres!$A$1:$I$89,5,0)</f>
        <v>1.3596945791505279E-13</v>
      </c>
      <c r="CV150" s="13">
        <f t="shared" si="149"/>
        <v>1.9708830566360721E-12</v>
      </c>
      <c r="CW150" s="20">
        <f t="shared" si="121"/>
        <v>3.669434796176543E-12</v>
      </c>
      <c r="CX150" s="59">
        <f t="shared" si="122"/>
        <v>291.58377312316583</v>
      </c>
      <c r="CY150" s="59">
        <f ca="1">AVERAGE(OFFSET($CX$3,0,0,'Données projet'!$E$13+1,1))-AVERAGE(OFFSET($H$3,0,0,'Données projet'!$E$13+1,1))</f>
        <v>352.88552266225872</v>
      </c>
      <c r="CZ150" s="59">
        <f t="shared" si="150"/>
        <v>403.29115295154782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31.564924046419652</v>
      </c>
      <c r="DG150" s="21">
        <f>EXP(-LN(2)/25)*DG149+(1-EXP(-LN(2)/25))/(LN(2)/25)*Calculateur!DB150*Calculateur!DD150*VLOOKUP('Données projet'!$B$13,Paramètres!$A$1:$I$89,3,0)*0.475*44/12</f>
        <v>5.0945548173174826</v>
      </c>
      <c r="DH150" s="21">
        <f>EXP(-LN(2)/2)*DH149+(1-EXP(-LN(2)/2))/(LN(2)/2)*DB150*DE150*VLOOKUP('Données projet'!$B$13,Paramètres!$A$1:$I$89,3,0)*0.475*44/12</f>
        <v>3.8281569770430856E-12</v>
      </c>
      <c r="DI150" s="22">
        <f t="shared" si="123"/>
        <v>36.659478863740965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69.52284721540785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69.52284721540785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69.52284721540785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69.52284721540785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69.52284721540785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1.25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4.583333333333333</v>
      </c>
      <c r="H151" s="67">
        <f t="shared" si="110"/>
        <v>238.33333333333334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69.531124749466699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467.10712490977266</v>
      </c>
      <c r="T151" s="59">
        <f t="shared" si="142"/>
        <v>282.99426855025968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107.36435047302419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107.36435047302419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69.531124749466699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-5.1159076974727213E-13</v>
      </c>
      <c r="AJ151" s="13">
        <f>AI151*VLOOKUP('Données projet'!$B$10,Paramètres!$A$1:$I$89,3,0)*VLOOKUP('Données projet'!$B$10,Paramètres!$A$1:$I$89,5,0)</f>
        <v>-4.8682977649150421E-13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399.57236812003225</v>
      </c>
      <c r="AO151" s="59">
        <f t="shared" si="144"/>
        <v>245.95971136213691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75.136047209287426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75.136047209287426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69.531124749466699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2.2737367544323206E-13</v>
      </c>
      <c r="BE151" s="13">
        <f>BD151*VLOOKUP('Données projet'!$B$11,Paramètres!$A$1:$I$89,3,0)*VLOOKUP('Données projet'!$B$11,Paramètres!$A$1:$I$89,5,0)</f>
        <v>1.3596945791505279E-13</v>
      </c>
      <c r="BF151" s="13">
        <f t="shared" si="145"/>
        <v>1.9708830566360721E-12</v>
      </c>
      <c r="BG151" s="20">
        <f t="shared" si="115"/>
        <v>3.669434796176543E-12</v>
      </c>
      <c r="BH151" s="59">
        <f t="shared" si="116"/>
        <v>291.61412408138159</v>
      </c>
      <c r="BI151" s="59">
        <f ca="1">AVERAGE(OFFSET($BH$3,0,0,'Données projet'!$E$11+1,1))-AVERAGE(OFFSET($H$3,0,0,'Données projet'!$E$11+1,1))</f>
        <v>352.88552266225872</v>
      </c>
      <c r="BJ151" s="59">
        <f t="shared" si="146"/>
        <v>403.29115295154782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30.945955138571986</v>
      </c>
      <c r="BQ151" s="21">
        <f>EXP(-LN(2)/25)*BQ150+(1-EXP(-LN(2)/25))/(LN(2)/25)*Calculateur!BL151*Calculateur!BN151*VLOOKUP('Données projet'!$B$11,Paramètres!$A$1:$I$89,3,0)*0.475*44/12</f>
        <v>4.9552439479269417</v>
      </c>
      <c r="BR151" s="21">
        <f>EXP(-LN(2)/2)*BR150+(1-EXP(-LN(2)/2))/(LN(2)/2)*BL151*BO151*VLOOKUP('Données projet'!$B$11,Paramètres!$A$1:$I$89,3,0)*0.475*44/12</f>
        <v>2.7069157579137604E-12</v>
      </c>
      <c r="BS151" s="22">
        <f t="shared" si="117"/>
        <v>35.901199086501634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69.531124749466699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-1.0049916454590858E-13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297.1442218517625</v>
      </c>
      <c r="CE151" s="59">
        <f t="shared" si="148"/>
        <v>326.0112787126069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32.865848078798834</v>
      </c>
      <c r="CL151" s="21">
        <f>EXP(-LN(2)/25)*CL150+(1-EXP(-LN(2)/25))/(LN(2)/25)*Calculateur!CG151*Calculateur!CI151*VLOOKUP('Données projet'!$B$12,Paramètres!$A$1:$I$89,3,0)*0.475*44/12</f>
        <v>5.0435227699707008</v>
      </c>
      <c r="CM151" s="21">
        <f>EXP(-LN(2)/2)*CM150+(1-EXP(-LN(2)/2))/(LN(2)/2)*CG151*CJ151*VLOOKUP('Données projet'!$B$12,Paramètres!$A$1:$I$89,3,0)*0.475*44/12</f>
        <v>2.439897786721422E-12</v>
      </c>
      <c r="CN151" s="22">
        <f t="shared" si="120"/>
        <v>37.909370848771971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69.531124749466699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2.2737367544323206E-13</v>
      </c>
      <c r="CU151" s="17">
        <f>CT151*VLOOKUP('Données projet'!$B$13,Paramètres!$A$1:$I$89,3,0)*VLOOKUP('Données projet'!$B$13,Paramètres!$A$1:$I$89,5,0)</f>
        <v>1.3596945791505279E-13</v>
      </c>
      <c r="CV151" s="13">
        <f t="shared" si="149"/>
        <v>1.9708830566360721E-12</v>
      </c>
      <c r="CW151" s="20">
        <f t="shared" si="121"/>
        <v>3.669434796176543E-12</v>
      </c>
      <c r="CX151" s="59">
        <f t="shared" si="122"/>
        <v>291.61412408138159</v>
      </c>
      <c r="CY151" s="59">
        <f ca="1">AVERAGE(OFFSET($CX$3,0,0,'Données projet'!$E$13+1,1))-AVERAGE(OFFSET($H$3,0,0,'Données projet'!$E$13+1,1))</f>
        <v>352.88552266225872</v>
      </c>
      <c r="CZ151" s="59">
        <f t="shared" si="150"/>
        <v>403.29115295154782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30.945955138571986</v>
      </c>
      <c r="DG151" s="21">
        <f>EXP(-LN(2)/25)*DG150+(1-EXP(-LN(2)/25))/(LN(2)/25)*Calculateur!DB151*Calculateur!DD151*VLOOKUP('Données projet'!$B$13,Paramètres!$A$1:$I$89,3,0)*0.475*44/12</f>
        <v>4.9552439479269417</v>
      </c>
      <c r="DH151" s="21">
        <f>EXP(-LN(2)/2)*DH150+(1-EXP(-LN(2)/2))/(LN(2)/2)*DB151*DE151*VLOOKUP('Données projet'!$B$13,Paramètres!$A$1:$I$89,3,0)*0.475*44/12</f>
        <v>2.7069157579137604E-12</v>
      </c>
      <c r="DI151" s="22">
        <f t="shared" si="123"/>
        <v>35.901199086501634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69.531124749466699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69.531124749466699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69.531124749466699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69.531124749466699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69.531124749466699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1.25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4.583333333333333</v>
      </c>
      <c r="H152" s="67">
        <f t="shared" si="110"/>
        <v>238.33333333333334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69.53925868681543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467.10712490977266</v>
      </c>
      <c r="T152" s="59">
        <f t="shared" si="142"/>
        <v>282.99426855025968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105.25900104603579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105.25900104603579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69.53925868681543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-5.1159076974727213E-13</v>
      </c>
      <c r="AJ152" s="13">
        <f>AI152*VLOOKUP('Données projet'!$B$10,Paramètres!$A$1:$I$89,3,0)*VLOOKUP('Données projet'!$B$10,Paramètres!$A$1:$I$89,5,0)</f>
        <v>-4.8682977649150421E-13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399.57236812003225</v>
      </c>
      <c r="AO152" s="59">
        <f t="shared" si="144"/>
        <v>245.95971136213691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73.662675151976913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73.662675151976913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69.53925868681543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2.2737367544323206E-13</v>
      </c>
      <c r="BE152" s="13">
        <f>BD152*VLOOKUP('Données projet'!$B$11,Paramètres!$A$1:$I$89,3,0)*VLOOKUP('Données projet'!$B$11,Paramètres!$A$1:$I$89,5,0)</f>
        <v>1.3596945791505279E-13</v>
      </c>
      <c r="BF152" s="13">
        <f t="shared" si="145"/>
        <v>1.9708830566360721E-12</v>
      </c>
      <c r="BG152" s="20">
        <f t="shared" si="115"/>
        <v>3.669434796176543E-12</v>
      </c>
      <c r="BH152" s="59">
        <f t="shared" si="116"/>
        <v>291.64394851832697</v>
      </c>
      <c r="BI152" s="59">
        <f ca="1">AVERAGE(OFFSET($BH$3,0,0,'Données projet'!$E$11+1,1))-AVERAGE(OFFSET($H$3,0,0,'Données projet'!$E$11+1,1))</f>
        <v>352.88552266225872</v>
      </c>
      <c r="BJ152" s="59">
        <f t="shared" si="146"/>
        <v>403.29115295154782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30.339123833473455</v>
      </c>
      <c r="BQ152" s="21">
        <f>EXP(-LN(2)/25)*BQ151+(1-EXP(-LN(2)/25))/(LN(2)/25)*Calculateur!BL152*Calculateur!BN152*VLOOKUP('Données projet'!$B$11,Paramètres!$A$1:$I$89,3,0)*0.475*44/12</f>
        <v>4.8197425415859252</v>
      </c>
      <c r="BR152" s="21">
        <f>EXP(-LN(2)/2)*BR151+(1-EXP(-LN(2)/2))/(LN(2)/2)*BL152*BO152*VLOOKUP('Données projet'!$B$11,Paramètres!$A$1:$I$89,3,0)*0.475*44/12</f>
        <v>1.9140784885215428E-12</v>
      </c>
      <c r="BS152" s="22">
        <f t="shared" si="117"/>
        <v>35.158866375061294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69.53925868681543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-1.0049916454590858E-13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297.1442218517625</v>
      </c>
      <c r="CE152" s="59">
        <f t="shared" si="148"/>
        <v>326.0112787126069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32.221368844161518</v>
      </c>
      <c r="CL152" s="21">
        <f>EXP(-LN(2)/25)*CL151+(1-EXP(-LN(2)/25))/(LN(2)/25)*Calculateur!CG152*Calculateur!CI152*VLOOKUP('Données projet'!$B$12,Paramètres!$A$1:$I$89,3,0)*0.475*44/12</f>
        <v>4.9056073745985165</v>
      </c>
      <c r="CM152" s="21">
        <f>EXP(-LN(2)/2)*CM151+(1-EXP(-LN(2)/2))/(LN(2)/2)*CG152*CJ152*VLOOKUP('Données projet'!$B$12,Paramètres!$A$1:$I$89,3,0)*0.475*44/12</f>
        <v>1.7252682703927661E-12</v>
      </c>
      <c r="CN152" s="22">
        <f t="shared" si="120"/>
        <v>37.126976218761762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69.53925868681543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2.2737367544323206E-13</v>
      </c>
      <c r="CU152" s="17">
        <f>CT152*VLOOKUP('Données projet'!$B$13,Paramètres!$A$1:$I$89,3,0)*VLOOKUP('Données projet'!$B$13,Paramètres!$A$1:$I$89,5,0)</f>
        <v>1.3596945791505279E-13</v>
      </c>
      <c r="CV152" s="13">
        <f t="shared" si="149"/>
        <v>1.9708830566360721E-12</v>
      </c>
      <c r="CW152" s="20">
        <f t="shared" si="121"/>
        <v>3.669434796176543E-12</v>
      </c>
      <c r="CX152" s="59">
        <f t="shared" si="122"/>
        <v>291.64394851832697</v>
      </c>
      <c r="CY152" s="59">
        <f ca="1">AVERAGE(OFFSET($CX$3,0,0,'Données projet'!$E$13+1,1))-AVERAGE(OFFSET($H$3,0,0,'Données projet'!$E$13+1,1))</f>
        <v>352.88552266225872</v>
      </c>
      <c r="CZ152" s="59">
        <f t="shared" si="150"/>
        <v>403.29115295154782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30.339123833473455</v>
      </c>
      <c r="DG152" s="21">
        <f>EXP(-LN(2)/25)*DG151+(1-EXP(-LN(2)/25))/(LN(2)/25)*Calculateur!DB152*Calculateur!DD152*VLOOKUP('Données projet'!$B$13,Paramètres!$A$1:$I$89,3,0)*0.475*44/12</f>
        <v>4.8197425415859252</v>
      </c>
      <c r="DH152" s="21">
        <f>EXP(-LN(2)/2)*DH151+(1-EXP(-LN(2)/2))/(LN(2)/2)*DB152*DE152*VLOOKUP('Données projet'!$B$13,Paramètres!$A$1:$I$89,3,0)*0.475*44/12</f>
        <v>1.9140784885215428E-12</v>
      </c>
      <c r="DI152" s="22">
        <f t="shared" si="123"/>
        <v>35.158866375061294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69.53925868681543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69.53925868681543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69.53925868681543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69.53925868681543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69.53925868681543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1.25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4.583333333333333</v>
      </c>
      <c r="H153" s="67">
        <f t="shared" si="110"/>
        <v>238.33333333333334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69.54725151853593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467.10712490977266</v>
      </c>
      <c r="T153" s="59">
        <f t="shared" si="142"/>
        <v>282.99426855025968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103.19493623717428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103.19493623717428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69.54725151853593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-5.1159076974727213E-13</v>
      </c>
      <c r="AJ153" s="13">
        <f>AI153*VLOOKUP('Données projet'!$B$10,Paramètres!$A$1:$I$89,3,0)*VLOOKUP('Données projet'!$B$10,Paramètres!$A$1:$I$89,5,0)</f>
        <v>-4.8682977649150421E-13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399.57236812003225</v>
      </c>
      <c r="AO153" s="59">
        <f t="shared" si="144"/>
        <v>245.95971136213691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72.218195022042039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72.218195022042039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69.54725151853593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2.2737367544323206E-13</v>
      </c>
      <c r="BE153" s="13">
        <f>BD153*VLOOKUP('Données projet'!$B$11,Paramètres!$A$1:$I$89,3,0)*VLOOKUP('Données projet'!$B$11,Paramètres!$A$1:$I$89,5,0)</f>
        <v>1.3596945791505279E-13</v>
      </c>
      <c r="BF153" s="13">
        <f t="shared" si="145"/>
        <v>1.9708830566360721E-12</v>
      </c>
      <c r="BG153" s="20">
        <f t="shared" si="115"/>
        <v>3.669434796176543E-12</v>
      </c>
      <c r="BH153" s="59">
        <f t="shared" si="116"/>
        <v>291.67325556796879</v>
      </c>
      <c r="BI153" s="59">
        <f ca="1">AVERAGE(OFFSET($BH$3,0,0,'Données projet'!$E$11+1,1))-AVERAGE(OFFSET($H$3,0,0,'Données projet'!$E$11+1,1))</f>
        <v>352.88552266225872</v>
      </c>
      <c r="BJ153" s="59">
        <f t="shared" si="146"/>
        <v>403.29115295154782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29.744192120137356</v>
      </c>
      <c r="BQ153" s="21">
        <f>EXP(-LN(2)/25)*BQ152+(1-EXP(-LN(2)/25))/(LN(2)/25)*Calculateur!BL153*Calculateur!BN153*VLOOKUP('Données projet'!$B$11,Paramètres!$A$1:$I$89,3,0)*0.475*44/12</f>
        <v>4.6879464283270131</v>
      </c>
      <c r="BR153" s="21">
        <f>EXP(-LN(2)/2)*BR152+(1-EXP(-LN(2)/2))/(LN(2)/2)*BL153*BO153*VLOOKUP('Données projet'!$B$11,Paramètres!$A$1:$I$89,3,0)*0.475*44/12</f>
        <v>1.3534578789568802E-12</v>
      </c>
      <c r="BS153" s="22">
        <f t="shared" si="117"/>
        <v>34.432138548465716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69.54725151853593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-1.0049916454590858E-13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297.1442218517625</v>
      </c>
      <c r="CE153" s="59">
        <f t="shared" si="148"/>
        <v>326.0112787126069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31.589527454221923</v>
      </c>
      <c r="CL153" s="21">
        <f>EXP(-LN(2)/25)*CL152+(1-EXP(-LN(2)/25))/(LN(2)/25)*Calculateur!CG153*Calculateur!CI153*VLOOKUP('Données projet'!$B$12,Paramètres!$A$1:$I$89,3,0)*0.475*44/12</f>
        <v>4.7714632829654402</v>
      </c>
      <c r="CM153" s="21">
        <f>EXP(-LN(2)/2)*CM152+(1-EXP(-LN(2)/2))/(LN(2)/2)*CG153*CJ153*VLOOKUP('Données projet'!$B$12,Paramètres!$A$1:$I$89,3,0)*0.475*44/12</f>
        <v>1.219948893360711E-12</v>
      </c>
      <c r="CN153" s="22">
        <f t="shared" si="120"/>
        <v>36.360990737188587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69.54725151853593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2.2737367544323206E-13</v>
      </c>
      <c r="CU153" s="17">
        <f>CT153*VLOOKUP('Données projet'!$B$13,Paramètres!$A$1:$I$89,3,0)*VLOOKUP('Données projet'!$B$13,Paramètres!$A$1:$I$89,5,0)</f>
        <v>1.3596945791505279E-13</v>
      </c>
      <c r="CV153" s="13">
        <f t="shared" si="149"/>
        <v>1.9708830566360721E-12</v>
      </c>
      <c r="CW153" s="20">
        <f t="shared" si="121"/>
        <v>3.669434796176543E-12</v>
      </c>
      <c r="CX153" s="59">
        <f t="shared" si="122"/>
        <v>291.67325556796879</v>
      </c>
      <c r="CY153" s="59">
        <f ca="1">AVERAGE(OFFSET($CX$3,0,0,'Données projet'!$E$13+1,1))-AVERAGE(OFFSET($H$3,0,0,'Données projet'!$E$13+1,1))</f>
        <v>352.88552266225872</v>
      </c>
      <c r="CZ153" s="59">
        <f t="shared" si="150"/>
        <v>403.29115295154782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29.744192120137356</v>
      </c>
      <c r="DG153" s="21">
        <f>EXP(-LN(2)/25)*DG152+(1-EXP(-LN(2)/25))/(LN(2)/25)*Calculateur!DB153*Calculateur!DD153*VLOOKUP('Données projet'!$B$13,Paramètres!$A$1:$I$89,3,0)*0.475*44/12</f>
        <v>4.6879464283270131</v>
      </c>
      <c r="DH153" s="21">
        <f>EXP(-LN(2)/2)*DH152+(1-EXP(-LN(2)/2))/(LN(2)/2)*DB153*DE153*VLOOKUP('Données projet'!$B$13,Paramètres!$A$1:$I$89,3,0)*0.475*44/12</f>
        <v>1.3534578789568802E-12</v>
      </c>
      <c r="DI153" s="22">
        <f t="shared" si="123"/>
        <v>34.432138548465716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69.54725151853593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69.54725151853593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69.54725151853593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69.54725151853593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69.54725151853593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1.25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4.583333333333333</v>
      </c>
      <c r="H154" s="67">
        <f t="shared" si="110"/>
        <v>238.33333333333334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69.55510569249536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467.10712490977266</v>
      </c>
      <c r="T154" s="59">
        <f t="shared" si="142"/>
        <v>282.99426855025968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101.17134648025932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101.17134648025932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69.55510569249536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-5.1159076974727213E-13</v>
      </c>
      <c r="AJ154" s="13">
        <f>AI154*VLOOKUP('Données projet'!$B$10,Paramètres!$A$1:$I$89,3,0)*VLOOKUP('Données projet'!$B$10,Paramètres!$A$1:$I$89,5,0)</f>
        <v>-4.8682977649150421E-13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399.57236812003225</v>
      </c>
      <c r="AO154" s="59">
        <f t="shared" si="144"/>
        <v>245.95971136213691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70.802040266409307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70.802040266409307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69.55510569249536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2.2737367544323206E-13</v>
      </c>
      <c r="BE154" s="13">
        <f>BD154*VLOOKUP('Données projet'!$B$11,Paramètres!$A$1:$I$89,3,0)*VLOOKUP('Données projet'!$B$11,Paramètres!$A$1:$I$89,5,0)</f>
        <v>1.3596945791505279E-13</v>
      </c>
      <c r="BF154" s="13">
        <f t="shared" ref="BF154:BF203" si="167">EXP(-1.0587+0.8836*LN(BE154)+0.284)</f>
        <v>1.9708830566360721E-12</v>
      </c>
      <c r="BG154" s="20">
        <f t="shared" ref="BG154:BG203" si="168">(BE154+BF154)*0.475*44/12</f>
        <v>3.669434796176543E-12</v>
      </c>
      <c r="BH154" s="59">
        <f t="shared" si="116"/>
        <v>291.70205420581999</v>
      </c>
      <c r="BI154" s="59">
        <f ca="1">AVERAGE(OFFSET($BH$3,0,0,'Données projet'!$E$11+1,1))-AVERAGE(OFFSET($H$3,0,0,'Données projet'!$E$11+1,1))</f>
        <v>352.88552266225872</v>
      </c>
      <c r="BJ154" s="59">
        <f t="shared" si="146"/>
        <v>403.29115295154782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29.160926654827264</v>
      </c>
      <c r="BQ154" s="21">
        <f>EXP(-LN(2)/25)*BQ153+(1-EXP(-LN(2)/25))/(LN(2)/25)*Calculateur!BL154*Calculateur!BN154*VLOOKUP('Données projet'!$B$11,Paramètres!$A$1:$I$89,3,0)*0.475*44/12</f>
        <v>4.5597542867160223</v>
      </c>
      <c r="BR154" s="21">
        <f>EXP(-LN(2)/2)*BR153+(1-EXP(-LN(2)/2))/(LN(2)/2)*BL154*BO154*VLOOKUP('Données projet'!$B$11,Paramètres!$A$1:$I$89,3,0)*0.475*44/12</f>
        <v>9.570392442607714E-13</v>
      </c>
      <c r="BS154" s="22">
        <f t="shared" ref="BS154:BS203" si="169">SUM(BP154:BR154)</f>
        <v>33.720680941544245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69.55510569249536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-1.0049916454590858E-13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297.1442218517625</v>
      </c>
      <c r="CE154" s="59">
        <f t="shared" si="148"/>
        <v>326.0112787126069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30.970076088553849</v>
      </c>
      <c r="CL154" s="21">
        <f>EXP(-LN(2)/25)*CL153+(1-EXP(-LN(2)/25))/(LN(2)/25)*Calculateur!CG154*Calculateur!CI154*VLOOKUP('Données projet'!$B$12,Paramètres!$A$1:$I$89,3,0)*0.475*44/12</f>
        <v>4.6409873685724019</v>
      </c>
      <c r="CM154" s="21">
        <f>EXP(-LN(2)/2)*CM153+(1-EXP(-LN(2)/2))/(LN(2)/2)*CG154*CJ154*VLOOKUP('Données projet'!$B$12,Paramètres!$A$1:$I$89,3,0)*0.475*44/12</f>
        <v>8.6263413519638307E-13</v>
      </c>
      <c r="CN154" s="22">
        <f t="shared" ref="CN154:CN203" si="172">SUM(CK154:CM154)</f>
        <v>35.611063457127109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69.55510569249536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2.2737367544323206E-13</v>
      </c>
      <c r="CU154" s="17">
        <f>CT154*VLOOKUP('Données projet'!$B$13,Paramètres!$A$1:$I$89,3,0)*VLOOKUP('Données projet'!$B$13,Paramètres!$A$1:$I$89,5,0)</f>
        <v>1.3596945791505279E-13</v>
      </c>
      <c r="CV154" s="13">
        <f t="shared" ref="CV154:CV203" si="173">EXP(-1.0587+0.8836*LN(CU154)+0.284)</f>
        <v>1.9708830566360721E-12</v>
      </c>
      <c r="CW154" s="20">
        <f t="shared" ref="CW154:CW203" si="174">(CU154+CV154)*0.475*44/12</f>
        <v>3.669434796176543E-12</v>
      </c>
      <c r="CX154" s="59">
        <f t="shared" si="122"/>
        <v>291.70205420581999</v>
      </c>
      <c r="CY154" s="59">
        <f ca="1">AVERAGE(OFFSET($CX$3,0,0,'Données projet'!$E$13+1,1))-AVERAGE(OFFSET($H$3,0,0,'Données projet'!$E$13+1,1))</f>
        <v>352.88552266225872</v>
      </c>
      <c r="CZ154" s="59">
        <f t="shared" si="150"/>
        <v>403.29115295154782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29.160926654827264</v>
      </c>
      <c r="DG154" s="21">
        <f>EXP(-LN(2)/25)*DG153+(1-EXP(-LN(2)/25))/(LN(2)/25)*Calculateur!DB154*Calculateur!DD154*VLOOKUP('Données projet'!$B$13,Paramètres!$A$1:$I$89,3,0)*0.475*44/12</f>
        <v>4.5597542867160223</v>
      </c>
      <c r="DH154" s="21">
        <f>EXP(-LN(2)/2)*DH153+(1-EXP(-LN(2)/2))/(LN(2)/2)*DB154*DE154*VLOOKUP('Données projet'!$B$13,Paramètres!$A$1:$I$89,3,0)*0.475*44/12</f>
        <v>9.570392442607714E-13</v>
      </c>
      <c r="DI154" s="22">
        <f t="shared" ref="DI154:DI203" si="175">SUM(DF154:DH154)</f>
        <v>33.720680941544245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69.55510569249536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69.55510569249536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69.55510569249536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69.55510569249536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69.55510569249536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1.25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4.583333333333333</v>
      </c>
      <c r="H155" s="67">
        <f t="shared" si="110"/>
        <v>238.33333333333334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69.562823614095905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467.10712490977266</v>
      </c>
      <c r="T155" s="59">
        <f t="shared" si="142"/>
        <v>282.99426855025968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99.187438084209589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99.187438084209589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69.562823614095905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-5.1159076974727213E-13</v>
      </c>
      <c r="AJ155" s="13">
        <f>AI155*VLOOKUP('Données projet'!$B$10,Paramètres!$A$1:$I$89,3,0)*VLOOKUP('Données projet'!$B$10,Paramètres!$A$1:$I$89,5,0)</f>
        <v>-4.8682977649150421E-13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399.57236812003225</v>
      </c>
      <c r="AO155" s="59">
        <f t="shared" si="144"/>
        <v>245.95971136213691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69.413655441765414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69.413655441765414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69.562823614095905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2.2737367544323206E-13</v>
      </c>
      <c r="BE155" s="13">
        <f>BD155*VLOOKUP('Données projet'!$B$11,Paramètres!$A$1:$I$89,3,0)*VLOOKUP('Données projet'!$B$11,Paramètres!$A$1:$I$89,5,0)</f>
        <v>1.3596945791505279E-13</v>
      </c>
      <c r="BF155" s="13">
        <f t="shared" si="167"/>
        <v>1.9708830566360721E-12</v>
      </c>
      <c r="BG155" s="20">
        <f t="shared" si="168"/>
        <v>3.669434796176543E-12</v>
      </c>
      <c r="BH155" s="59">
        <f t="shared" si="116"/>
        <v>291.73035325168871</v>
      </c>
      <c r="BI155" s="59">
        <f ca="1">AVERAGE(OFFSET($BH$3,0,0,'Données projet'!$E$11+1,1))-AVERAGE(OFFSET($H$3,0,0,'Données projet'!$E$11+1,1))</f>
        <v>352.88552266225872</v>
      </c>
      <c r="BJ155" s="59">
        <f t="shared" si="146"/>
        <v>403.29115295154782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28.589098669535097</v>
      </c>
      <c r="BQ155" s="21">
        <f>EXP(-LN(2)/25)*BQ154+(1-EXP(-LN(2)/25))/(LN(2)/25)*Calculateur!BL155*Calculateur!BN155*VLOOKUP('Données projet'!$B$11,Paramètres!$A$1:$I$89,3,0)*0.475*44/12</f>
        <v>4.4350675659587164</v>
      </c>
      <c r="BR155" s="21">
        <f>EXP(-LN(2)/2)*BR154+(1-EXP(-LN(2)/2))/(LN(2)/2)*BL155*BO155*VLOOKUP('Données projet'!$B$11,Paramètres!$A$1:$I$89,3,0)*0.475*44/12</f>
        <v>6.7672893947844011E-13</v>
      </c>
      <c r="BS155" s="22">
        <f t="shared" si="169"/>
        <v>33.024166235494491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69.562823614095905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-1.0049916454590858E-13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297.1442218517625</v>
      </c>
      <c r="CE155" s="59">
        <f t="shared" si="148"/>
        <v>326.0112787126069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30.362771786338502</v>
      </c>
      <c r="CL155" s="21">
        <f>EXP(-LN(2)/25)*CL154+(1-EXP(-LN(2)/25))/(LN(2)/25)*Calculateur!CG155*Calculateur!CI155*VLOOKUP('Données projet'!$B$12,Paramètres!$A$1:$I$89,3,0)*0.475*44/12</f>
        <v>4.5140793249198712</v>
      </c>
      <c r="CM155" s="21">
        <f>EXP(-LN(2)/2)*CM154+(1-EXP(-LN(2)/2))/(LN(2)/2)*CG155*CJ155*VLOOKUP('Données projet'!$B$12,Paramètres!$A$1:$I$89,3,0)*0.475*44/12</f>
        <v>6.0997444668035549E-13</v>
      </c>
      <c r="CN155" s="22">
        <f t="shared" si="172"/>
        <v>34.876851111258986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69.562823614095905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2.2737367544323206E-13</v>
      </c>
      <c r="CU155" s="17">
        <f>CT155*VLOOKUP('Données projet'!$B$13,Paramètres!$A$1:$I$89,3,0)*VLOOKUP('Données projet'!$B$13,Paramètres!$A$1:$I$89,5,0)</f>
        <v>1.3596945791505279E-13</v>
      </c>
      <c r="CV155" s="13">
        <f t="shared" si="173"/>
        <v>1.9708830566360721E-12</v>
      </c>
      <c r="CW155" s="20">
        <f t="shared" si="174"/>
        <v>3.669434796176543E-12</v>
      </c>
      <c r="CX155" s="59">
        <f t="shared" si="122"/>
        <v>291.73035325168871</v>
      </c>
      <c r="CY155" s="59">
        <f ca="1">AVERAGE(OFFSET($CX$3,0,0,'Données projet'!$E$13+1,1))-AVERAGE(OFFSET($H$3,0,0,'Données projet'!$E$13+1,1))</f>
        <v>352.88552266225872</v>
      </c>
      <c r="CZ155" s="59">
        <f t="shared" si="150"/>
        <v>403.29115295154782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28.589098669535097</v>
      </c>
      <c r="DG155" s="21">
        <f>EXP(-LN(2)/25)*DG154+(1-EXP(-LN(2)/25))/(LN(2)/25)*Calculateur!DB155*Calculateur!DD155*VLOOKUP('Données projet'!$B$13,Paramètres!$A$1:$I$89,3,0)*0.475*44/12</f>
        <v>4.4350675659587164</v>
      </c>
      <c r="DH155" s="21">
        <f>EXP(-LN(2)/2)*DH154+(1-EXP(-LN(2)/2))/(LN(2)/2)*DB155*DE155*VLOOKUP('Données projet'!$B$13,Paramètres!$A$1:$I$89,3,0)*0.475*44/12</f>
        <v>6.7672893947844011E-13</v>
      </c>
      <c r="DI155" s="22">
        <f t="shared" si="175"/>
        <v>33.024166235494491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69.562823614095905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69.562823614095905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69.562823614095905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69.562823614095905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69.562823614095905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1.25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4.583333333333333</v>
      </c>
      <c r="H156" s="67">
        <f t="shared" si="110"/>
        <v>238.33333333333334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69.570407647011365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467.10712490977266</v>
      </c>
      <c r="T156" s="59">
        <f t="shared" si="142"/>
        <v>282.99426855025968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97.242432921741752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97.242432921741752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69.570407647011365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-5.1159076974727213E-13</v>
      </c>
      <c r="AJ156" s="13">
        <f>AI156*VLOOKUP('Données projet'!$B$10,Paramètres!$A$1:$I$89,3,0)*VLOOKUP('Données projet'!$B$10,Paramètres!$A$1:$I$89,5,0)</f>
        <v>-4.8682977649150421E-13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399.57236812003225</v>
      </c>
      <c r="AO156" s="59">
        <f t="shared" si="144"/>
        <v>245.95971136213691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68.052495996701666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68.052495996701666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69.570407647011365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2.2737367544323206E-13</v>
      </c>
      <c r="BE156" s="13">
        <f>BD156*VLOOKUP('Données projet'!$B$11,Paramètres!$A$1:$I$89,3,0)*VLOOKUP('Données projet'!$B$11,Paramètres!$A$1:$I$89,5,0)</f>
        <v>1.3596945791505279E-13</v>
      </c>
      <c r="BF156" s="13">
        <f t="shared" si="167"/>
        <v>1.9708830566360721E-12</v>
      </c>
      <c r="BG156" s="20">
        <f t="shared" si="168"/>
        <v>3.669434796176543E-12</v>
      </c>
      <c r="BH156" s="59">
        <f t="shared" si="116"/>
        <v>291.75816137237871</v>
      </c>
      <c r="BI156" s="59">
        <f ca="1">AVERAGE(OFFSET($BH$3,0,0,'Données projet'!$E$11+1,1))-AVERAGE(OFFSET($H$3,0,0,'Données projet'!$E$11+1,1))</f>
        <v>352.88552266225872</v>
      </c>
      <c r="BJ156" s="59">
        <f t="shared" si="146"/>
        <v>403.29115295154782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28.02848388225388</v>
      </c>
      <c r="BQ156" s="21">
        <f>EXP(-LN(2)/25)*BQ155+(1-EXP(-LN(2)/25))/(LN(2)/25)*Calculateur!BL156*Calculateur!BN156*VLOOKUP('Données projet'!$B$11,Paramètres!$A$1:$I$89,3,0)*0.475*44/12</f>
        <v>4.3137904101375089</v>
      </c>
      <c r="BR156" s="21">
        <f>EXP(-LN(2)/2)*BR155+(1-EXP(-LN(2)/2))/(LN(2)/2)*BL156*BO156*VLOOKUP('Données projet'!$B$11,Paramètres!$A$1:$I$89,3,0)*0.475*44/12</f>
        <v>4.785196221303857E-13</v>
      </c>
      <c r="BS156" s="22">
        <f t="shared" si="169"/>
        <v>32.342274292391863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69.570407647011365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-1.0049916454590858E-13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297.1442218517625</v>
      </c>
      <c r="CE156" s="59">
        <f t="shared" si="148"/>
        <v>326.0112787126069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29.767376351070549</v>
      </c>
      <c r="CL156" s="21">
        <f>EXP(-LN(2)/25)*CL155+(1-EXP(-LN(2)/25))/(LN(2)/25)*Calculateur!CG156*Calculateur!CI156*VLOOKUP('Données projet'!$B$12,Paramètres!$A$1:$I$89,3,0)*0.475*44/12</f>
        <v>4.3906415883948231</v>
      </c>
      <c r="CM156" s="21">
        <f>EXP(-LN(2)/2)*CM155+(1-EXP(-LN(2)/2))/(LN(2)/2)*CG156*CJ156*VLOOKUP('Données projet'!$B$12,Paramètres!$A$1:$I$89,3,0)*0.475*44/12</f>
        <v>4.3131706759819154E-13</v>
      </c>
      <c r="CN156" s="22">
        <f t="shared" si="172"/>
        <v>34.158017939465807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69.570407647011365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2.2737367544323206E-13</v>
      </c>
      <c r="CU156" s="17">
        <f>CT156*VLOOKUP('Données projet'!$B$13,Paramètres!$A$1:$I$89,3,0)*VLOOKUP('Données projet'!$B$13,Paramètres!$A$1:$I$89,5,0)</f>
        <v>1.3596945791505279E-13</v>
      </c>
      <c r="CV156" s="13">
        <f t="shared" si="173"/>
        <v>1.9708830566360721E-12</v>
      </c>
      <c r="CW156" s="20">
        <f t="shared" si="174"/>
        <v>3.669434796176543E-12</v>
      </c>
      <c r="CX156" s="59">
        <f t="shared" si="122"/>
        <v>291.75816137237871</v>
      </c>
      <c r="CY156" s="59">
        <f ca="1">AVERAGE(OFFSET($CX$3,0,0,'Données projet'!$E$13+1,1))-AVERAGE(OFFSET($H$3,0,0,'Données projet'!$E$13+1,1))</f>
        <v>352.88552266225872</v>
      </c>
      <c r="CZ156" s="59">
        <f t="shared" si="150"/>
        <v>403.29115295154782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28.02848388225388</v>
      </c>
      <c r="DG156" s="21">
        <f>EXP(-LN(2)/25)*DG155+(1-EXP(-LN(2)/25))/(LN(2)/25)*Calculateur!DB156*Calculateur!DD156*VLOOKUP('Données projet'!$B$13,Paramètres!$A$1:$I$89,3,0)*0.475*44/12</f>
        <v>4.3137904101375089</v>
      </c>
      <c r="DH156" s="21">
        <f>EXP(-LN(2)/2)*DH155+(1-EXP(-LN(2)/2))/(LN(2)/2)*DB156*DE156*VLOOKUP('Données projet'!$B$13,Paramètres!$A$1:$I$89,3,0)*0.475*44/12</f>
        <v>4.785196221303857E-13</v>
      </c>
      <c r="DI156" s="22">
        <f t="shared" si="175"/>
        <v>32.342274292391863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69.570407647011365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69.570407647011365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69.570407647011365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69.570407647011365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69.570407647011365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1.25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4.583333333333333</v>
      </c>
      <c r="H157" s="67">
        <f t="shared" si="110"/>
        <v>238.33333333333334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69.5778601139111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467.10712490977266</v>
      </c>
      <c r="T157" s="59">
        <f t="shared" si="142"/>
        <v>282.99426855025968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95.335568124173903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95.335568124173903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69.5778601139111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-5.1159076974727213E-13</v>
      </c>
      <c r="AJ157" s="13">
        <f>AI157*VLOOKUP('Données projet'!$B$10,Paramètres!$A$1:$I$89,3,0)*VLOOKUP('Données projet'!$B$10,Paramètres!$A$1:$I$89,5,0)</f>
        <v>-4.8682977649150421E-13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399.57236812003225</v>
      </c>
      <c r="AO157" s="59">
        <f t="shared" si="144"/>
        <v>245.95971136213691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66.718028058130344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66.718028058130344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69.5778601139111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2.2737367544323206E-13</v>
      </c>
      <c r="BE157" s="13">
        <f>BD157*VLOOKUP('Données projet'!$B$11,Paramètres!$A$1:$I$89,3,0)*VLOOKUP('Données projet'!$B$11,Paramètres!$A$1:$I$89,5,0)</f>
        <v>1.3596945791505279E-13</v>
      </c>
      <c r="BF157" s="13">
        <f t="shared" si="167"/>
        <v>1.9708830566360721E-12</v>
      </c>
      <c r="BG157" s="20">
        <f t="shared" si="168"/>
        <v>3.669434796176543E-12</v>
      </c>
      <c r="BH157" s="59">
        <f t="shared" si="116"/>
        <v>291.78548708434437</v>
      </c>
      <c r="BI157" s="59">
        <f ca="1">AVERAGE(OFFSET($BH$3,0,0,'Données projet'!$E$11+1,1))-AVERAGE(OFFSET($H$3,0,0,'Données projet'!$E$11+1,1))</f>
        <v>352.88552266225872</v>
      </c>
      <c r="BJ157" s="59">
        <f t="shared" si="146"/>
        <v>403.29115295154782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27.478862409009992</v>
      </c>
      <c r="BQ157" s="21">
        <f>EXP(-LN(2)/25)*BQ156+(1-EXP(-LN(2)/25))/(LN(2)/25)*Calculateur!BL157*Calculateur!BN157*VLOOKUP('Données projet'!$B$11,Paramètres!$A$1:$I$89,3,0)*0.475*44/12</f>
        <v>4.1958295845199203</v>
      </c>
      <c r="BR157" s="21">
        <f>EXP(-LN(2)/2)*BR156+(1-EXP(-LN(2)/2))/(LN(2)/2)*BL157*BO157*VLOOKUP('Données projet'!$B$11,Paramètres!$A$1:$I$89,3,0)*0.475*44/12</f>
        <v>3.3836446973922005E-13</v>
      </c>
      <c r="BS157" s="22">
        <f t="shared" si="169"/>
        <v>31.674691993530249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69.5778601139111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-1.0049916454590858E-13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297.1442218517625</v>
      </c>
      <c r="CE157" s="59">
        <f t="shared" si="148"/>
        <v>326.0112787126069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29.183656257132842</v>
      </c>
      <c r="CL157" s="21">
        <f>EXP(-LN(2)/25)*CL156+(1-EXP(-LN(2)/25))/(LN(2)/25)*Calculateur!CG157*Calculateur!CI157*VLOOKUP('Données projet'!$B$12,Paramètres!$A$1:$I$89,3,0)*0.475*44/12</f>
        <v>4.2705792632663604</v>
      </c>
      <c r="CM157" s="21">
        <f>EXP(-LN(2)/2)*CM156+(1-EXP(-LN(2)/2))/(LN(2)/2)*CG157*CJ157*VLOOKUP('Données projet'!$B$12,Paramètres!$A$1:$I$89,3,0)*0.475*44/12</f>
        <v>3.0498722334017775E-13</v>
      </c>
      <c r="CN157" s="22">
        <f t="shared" si="172"/>
        <v>33.454235520399507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69.5778601139111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2.2737367544323206E-13</v>
      </c>
      <c r="CU157" s="17">
        <f>CT157*VLOOKUP('Données projet'!$B$13,Paramètres!$A$1:$I$89,3,0)*VLOOKUP('Données projet'!$B$13,Paramètres!$A$1:$I$89,5,0)</f>
        <v>1.3596945791505279E-13</v>
      </c>
      <c r="CV157" s="13">
        <f t="shared" si="173"/>
        <v>1.9708830566360721E-12</v>
      </c>
      <c r="CW157" s="20">
        <f t="shared" si="174"/>
        <v>3.669434796176543E-12</v>
      </c>
      <c r="CX157" s="59">
        <f t="shared" si="122"/>
        <v>291.78548708434437</v>
      </c>
      <c r="CY157" s="59">
        <f ca="1">AVERAGE(OFFSET($CX$3,0,0,'Données projet'!$E$13+1,1))-AVERAGE(OFFSET($H$3,0,0,'Données projet'!$E$13+1,1))</f>
        <v>352.88552266225872</v>
      </c>
      <c r="CZ157" s="59">
        <f t="shared" si="150"/>
        <v>403.29115295154782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27.478862409009992</v>
      </c>
      <c r="DG157" s="21">
        <f>EXP(-LN(2)/25)*DG156+(1-EXP(-LN(2)/25))/(LN(2)/25)*Calculateur!DB157*Calculateur!DD157*VLOOKUP('Données projet'!$B$13,Paramètres!$A$1:$I$89,3,0)*0.475*44/12</f>
        <v>4.1958295845199203</v>
      </c>
      <c r="DH157" s="21">
        <f>EXP(-LN(2)/2)*DH156+(1-EXP(-LN(2)/2))/(LN(2)/2)*DB157*DE157*VLOOKUP('Données projet'!$B$13,Paramètres!$A$1:$I$89,3,0)*0.475*44/12</f>
        <v>3.3836446973922005E-13</v>
      </c>
      <c r="DI157" s="22">
        <f t="shared" si="175"/>
        <v>31.674691993530249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69.5778601139111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69.5778601139111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69.5778601139111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69.5778601139111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69.5778601139111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1.25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4.583333333333333</v>
      </c>
      <c r="H158" s="67">
        <f t="shared" si="110"/>
        <v>238.33333333333334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69.585183297171341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467.10712490977266</v>
      </c>
      <c r="T158" s="59">
        <f t="shared" si="142"/>
        <v>282.99426855025968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93.466095782213671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93.466095782213671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69.585183297171341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-5.1159076974727213E-13</v>
      </c>
      <c r="AJ158" s="13">
        <f>AI158*VLOOKUP('Données projet'!$B$10,Paramètres!$A$1:$I$89,3,0)*VLOOKUP('Données projet'!$B$10,Paramètres!$A$1:$I$89,5,0)</f>
        <v>-4.8682977649150421E-13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399.57236812003225</v>
      </c>
      <c r="AO158" s="59">
        <f t="shared" si="144"/>
        <v>245.95971136213691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65.409728221889324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65.409728221889324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69.585183297171341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2.2737367544323206E-13</v>
      </c>
      <c r="BE158" s="13">
        <f>BD158*VLOOKUP('Données projet'!$B$11,Paramètres!$A$1:$I$89,3,0)*VLOOKUP('Données projet'!$B$11,Paramètres!$A$1:$I$89,5,0)</f>
        <v>1.3596945791505279E-13</v>
      </c>
      <c r="BF158" s="13">
        <f t="shared" si="167"/>
        <v>1.9708830566360721E-12</v>
      </c>
      <c r="BG158" s="20">
        <f t="shared" si="168"/>
        <v>3.669434796176543E-12</v>
      </c>
      <c r="BH158" s="59">
        <f t="shared" si="116"/>
        <v>291.81233875629857</v>
      </c>
      <c r="BI158" s="59">
        <f ca="1">AVERAGE(OFFSET($BH$3,0,0,'Données projet'!$E$11+1,1))-AVERAGE(OFFSET($H$3,0,0,'Données projet'!$E$11+1,1))</f>
        <v>352.88552266225872</v>
      </c>
      <c r="BJ158" s="59">
        <f t="shared" si="146"/>
        <v>403.29115295154782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26.940018677620419</v>
      </c>
      <c r="BQ158" s="21">
        <f>EXP(-LN(2)/25)*BQ157+(1-EXP(-LN(2)/25))/(LN(2)/25)*Calculateur!BL158*Calculateur!BN158*VLOOKUP('Données projet'!$B$11,Paramètres!$A$1:$I$89,3,0)*0.475*44/12</f>
        <v>4.0810944038821351</v>
      </c>
      <c r="BR158" s="21">
        <f>EXP(-LN(2)/2)*BR157+(1-EXP(-LN(2)/2))/(LN(2)/2)*BL158*BO158*VLOOKUP('Données projet'!$B$11,Paramètres!$A$1:$I$89,3,0)*0.475*44/12</f>
        <v>2.3925981106519285E-13</v>
      </c>
      <c r="BS158" s="22">
        <f t="shared" si="169"/>
        <v>31.021113081502794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69.585183297171341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-1.0049916454590858E-13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297.1442218517625</v>
      </c>
      <c r="CE158" s="59">
        <f t="shared" si="148"/>
        <v>326.0112787126069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28.611382558203154</v>
      </c>
      <c r="CL158" s="21">
        <f>EXP(-LN(2)/25)*CL157+(1-EXP(-LN(2)/25))/(LN(2)/25)*Calculateur!CG158*Calculateur!CI158*VLOOKUP('Données projet'!$B$12,Paramètres!$A$1:$I$89,3,0)*0.475*44/12</f>
        <v>4.1538000487323385</v>
      </c>
      <c r="CM158" s="21">
        <f>EXP(-LN(2)/2)*CM157+(1-EXP(-LN(2)/2))/(LN(2)/2)*CG158*CJ158*VLOOKUP('Données projet'!$B$12,Paramètres!$A$1:$I$89,3,0)*0.475*44/12</f>
        <v>2.1565853379909577E-13</v>
      </c>
      <c r="CN158" s="22">
        <f t="shared" si="172"/>
        <v>32.765182606935703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69.585183297171341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2.2737367544323206E-13</v>
      </c>
      <c r="CU158" s="17">
        <f>CT158*VLOOKUP('Données projet'!$B$13,Paramètres!$A$1:$I$89,3,0)*VLOOKUP('Données projet'!$B$13,Paramètres!$A$1:$I$89,5,0)</f>
        <v>1.3596945791505279E-13</v>
      </c>
      <c r="CV158" s="13">
        <f t="shared" si="173"/>
        <v>1.9708830566360721E-12</v>
      </c>
      <c r="CW158" s="20">
        <f t="shared" si="174"/>
        <v>3.669434796176543E-12</v>
      </c>
      <c r="CX158" s="59">
        <f t="shared" si="122"/>
        <v>291.81233875629857</v>
      </c>
      <c r="CY158" s="59">
        <f ca="1">AVERAGE(OFFSET($CX$3,0,0,'Données projet'!$E$13+1,1))-AVERAGE(OFFSET($H$3,0,0,'Données projet'!$E$13+1,1))</f>
        <v>352.88552266225872</v>
      </c>
      <c r="CZ158" s="59">
        <f t="shared" si="150"/>
        <v>403.29115295154782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26.940018677620419</v>
      </c>
      <c r="DG158" s="21">
        <f>EXP(-LN(2)/25)*DG157+(1-EXP(-LN(2)/25))/(LN(2)/25)*Calculateur!DB158*Calculateur!DD158*VLOOKUP('Données projet'!$B$13,Paramètres!$A$1:$I$89,3,0)*0.475*44/12</f>
        <v>4.0810944038821351</v>
      </c>
      <c r="DH158" s="21">
        <f>EXP(-LN(2)/2)*DH157+(1-EXP(-LN(2)/2))/(LN(2)/2)*DB158*DE158*VLOOKUP('Données projet'!$B$13,Paramètres!$A$1:$I$89,3,0)*0.475*44/12</f>
        <v>2.3925981106519285E-13</v>
      </c>
      <c r="DI158" s="22">
        <f t="shared" si="175"/>
        <v>31.021113081502794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69.585183297171341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69.585183297171341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69.585183297171341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69.585183297171341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69.585183297171341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1.25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4.583333333333333</v>
      </c>
      <c r="H159" s="67">
        <f t="shared" si="110"/>
        <v>238.33333333333334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69.592379439574202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467.10712490977266</v>
      </c>
      <c r="T159" s="59">
        <f t="shared" si="142"/>
        <v>282.99426855025968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91.633282652613744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91.633282652613744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69.592379439574202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-5.1159076974727213E-13</v>
      </c>
      <c r="AJ159" s="13">
        <f>AI159*VLOOKUP('Données projet'!$B$10,Paramètres!$A$1:$I$89,3,0)*VLOOKUP('Données projet'!$B$10,Paramètres!$A$1:$I$89,5,0)</f>
        <v>-4.8682977649150421E-13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399.57236812003225</v>
      </c>
      <c r="AO159" s="59">
        <f t="shared" si="144"/>
        <v>245.95971136213691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64.127083347452881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64.127083347452881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69.592379439574202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2.2737367544323206E-13</v>
      </c>
      <c r="BE159" s="13">
        <f>BD159*VLOOKUP('Données projet'!$B$11,Paramètres!$A$1:$I$89,3,0)*VLOOKUP('Données projet'!$B$11,Paramètres!$A$1:$I$89,5,0)</f>
        <v>1.3596945791505279E-13</v>
      </c>
      <c r="BF159" s="13">
        <f t="shared" si="167"/>
        <v>1.9708830566360721E-12</v>
      </c>
      <c r="BG159" s="20">
        <f t="shared" si="168"/>
        <v>3.669434796176543E-12</v>
      </c>
      <c r="BH159" s="59">
        <f t="shared" si="116"/>
        <v>291.83872461177577</v>
      </c>
      <c r="BI159" s="59">
        <f ca="1">AVERAGE(OFFSET($BH$3,0,0,'Données projet'!$E$11+1,1))-AVERAGE(OFFSET($H$3,0,0,'Données projet'!$E$11+1,1))</f>
        <v>352.88552266225872</v>
      </c>
      <c r="BJ159" s="59">
        <f t="shared" si="146"/>
        <v>403.29115295154782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26.41174134314117</v>
      </c>
      <c r="BQ159" s="21">
        <f>EXP(-LN(2)/25)*BQ158+(1-EXP(-LN(2)/25))/(LN(2)/25)*Calculateur!BL159*Calculateur!BN159*VLOOKUP('Données projet'!$B$11,Paramètres!$A$1:$I$89,3,0)*0.475*44/12</f>
        <v>3.969496662792551</v>
      </c>
      <c r="BR159" s="21">
        <f>EXP(-LN(2)/2)*BR158+(1-EXP(-LN(2)/2))/(LN(2)/2)*BL159*BO159*VLOOKUP('Données projet'!$B$11,Paramètres!$A$1:$I$89,3,0)*0.475*44/12</f>
        <v>1.6918223486961003E-13</v>
      </c>
      <c r="BS159" s="22">
        <f t="shared" si="169"/>
        <v>30.381238005933891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69.592379439574202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-1.0049916454590858E-13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297.1442218517625</v>
      </c>
      <c r="CE159" s="59">
        <f t="shared" si="148"/>
        <v>326.0112787126069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28.050330797456986</v>
      </c>
      <c r="CL159" s="21">
        <f>EXP(-LN(2)/25)*CL158+(1-EXP(-LN(2)/25))/(LN(2)/25)*Calculateur!CG159*Calculateur!CI159*VLOOKUP('Données projet'!$B$12,Paramètres!$A$1:$I$89,3,0)*0.475*44/12</f>
        <v>4.0402141679609018</v>
      </c>
      <c r="CM159" s="21">
        <f>EXP(-LN(2)/2)*CM158+(1-EXP(-LN(2)/2))/(LN(2)/2)*CG159*CJ159*VLOOKUP('Données projet'!$B$12,Paramètres!$A$1:$I$89,3,0)*0.475*44/12</f>
        <v>1.5249361167008887E-13</v>
      </c>
      <c r="CN159" s="22">
        <f t="shared" si="172"/>
        <v>32.09054496541804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69.592379439574202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2.2737367544323206E-13</v>
      </c>
      <c r="CU159" s="17">
        <f>CT159*VLOOKUP('Données projet'!$B$13,Paramètres!$A$1:$I$89,3,0)*VLOOKUP('Données projet'!$B$13,Paramètres!$A$1:$I$89,5,0)</f>
        <v>1.3596945791505279E-13</v>
      </c>
      <c r="CV159" s="13">
        <f t="shared" si="173"/>
        <v>1.9708830566360721E-12</v>
      </c>
      <c r="CW159" s="20">
        <f t="shared" si="174"/>
        <v>3.669434796176543E-12</v>
      </c>
      <c r="CX159" s="59">
        <f t="shared" si="122"/>
        <v>291.83872461177577</v>
      </c>
      <c r="CY159" s="59">
        <f ca="1">AVERAGE(OFFSET($CX$3,0,0,'Données projet'!$E$13+1,1))-AVERAGE(OFFSET($H$3,0,0,'Données projet'!$E$13+1,1))</f>
        <v>352.88552266225872</v>
      </c>
      <c r="CZ159" s="59">
        <f t="shared" si="150"/>
        <v>403.29115295154782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26.41174134314117</v>
      </c>
      <c r="DG159" s="21">
        <f>EXP(-LN(2)/25)*DG158+(1-EXP(-LN(2)/25))/(LN(2)/25)*Calculateur!DB159*Calculateur!DD159*VLOOKUP('Données projet'!$B$13,Paramètres!$A$1:$I$89,3,0)*0.475*44/12</f>
        <v>3.969496662792551</v>
      </c>
      <c r="DH159" s="21">
        <f>EXP(-LN(2)/2)*DH158+(1-EXP(-LN(2)/2))/(LN(2)/2)*DB159*DE159*VLOOKUP('Données projet'!$B$13,Paramètres!$A$1:$I$89,3,0)*0.475*44/12</f>
        <v>1.6918223486961003E-13</v>
      </c>
      <c r="DI159" s="22">
        <f t="shared" si="175"/>
        <v>30.381238005933891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69.592379439574202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69.592379439574202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69.592379439574202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69.592379439574202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69.592379439574202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1.25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4.583333333333333</v>
      </c>
      <c r="H160" s="67">
        <f t="shared" si="110"/>
        <v>238.33333333333334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69.599450744994542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467.10712490977266</v>
      </c>
      <c r="T160" s="59">
        <f t="shared" si="142"/>
        <v>282.99426855025968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89.836409870579644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89.836409870579644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69.599450744994542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-5.1159076974727213E-13</v>
      </c>
      <c r="AJ160" s="13">
        <f>AI160*VLOOKUP('Données projet'!$B$10,Paramètres!$A$1:$I$89,3,0)*VLOOKUP('Données projet'!$B$10,Paramètres!$A$1:$I$89,5,0)</f>
        <v>-4.8682977649150421E-13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399.57236812003225</v>
      </c>
      <c r="AO160" s="59">
        <f t="shared" si="144"/>
        <v>245.95971136213691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62.86959035666802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62.86959035666802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69.599450744994542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2.2737367544323206E-13</v>
      </c>
      <c r="BE160" s="13">
        <f>BD160*VLOOKUP('Données projet'!$B$11,Paramètres!$A$1:$I$89,3,0)*VLOOKUP('Données projet'!$B$11,Paramètres!$A$1:$I$89,5,0)</f>
        <v>1.3596945791505279E-13</v>
      </c>
      <c r="BF160" s="13">
        <f t="shared" si="167"/>
        <v>1.9708830566360721E-12</v>
      </c>
      <c r="BG160" s="20">
        <f t="shared" si="168"/>
        <v>3.669434796176543E-12</v>
      </c>
      <c r="BH160" s="59">
        <f t="shared" si="116"/>
        <v>291.86465273165038</v>
      </c>
      <c r="BI160" s="59">
        <f ca="1">AVERAGE(OFFSET($BH$3,0,0,'Données projet'!$E$11+1,1))-AVERAGE(OFFSET($H$3,0,0,'Données projet'!$E$11+1,1))</f>
        <v>352.88552266225872</v>
      </c>
      <c r="BJ160" s="59">
        <f t="shared" si="146"/>
        <v>403.29115295154782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25.893823204973703</v>
      </c>
      <c r="BQ160" s="21">
        <f>EXP(-LN(2)/25)*BQ159+(1-EXP(-LN(2)/25))/(LN(2)/25)*Calculateur!BL160*Calculateur!BN160*VLOOKUP('Données projet'!$B$11,Paramètres!$A$1:$I$89,3,0)*0.475*44/12</f>
        <v>3.8609505678017317</v>
      </c>
      <c r="BR160" s="21">
        <f>EXP(-LN(2)/2)*BR159+(1-EXP(-LN(2)/2))/(LN(2)/2)*BL160*BO160*VLOOKUP('Données projet'!$B$11,Paramètres!$A$1:$I$89,3,0)*0.475*44/12</f>
        <v>1.1962990553259643E-13</v>
      </c>
      <c r="BS160" s="22">
        <f t="shared" si="169"/>
        <v>29.754773772775557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69.599450744994542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-1.0049916454590858E-13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297.1442218517625</v>
      </c>
      <c r="CE160" s="59">
        <f t="shared" si="148"/>
        <v>326.0112787126069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27.500280919531267</v>
      </c>
      <c r="CL160" s="21">
        <f>EXP(-LN(2)/25)*CL159+(1-EXP(-LN(2)/25))/(LN(2)/25)*Calculateur!CG160*Calculateur!CI160*VLOOKUP('Données projet'!$B$12,Paramètres!$A$1:$I$89,3,0)*0.475*44/12</f>
        <v>3.9297342990723818</v>
      </c>
      <c r="CM160" s="21">
        <f>EXP(-LN(2)/2)*CM159+(1-EXP(-LN(2)/2))/(LN(2)/2)*CG160*CJ160*VLOOKUP('Données projet'!$B$12,Paramètres!$A$1:$I$89,3,0)*0.475*44/12</f>
        <v>1.0782926689954788E-13</v>
      </c>
      <c r="CN160" s="22">
        <f t="shared" si="172"/>
        <v>31.430015218603756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69.599450744994542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2.2737367544323206E-13</v>
      </c>
      <c r="CU160" s="17">
        <f>CT160*VLOOKUP('Données projet'!$B$13,Paramètres!$A$1:$I$89,3,0)*VLOOKUP('Données projet'!$B$13,Paramètres!$A$1:$I$89,5,0)</f>
        <v>1.3596945791505279E-13</v>
      </c>
      <c r="CV160" s="13">
        <f t="shared" si="173"/>
        <v>1.9708830566360721E-12</v>
      </c>
      <c r="CW160" s="20">
        <f t="shared" si="174"/>
        <v>3.669434796176543E-12</v>
      </c>
      <c r="CX160" s="59">
        <f t="shared" si="122"/>
        <v>291.86465273165038</v>
      </c>
      <c r="CY160" s="59">
        <f ca="1">AVERAGE(OFFSET($CX$3,0,0,'Données projet'!$E$13+1,1))-AVERAGE(OFFSET($H$3,0,0,'Données projet'!$E$13+1,1))</f>
        <v>352.88552266225872</v>
      </c>
      <c r="CZ160" s="59">
        <f t="shared" si="150"/>
        <v>403.29115295154782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25.893823204973703</v>
      </c>
      <c r="DG160" s="21">
        <f>EXP(-LN(2)/25)*DG159+(1-EXP(-LN(2)/25))/(LN(2)/25)*Calculateur!DB160*Calculateur!DD160*VLOOKUP('Données projet'!$B$13,Paramètres!$A$1:$I$89,3,0)*0.475*44/12</f>
        <v>3.8609505678017317</v>
      </c>
      <c r="DH160" s="21">
        <f>EXP(-LN(2)/2)*DH159+(1-EXP(-LN(2)/2))/(LN(2)/2)*DB160*DE160*VLOOKUP('Données projet'!$B$13,Paramètres!$A$1:$I$89,3,0)*0.475*44/12</f>
        <v>1.1962990553259643E-13</v>
      </c>
      <c r="DI160" s="22">
        <f t="shared" si="175"/>
        <v>29.754773772775557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69.599450744994542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69.599450744994542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69.599450744994542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69.599450744994542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69.599450744994542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1.25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4.583333333333333</v>
      </c>
      <c r="H161" s="67">
        <f t="shared" si="110"/>
        <v>238.33333333333334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69.606399379074901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467.10712490977266</v>
      </c>
      <c r="T161" s="59">
        <f t="shared" si="142"/>
        <v>282.99426855025968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88.074772667817058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88.074772667817058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69.606399379074901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-5.1159076974727213E-13</v>
      </c>
      <c r="AJ161" s="13">
        <f>AI161*VLOOKUP('Données projet'!$B$10,Paramètres!$A$1:$I$89,3,0)*VLOOKUP('Données projet'!$B$10,Paramètres!$A$1:$I$89,5,0)</f>
        <v>-4.8682977649150421E-13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399.57236812003225</v>
      </c>
      <c r="AO161" s="59">
        <f t="shared" si="144"/>
        <v>245.95971136213691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61.636756036437461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61.636756036437461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69.606399379074901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2.2737367544323206E-13</v>
      </c>
      <c r="BE161" s="13">
        <f>BD161*VLOOKUP('Données projet'!$B$11,Paramètres!$A$1:$I$89,3,0)*VLOOKUP('Données projet'!$B$11,Paramètres!$A$1:$I$89,5,0)</f>
        <v>1.3596945791505279E-13</v>
      </c>
      <c r="BF161" s="13">
        <f t="shared" si="167"/>
        <v>1.9708830566360721E-12</v>
      </c>
      <c r="BG161" s="20">
        <f t="shared" si="168"/>
        <v>3.669434796176543E-12</v>
      </c>
      <c r="BH161" s="59">
        <f t="shared" si="116"/>
        <v>291.89013105661166</v>
      </c>
      <c r="BI161" s="59">
        <f ca="1">AVERAGE(OFFSET($BH$3,0,0,'Données projet'!$E$11+1,1))-AVERAGE(OFFSET($H$3,0,0,'Données projet'!$E$11+1,1))</f>
        <v>352.88552266225872</v>
      </c>
      <c r="BJ161" s="59">
        <f t="shared" si="146"/>
        <v>403.29115295154782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25.386061125596829</v>
      </c>
      <c r="BQ161" s="21">
        <f>EXP(-LN(2)/25)*BQ160+(1-EXP(-LN(2)/25))/(LN(2)/25)*Calculateur!BL161*Calculateur!BN161*VLOOKUP('Données projet'!$B$11,Paramètres!$A$1:$I$89,3,0)*0.475*44/12</f>
        <v>3.7553726714866271</v>
      </c>
      <c r="BR161" s="21">
        <f>EXP(-LN(2)/2)*BR160+(1-EXP(-LN(2)/2))/(LN(2)/2)*BL161*BO161*VLOOKUP('Données projet'!$B$11,Paramètres!$A$1:$I$89,3,0)*0.475*44/12</f>
        <v>8.4591117434805013E-14</v>
      </c>
      <c r="BS161" s="22">
        <f t="shared" si="169"/>
        <v>29.14143379708354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69.606399379074901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-1.0049916454590858E-13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297.1442218517625</v>
      </c>
      <c r="CE161" s="59">
        <f t="shared" si="148"/>
        <v>326.0112787126069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26.961017184214374</v>
      </c>
      <c r="CL161" s="21">
        <f>EXP(-LN(2)/25)*CL160+(1-EXP(-LN(2)/25))/(LN(2)/25)*Calculateur!CG161*Calculateur!CI161*VLOOKUP('Données projet'!$B$12,Paramètres!$A$1:$I$89,3,0)*0.475*44/12</f>
        <v>3.8222755080085022</v>
      </c>
      <c r="CM161" s="21">
        <f>EXP(-LN(2)/2)*CM160+(1-EXP(-LN(2)/2))/(LN(2)/2)*CG161*CJ161*VLOOKUP('Données projet'!$B$12,Paramètres!$A$1:$I$89,3,0)*0.475*44/12</f>
        <v>7.6246805835044437E-14</v>
      </c>
      <c r="CN161" s="22">
        <f t="shared" si="172"/>
        <v>30.78329269222295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69.606399379074901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2.2737367544323206E-13</v>
      </c>
      <c r="CU161" s="17">
        <f>CT161*VLOOKUP('Données projet'!$B$13,Paramètres!$A$1:$I$89,3,0)*VLOOKUP('Données projet'!$B$13,Paramètres!$A$1:$I$89,5,0)</f>
        <v>1.3596945791505279E-13</v>
      </c>
      <c r="CV161" s="13">
        <f t="shared" si="173"/>
        <v>1.9708830566360721E-12</v>
      </c>
      <c r="CW161" s="20">
        <f t="shared" si="174"/>
        <v>3.669434796176543E-12</v>
      </c>
      <c r="CX161" s="59">
        <f t="shared" si="122"/>
        <v>291.89013105661166</v>
      </c>
      <c r="CY161" s="59">
        <f ca="1">AVERAGE(OFFSET($CX$3,0,0,'Données projet'!$E$13+1,1))-AVERAGE(OFFSET($H$3,0,0,'Données projet'!$E$13+1,1))</f>
        <v>352.88552266225872</v>
      </c>
      <c r="CZ161" s="59">
        <f t="shared" si="150"/>
        <v>403.29115295154782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25.386061125596829</v>
      </c>
      <c r="DG161" s="21">
        <f>EXP(-LN(2)/25)*DG160+(1-EXP(-LN(2)/25))/(LN(2)/25)*Calculateur!DB161*Calculateur!DD161*VLOOKUP('Données projet'!$B$13,Paramètres!$A$1:$I$89,3,0)*0.475*44/12</f>
        <v>3.7553726714866271</v>
      </c>
      <c r="DH161" s="21">
        <f>EXP(-LN(2)/2)*DH160+(1-EXP(-LN(2)/2))/(LN(2)/2)*DB161*DE161*VLOOKUP('Données projet'!$B$13,Paramètres!$A$1:$I$89,3,0)*0.475*44/12</f>
        <v>8.4591117434805013E-14</v>
      </c>
      <c r="DI161" s="22">
        <f t="shared" si="175"/>
        <v>29.14143379708354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69.606399379074901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69.606399379074901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69.606399379074901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69.606399379074901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69.606399379074901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1.25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4.583333333333333</v>
      </c>
      <c r="H162" s="67">
        <f t="shared" si="110"/>
        <v>238.33333333333334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69.613227469888798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467.10712490977266</v>
      </c>
      <c r="T162" s="59">
        <f t="shared" si="142"/>
        <v>282.99426855025968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86.34768009610805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86.34768009610805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69.613227469888798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-5.1159076974727213E-13</v>
      </c>
      <c r="AJ162" s="13">
        <f>AI162*VLOOKUP('Données projet'!$B$10,Paramètres!$A$1:$I$89,3,0)*VLOOKUP('Données projet'!$B$10,Paramètres!$A$1:$I$89,5,0)</f>
        <v>-4.8682977649150421E-13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399.57236812003225</v>
      </c>
      <c r="AO162" s="59">
        <f t="shared" si="144"/>
        <v>245.95971136213691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60.428096845271938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60.428096845271938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69.613227469888798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2.2737367544323206E-13</v>
      </c>
      <c r="BE162" s="13">
        <f>BD162*VLOOKUP('Données projet'!$B$11,Paramètres!$A$1:$I$89,3,0)*VLOOKUP('Données projet'!$B$11,Paramètres!$A$1:$I$89,5,0)</f>
        <v>1.3596945791505279E-13</v>
      </c>
      <c r="BF162" s="13">
        <f t="shared" si="167"/>
        <v>1.9708830566360721E-12</v>
      </c>
      <c r="BG162" s="20">
        <f t="shared" si="168"/>
        <v>3.669434796176543E-12</v>
      </c>
      <c r="BH162" s="59">
        <f t="shared" si="116"/>
        <v>291.91516738959592</v>
      </c>
      <c r="BI162" s="59">
        <f ca="1">AVERAGE(OFFSET($BH$3,0,0,'Données projet'!$E$11+1,1))-AVERAGE(OFFSET($H$3,0,0,'Données projet'!$E$11+1,1))</f>
        <v>352.88552266225872</v>
      </c>
      <c r="BJ162" s="59">
        <f t="shared" si="146"/>
        <v>403.29115295154782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24.888255950892248</v>
      </c>
      <c r="BQ162" s="21">
        <f>EXP(-LN(2)/25)*BQ161+(1-EXP(-LN(2)/25))/(LN(2)/25)*Calculateur!BL162*Calculateur!BN162*VLOOKUP('Données projet'!$B$11,Paramètres!$A$1:$I$89,3,0)*0.475*44/12</f>
        <v>3.6526818082983596</v>
      </c>
      <c r="BR162" s="21">
        <f>EXP(-LN(2)/2)*BR161+(1-EXP(-LN(2)/2))/(LN(2)/2)*BL162*BO162*VLOOKUP('Données projet'!$B$11,Paramètres!$A$1:$I$89,3,0)*0.475*44/12</f>
        <v>5.9814952766298213E-14</v>
      </c>
      <c r="BS162" s="22">
        <f t="shared" si="169"/>
        <v>28.540937759190669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69.613227469888798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-1.0049916454590858E-13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297.1442218517625</v>
      </c>
      <c r="CE162" s="59">
        <f t="shared" si="148"/>
        <v>326.0112787126069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26.432328081828643</v>
      </c>
      <c r="CL162" s="21">
        <f>EXP(-LN(2)/25)*CL161+(1-EXP(-LN(2)/25))/(LN(2)/25)*Calculateur!CG162*Calculateur!CI162*VLOOKUP('Données projet'!$B$12,Paramètres!$A$1:$I$89,3,0)*0.475*44/12</f>
        <v>3.7177551832372768</v>
      </c>
      <c r="CM162" s="21">
        <f>EXP(-LN(2)/2)*CM161+(1-EXP(-LN(2)/2))/(LN(2)/2)*CG162*CJ162*VLOOKUP('Données projet'!$B$12,Paramètres!$A$1:$I$89,3,0)*0.475*44/12</f>
        <v>5.3914633449773942E-14</v>
      </c>
      <c r="CN162" s="22">
        <f t="shared" si="172"/>
        <v>30.150083265065973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69.613227469888798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2.2737367544323206E-13</v>
      </c>
      <c r="CU162" s="17">
        <f>CT162*VLOOKUP('Données projet'!$B$13,Paramètres!$A$1:$I$89,3,0)*VLOOKUP('Données projet'!$B$13,Paramètres!$A$1:$I$89,5,0)</f>
        <v>1.3596945791505279E-13</v>
      </c>
      <c r="CV162" s="13">
        <f t="shared" si="173"/>
        <v>1.9708830566360721E-12</v>
      </c>
      <c r="CW162" s="20">
        <f t="shared" si="174"/>
        <v>3.669434796176543E-12</v>
      </c>
      <c r="CX162" s="59">
        <f t="shared" si="122"/>
        <v>291.91516738959592</v>
      </c>
      <c r="CY162" s="59">
        <f ca="1">AVERAGE(OFFSET($CX$3,0,0,'Données projet'!$E$13+1,1))-AVERAGE(OFFSET($H$3,0,0,'Données projet'!$E$13+1,1))</f>
        <v>352.88552266225872</v>
      </c>
      <c r="CZ162" s="59">
        <f t="shared" si="150"/>
        <v>403.29115295154782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24.888255950892248</v>
      </c>
      <c r="DG162" s="21">
        <f>EXP(-LN(2)/25)*DG161+(1-EXP(-LN(2)/25))/(LN(2)/25)*Calculateur!DB162*Calculateur!DD162*VLOOKUP('Données projet'!$B$13,Paramètres!$A$1:$I$89,3,0)*0.475*44/12</f>
        <v>3.6526818082983596</v>
      </c>
      <c r="DH162" s="21">
        <f>EXP(-LN(2)/2)*DH161+(1-EXP(-LN(2)/2))/(LN(2)/2)*DB162*DE162*VLOOKUP('Données projet'!$B$13,Paramètres!$A$1:$I$89,3,0)*0.475*44/12</f>
        <v>5.9814952766298213E-14</v>
      </c>
      <c r="DI162" s="22">
        <f t="shared" si="175"/>
        <v>28.540937759190669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69.613227469888798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69.613227469888798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69.613227469888798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69.613227469888798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69.613227469888798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1.25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4.583333333333333</v>
      </c>
      <c r="H163" s="67">
        <f t="shared" si="110"/>
        <v>238.33333333333334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69.619937108592381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467.10712490977266</v>
      </c>
      <c r="T163" s="59">
        <f t="shared" si="142"/>
        <v>282.99426855025968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84.6544547563078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84.6544547563078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69.619937108592381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-5.1159076974727213E-13</v>
      </c>
      <c r="AJ163" s="13">
        <f>AI163*VLOOKUP('Données projet'!$B$10,Paramètres!$A$1:$I$89,3,0)*VLOOKUP('Données projet'!$B$10,Paramètres!$A$1:$I$89,5,0)</f>
        <v>-4.8682977649150421E-13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399.57236812003225</v>
      </c>
      <c r="AO163" s="59">
        <f t="shared" si="144"/>
        <v>245.95971136213691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59.243138723635852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59.243138723635852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69.619937108592381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2.2737367544323206E-13</v>
      </c>
      <c r="BE163" s="13">
        <f>BD163*VLOOKUP('Données projet'!$B$11,Paramètres!$A$1:$I$89,3,0)*VLOOKUP('Données projet'!$B$11,Paramètres!$A$1:$I$89,5,0)</f>
        <v>1.3596945791505279E-13</v>
      </c>
      <c r="BF163" s="13">
        <f t="shared" si="167"/>
        <v>1.9708830566360721E-12</v>
      </c>
      <c r="BG163" s="20">
        <f t="shared" si="168"/>
        <v>3.669434796176543E-12</v>
      </c>
      <c r="BH163" s="59">
        <f t="shared" si="116"/>
        <v>291.93976939817577</v>
      </c>
      <c r="BI163" s="59">
        <f ca="1">AVERAGE(OFFSET($BH$3,0,0,'Données projet'!$E$11+1,1))-AVERAGE(OFFSET($H$3,0,0,'Données projet'!$E$11+1,1))</f>
        <v>352.88552266225872</v>
      </c>
      <c r="BJ163" s="59">
        <f t="shared" si="146"/>
        <v>403.29115295154782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24.400212432032447</v>
      </c>
      <c r="BQ163" s="21">
        <f>EXP(-LN(2)/25)*BQ162+(1-EXP(-LN(2)/25))/(LN(2)/25)*Calculateur!BL163*Calculateur!BN163*VLOOKUP('Données projet'!$B$11,Paramètres!$A$1:$I$89,3,0)*0.475*44/12</f>
        <v>3.5527990321642529</v>
      </c>
      <c r="BR163" s="21">
        <f>EXP(-LN(2)/2)*BR162+(1-EXP(-LN(2)/2))/(LN(2)/2)*BL163*BO163*VLOOKUP('Données projet'!$B$11,Paramètres!$A$1:$I$89,3,0)*0.475*44/12</f>
        <v>4.2295558717402507E-14</v>
      </c>
      <c r="BS163" s="22">
        <f t="shared" si="169"/>
        <v>27.953011464196742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69.619937108592381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-1.0049916454590858E-13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297.1442218517625</v>
      </c>
      <c r="CE163" s="59">
        <f t="shared" si="148"/>
        <v>326.0112787126069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25.914006250272188</v>
      </c>
      <c r="CL163" s="21">
        <f>EXP(-LN(2)/25)*CL162+(1-EXP(-LN(2)/25))/(LN(2)/25)*Calculateur!CG163*Calculateur!CI163*VLOOKUP('Données projet'!$B$12,Paramètres!$A$1:$I$89,3,0)*0.475*44/12</f>
        <v>3.6160929722434054</v>
      </c>
      <c r="CM163" s="21">
        <f>EXP(-LN(2)/2)*CM162+(1-EXP(-LN(2)/2))/(LN(2)/2)*CG163*CJ163*VLOOKUP('Données projet'!$B$12,Paramètres!$A$1:$I$89,3,0)*0.475*44/12</f>
        <v>3.8123402917522218E-14</v>
      </c>
      <c r="CN163" s="22">
        <f t="shared" si="172"/>
        <v>29.530099222515631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69.619937108592381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2.2737367544323206E-13</v>
      </c>
      <c r="CU163" s="17">
        <f>CT163*VLOOKUP('Données projet'!$B$13,Paramètres!$A$1:$I$89,3,0)*VLOOKUP('Données projet'!$B$13,Paramètres!$A$1:$I$89,5,0)</f>
        <v>1.3596945791505279E-13</v>
      </c>
      <c r="CV163" s="13">
        <f t="shared" si="173"/>
        <v>1.9708830566360721E-12</v>
      </c>
      <c r="CW163" s="20">
        <f t="shared" si="174"/>
        <v>3.669434796176543E-12</v>
      </c>
      <c r="CX163" s="59">
        <f t="shared" si="122"/>
        <v>291.93976939817577</v>
      </c>
      <c r="CY163" s="59">
        <f ca="1">AVERAGE(OFFSET($CX$3,0,0,'Données projet'!$E$13+1,1))-AVERAGE(OFFSET($H$3,0,0,'Données projet'!$E$13+1,1))</f>
        <v>352.88552266225872</v>
      </c>
      <c r="CZ163" s="59">
        <f t="shared" si="150"/>
        <v>403.29115295154782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24.400212432032447</v>
      </c>
      <c r="DG163" s="21">
        <f>EXP(-LN(2)/25)*DG162+(1-EXP(-LN(2)/25))/(LN(2)/25)*Calculateur!DB163*Calculateur!DD163*VLOOKUP('Données projet'!$B$13,Paramètres!$A$1:$I$89,3,0)*0.475*44/12</f>
        <v>3.5527990321642529</v>
      </c>
      <c r="DH163" s="21">
        <f>EXP(-LN(2)/2)*DH162+(1-EXP(-LN(2)/2))/(LN(2)/2)*DB163*DE163*VLOOKUP('Données projet'!$B$13,Paramètres!$A$1:$I$89,3,0)*0.475*44/12</f>
        <v>4.2295558717402507E-14</v>
      </c>
      <c r="DI163" s="22">
        <f t="shared" si="175"/>
        <v>27.953011464196742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69.619937108592381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69.619937108592381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69.619937108592381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69.619937108592381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69.619937108592381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1.25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4.583333333333333</v>
      </c>
      <c r="H164" s="67">
        <f t="shared" si="110"/>
        <v>238.33333333333334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69.626530350064982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467.10712490977266</v>
      </c>
      <c r="T164" s="59">
        <f t="shared" si="142"/>
        <v>282.99426855025968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82.994432532655566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82.994432532655566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69.626530350064982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-5.1159076974727213E-13</v>
      </c>
      <c r="AJ164" s="13">
        <f>AI164*VLOOKUP('Données projet'!$B$10,Paramètres!$A$1:$I$89,3,0)*VLOOKUP('Données projet'!$B$10,Paramètres!$A$1:$I$89,5,0)</f>
        <v>-4.8682977649150421E-13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399.57236812003225</v>
      </c>
      <c r="AO164" s="59">
        <f t="shared" si="144"/>
        <v>245.95971136213691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58.081416908011967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58.081416908011967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69.626530350064982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2.2737367544323206E-13</v>
      </c>
      <c r="BE164" s="13">
        <f>BD164*VLOOKUP('Données projet'!$B$11,Paramètres!$A$1:$I$89,3,0)*VLOOKUP('Données projet'!$B$11,Paramètres!$A$1:$I$89,5,0)</f>
        <v>1.3596945791505279E-13</v>
      </c>
      <c r="BF164" s="13">
        <f t="shared" si="167"/>
        <v>1.9708830566360721E-12</v>
      </c>
      <c r="BG164" s="20">
        <f t="shared" si="168"/>
        <v>3.669434796176543E-12</v>
      </c>
      <c r="BH164" s="59">
        <f t="shared" si="116"/>
        <v>291.96394461690863</v>
      </c>
      <c r="BI164" s="59">
        <f ca="1">AVERAGE(OFFSET($BH$3,0,0,'Données projet'!$E$11+1,1))-AVERAGE(OFFSET($H$3,0,0,'Données projet'!$E$11+1,1))</f>
        <v>352.88552266225872</v>
      </c>
      <c r="BJ164" s="59">
        <f t="shared" si="146"/>
        <v>403.29115295154782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23.921739148900333</v>
      </c>
      <c r="BQ164" s="21">
        <f>EXP(-LN(2)/25)*BQ163+(1-EXP(-LN(2)/25))/(LN(2)/25)*Calculateur!BL164*Calculateur!BN164*VLOOKUP('Données projet'!$B$11,Paramètres!$A$1:$I$89,3,0)*0.475*44/12</f>
        <v>3.4556475557961401</v>
      </c>
      <c r="BR164" s="21">
        <f>EXP(-LN(2)/2)*BR163+(1-EXP(-LN(2)/2))/(LN(2)/2)*BL164*BO164*VLOOKUP('Données projet'!$B$11,Paramètres!$A$1:$I$89,3,0)*0.475*44/12</f>
        <v>2.9907476383149106E-14</v>
      </c>
      <c r="BS164" s="22">
        <f t="shared" si="169"/>
        <v>27.377386704696502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69.626530350064982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-1.0049916454590858E-13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297.1442218517625</v>
      </c>
      <c r="CE164" s="59">
        <f t="shared" si="148"/>
        <v>326.0112787126069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25.405848393687453</v>
      </c>
      <c r="CL164" s="21">
        <f>EXP(-LN(2)/25)*CL163+(1-EXP(-LN(2)/25))/(LN(2)/25)*Calculateur!CG164*Calculateur!CI164*VLOOKUP('Données projet'!$B$12,Paramètres!$A$1:$I$89,3,0)*0.475*44/12</f>
        <v>3.5172107197553446</v>
      </c>
      <c r="CM164" s="21">
        <f>EXP(-LN(2)/2)*CM163+(1-EXP(-LN(2)/2))/(LN(2)/2)*CG164*CJ164*VLOOKUP('Données projet'!$B$12,Paramètres!$A$1:$I$89,3,0)*0.475*44/12</f>
        <v>2.6957316724886971E-14</v>
      </c>
      <c r="CN164" s="22">
        <f t="shared" si="172"/>
        <v>28.923059113442825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69.626530350064982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2.2737367544323206E-13</v>
      </c>
      <c r="CU164" s="17">
        <f>CT164*VLOOKUP('Données projet'!$B$13,Paramètres!$A$1:$I$89,3,0)*VLOOKUP('Données projet'!$B$13,Paramètres!$A$1:$I$89,5,0)</f>
        <v>1.3596945791505279E-13</v>
      </c>
      <c r="CV164" s="13">
        <f t="shared" si="173"/>
        <v>1.9708830566360721E-12</v>
      </c>
      <c r="CW164" s="20">
        <f t="shared" si="174"/>
        <v>3.669434796176543E-12</v>
      </c>
      <c r="CX164" s="59">
        <f t="shared" si="122"/>
        <v>291.96394461690863</v>
      </c>
      <c r="CY164" s="59">
        <f ca="1">AVERAGE(OFFSET($CX$3,0,0,'Données projet'!$E$13+1,1))-AVERAGE(OFFSET($H$3,0,0,'Données projet'!$E$13+1,1))</f>
        <v>352.88552266225872</v>
      </c>
      <c r="CZ164" s="59">
        <f t="shared" si="150"/>
        <v>403.29115295154782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23.921739148900333</v>
      </c>
      <c r="DG164" s="21">
        <f>EXP(-LN(2)/25)*DG163+(1-EXP(-LN(2)/25))/(LN(2)/25)*Calculateur!DB164*Calculateur!DD164*VLOOKUP('Données projet'!$B$13,Paramètres!$A$1:$I$89,3,0)*0.475*44/12</f>
        <v>3.4556475557961401</v>
      </c>
      <c r="DH164" s="21">
        <f>EXP(-LN(2)/2)*DH163+(1-EXP(-LN(2)/2))/(LN(2)/2)*DB164*DE164*VLOOKUP('Données projet'!$B$13,Paramètres!$A$1:$I$89,3,0)*0.475*44/12</f>
        <v>2.9907476383149106E-14</v>
      </c>
      <c r="DI164" s="22">
        <f t="shared" si="175"/>
        <v>27.377386704696502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69.626530350064982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69.626530350064982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69.626530350064982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69.626530350064982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69.626530350064982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1.25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4.583333333333333</v>
      </c>
      <c r="H165" s="67">
        <f t="shared" si="110"/>
        <v>238.33333333333334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69.633009213538301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467.10712490977266</v>
      </c>
      <c r="T165" s="59">
        <f t="shared" si="142"/>
        <v>282.99426855025968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81.366962332295572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81.366962332295572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69.633009213538301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-5.1159076974727213E-13</v>
      </c>
      <c r="AJ165" s="13">
        <f>AI165*VLOOKUP('Données projet'!$B$10,Paramètres!$A$1:$I$89,3,0)*VLOOKUP('Données projet'!$B$10,Paramètres!$A$1:$I$89,5,0)</f>
        <v>-4.8682977649150421E-13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399.57236812003225</v>
      </c>
      <c r="AO165" s="59">
        <f t="shared" si="144"/>
        <v>245.95971136213691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56.942475748612125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56.942475748612125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69.633009213538301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2.2737367544323206E-13</v>
      </c>
      <c r="BE165" s="13">
        <f>BD165*VLOOKUP('Données projet'!$B$11,Paramètres!$A$1:$I$89,3,0)*VLOOKUP('Données projet'!$B$11,Paramètres!$A$1:$I$89,5,0)</f>
        <v>1.3596945791505279E-13</v>
      </c>
      <c r="BF165" s="13">
        <f t="shared" si="167"/>
        <v>1.9708830566360721E-12</v>
      </c>
      <c r="BG165" s="20">
        <f t="shared" si="168"/>
        <v>3.669434796176543E-12</v>
      </c>
      <c r="BH165" s="59">
        <f t="shared" si="116"/>
        <v>291.98770044964414</v>
      </c>
      <c r="BI165" s="59">
        <f ca="1">AVERAGE(OFFSET($BH$3,0,0,'Données projet'!$E$11+1,1))-AVERAGE(OFFSET($H$3,0,0,'Données projet'!$E$11+1,1))</f>
        <v>352.88552266225872</v>
      </c>
      <c r="BJ165" s="59">
        <f t="shared" si="146"/>
        <v>403.29115295154782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23.452648435010556</v>
      </c>
      <c r="BQ165" s="21">
        <f>EXP(-LN(2)/25)*BQ164+(1-EXP(-LN(2)/25))/(LN(2)/25)*Calculateur!BL165*Calculateur!BN165*VLOOKUP('Données projet'!$B$11,Paramètres!$A$1:$I$89,3,0)*0.475*44/12</f>
        <v>3.3611526916582877</v>
      </c>
      <c r="BR165" s="21">
        <f>EXP(-LN(2)/2)*BR164+(1-EXP(-LN(2)/2))/(LN(2)/2)*BL165*BO165*VLOOKUP('Données projet'!$B$11,Paramètres!$A$1:$I$89,3,0)*0.475*44/12</f>
        <v>2.1147779358701253E-14</v>
      </c>
      <c r="BS165" s="22">
        <f t="shared" si="169"/>
        <v>26.813801126668864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69.633009213538301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-1.0049916454590858E-13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297.1442218517625</v>
      </c>
      <c r="CE165" s="59">
        <f t="shared" si="148"/>
        <v>326.0112787126069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24.907655202724655</v>
      </c>
      <c r="CL165" s="21">
        <f>EXP(-LN(2)/25)*CL164+(1-EXP(-LN(2)/25))/(LN(2)/25)*Calculateur!CG165*Calculateur!CI165*VLOOKUP('Données projet'!$B$12,Paramètres!$A$1:$I$89,3,0)*0.475*44/12</f>
        <v>3.4210324076615617</v>
      </c>
      <c r="CM165" s="21">
        <f>EXP(-LN(2)/2)*CM164+(1-EXP(-LN(2)/2))/(LN(2)/2)*CG165*CJ165*VLOOKUP('Données projet'!$B$12,Paramètres!$A$1:$I$89,3,0)*0.475*44/12</f>
        <v>1.9061701458761109E-14</v>
      </c>
      <c r="CN165" s="22">
        <f t="shared" si="172"/>
        <v>28.328687610386236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69.633009213538301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2.2737367544323206E-13</v>
      </c>
      <c r="CU165" s="17">
        <f>CT165*VLOOKUP('Données projet'!$B$13,Paramètres!$A$1:$I$89,3,0)*VLOOKUP('Données projet'!$B$13,Paramètres!$A$1:$I$89,5,0)</f>
        <v>1.3596945791505279E-13</v>
      </c>
      <c r="CV165" s="13">
        <f t="shared" si="173"/>
        <v>1.9708830566360721E-12</v>
      </c>
      <c r="CW165" s="20">
        <f t="shared" si="174"/>
        <v>3.669434796176543E-12</v>
      </c>
      <c r="CX165" s="59">
        <f t="shared" si="122"/>
        <v>291.98770044964414</v>
      </c>
      <c r="CY165" s="59">
        <f ca="1">AVERAGE(OFFSET($CX$3,0,0,'Données projet'!$E$13+1,1))-AVERAGE(OFFSET($H$3,0,0,'Données projet'!$E$13+1,1))</f>
        <v>352.88552266225872</v>
      </c>
      <c r="CZ165" s="59">
        <f t="shared" si="150"/>
        <v>403.29115295154782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23.452648435010556</v>
      </c>
      <c r="DG165" s="21">
        <f>EXP(-LN(2)/25)*DG164+(1-EXP(-LN(2)/25))/(LN(2)/25)*Calculateur!DB165*Calculateur!DD165*VLOOKUP('Données projet'!$B$13,Paramètres!$A$1:$I$89,3,0)*0.475*44/12</f>
        <v>3.3611526916582877</v>
      </c>
      <c r="DH165" s="21">
        <f>EXP(-LN(2)/2)*DH164+(1-EXP(-LN(2)/2))/(LN(2)/2)*DB165*DE165*VLOOKUP('Données projet'!$B$13,Paramètres!$A$1:$I$89,3,0)*0.475*44/12</f>
        <v>2.1147779358701253E-14</v>
      </c>
      <c r="DI165" s="22">
        <f t="shared" si="175"/>
        <v>26.813801126668864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69.633009213538301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69.633009213538301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69.633009213538301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69.633009213538301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69.633009213538301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1.25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4.583333333333333</v>
      </c>
      <c r="H166" s="67">
        <f t="shared" si="110"/>
        <v>238.33333333333334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69.639375683214922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467.10712490977266</v>
      </c>
      <c r="T166" s="59">
        <f t="shared" si="142"/>
        <v>282.99426855025968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79.771405829905831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79.771405829905831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69.639375683214922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-5.1159076974727213E-13</v>
      </c>
      <c r="AJ166" s="13">
        <f>AI166*VLOOKUP('Données projet'!$B$10,Paramètres!$A$1:$I$89,3,0)*VLOOKUP('Données projet'!$B$10,Paramètres!$A$1:$I$89,5,0)</f>
        <v>-4.8682977649150421E-13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399.57236812003225</v>
      </c>
      <c r="AO166" s="59">
        <f t="shared" si="144"/>
        <v>245.95971136213691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55.825868530662596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55.825868530662596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69.639375683214922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2.2737367544323206E-13</v>
      </c>
      <c r="BE166" s="13">
        <f>BD166*VLOOKUP('Données projet'!$B$11,Paramètres!$A$1:$I$89,3,0)*VLOOKUP('Données projet'!$B$11,Paramètres!$A$1:$I$89,5,0)</f>
        <v>1.3596945791505279E-13</v>
      </c>
      <c r="BF166" s="13">
        <f t="shared" si="167"/>
        <v>1.9708830566360721E-12</v>
      </c>
      <c r="BG166" s="20">
        <f t="shared" si="168"/>
        <v>3.669434796176543E-12</v>
      </c>
      <c r="BH166" s="59">
        <f t="shared" si="116"/>
        <v>292.01104417179175</v>
      </c>
      <c r="BI166" s="59">
        <f ca="1">AVERAGE(OFFSET($BH$3,0,0,'Données projet'!$E$11+1,1))-AVERAGE(OFFSET($H$3,0,0,'Données projet'!$E$11+1,1))</f>
        <v>352.88552266225872</v>
      </c>
      <c r="BJ166" s="59">
        <f t="shared" si="146"/>
        <v>403.29115295154782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22.992756303903072</v>
      </c>
      <c r="BQ166" s="21">
        <f>EXP(-LN(2)/25)*BQ165+(1-EXP(-LN(2)/25))/(LN(2)/25)*Calculateur!BL166*Calculateur!BN166*VLOOKUP('Données projet'!$B$11,Paramètres!$A$1:$I$89,3,0)*0.475*44/12</f>
        <v>3.2692417945495538</v>
      </c>
      <c r="BR166" s="21">
        <f>EXP(-LN(2)/2)*BR165+(1-EXP(-LN(2)/2))/(LN(2)/2)*BL166*BO166*VLOOKUP('Données projet'!$B$11,Paramètres!$A$1:$I$89,3,0)*0.475*44/12</f>
        <v>1.4953738191574553E-14</v>
      </c>
      <c r="BS166" s="22">
        <f t="shared" si="169"/>
        <v>26.26199809845264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69.639375683214922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-1.0049916454590858E-13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297.1442218517625</v>
      </c>
      <c r="CE166" s="59">
        <f t="shared" si="148"/>
        <v>326.0112787126069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24.419231276368794</v>
      </c>
      <c r="CL166" s="21">
        <f>EXP(-LN(2)/25)*CL165+(1-EXP(-LN(2)/25))/(LN(2)/25)*Calculateur!CG166*Calculateur!CI166*VLOOKUP('Données projet'!$B$12,Paramètres!$A$1:$I$89,3,0)*0.475*44/12</f>
        <v>3.3274840965697807</v>
      </c>
      <c r="CM166" s="21">
        <f>EXP(-LN(2)/2)*CM165+(1-EXP(-LN(2)/2))/(LN(2)/2)*CG166*CJ166*VLOOKUP('Données projet'!$B$12,Paramètres!$A$1:$I$89,3,0)*0.475*44/12</f>
        <v>1.3478658362443486E-14</v>
      </c>
      <c r="CN166" s="22">
        <f t="shared" si="172"/>
        <v>27.746715372938588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69.639375683214922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2.2737367544323206E-13</v>
      </c>
      <c r="CU166" s="17">
        <f>CT166*VLOOKUP('Données projet'!$B$13,Paramètres!$A$1:$I$89,3,0)*VLOOKUP('Données projet'!$B$13,Paramètres!$A$1:$I$89,5,0)</f>
        <v>1.3596945791505279E-13</v>
      </c>
      <c r="CV166" s="13">
        <f t="shared" si="173"/>
        <v>1.9708830566360721E-12</v>
      </c>
      <c r="CW166" s="20">
        <f t="shared" si="174"/>
        <v>3.669434796176543E-12</v>
      </c>
      <c r="CX166" s="59">
        <f t="shared" si="122"/>
        <v>292.01104417179175</v>
      </c>
      <c r="CY166" s="59">
        <f ca="1">AVERAGE(OFFSET($CX$3,0,0,'Données projet'!$E$13+1,1))-AVERAGE(OFFSET($H$3,0,0,'Données projet'!$E$13+1,1))</f>
        <v>352.88552266225872</v>
      </c>
      <c r="CZ166" s="59">
        <f t="shared" si="150"/>
        <v>403.29115295154782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22.992756303903072</v>
      </c>
      <c r="DG166" s="21">
        <f>EXP(-LN(2)/25)*DG165+(1-EXP(-LN(2)/25))/(LN(2)/25)*Calculateur!DB166*Calculateur!DD166*VLOOKUP('Données projet'!$B$13,Paramètres!$A$1:$I$89,3,0)*0.475*44/12</f>
        <v>3.2692417945495538</v>
      </c>
      <c r="DH166" s="21">
        <f>EXP(-LN(2)/2)*DH165+(1-EXP(-LN(2)/2))/(LN(2)/2)*DB166*DE166*VLOOKUP('Données projet'!$B$13,Paramètres!$A$1:$I$89,3,0)*0.475*44/12</f>
        <v>1.4953738191574553E-14</v>
      </c>
      <c r="DI166" s="22">
        <f t="shared" si="175"/>
        <v>26.26199809845264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69.639375683214922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69.639375683214922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69.639375683214922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69.639375683214922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69.639375683214922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1.25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4.583333333333333</v>
      </c>
      <c r="H167" s="67">
        <f t="shared" si="110"/>
        <v>238.33333333333334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69.645631708875953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467.10712490977266</v>
      </c>
      <c r="T167" s="59">
        <f t="shared" si="142"/>
        <v>282.99426855025968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78.207137217334576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78.207137217334576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69.645631708875953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-5.1159076974727213E-13</v>
      </c>
      <c r="AJ167" s="13">
        <f>AI167*VLOOKUP('Données projet'!$B$10,Paramètres!$A$1:$I$89,3,0)*VLOOKUP('Données projet'!$B$10,Paramètres!$A$1:$I$89,5,0)</f>
        <v>-4.8682977649150421E-13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399.57236812003225</v>
      </c>
      <c r="AO167" s="59">
        <f t="shared" si="144"/>
        <v>245.95971136213691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54.73115729919391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54.73115729919391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69.645631708875953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2.2737367544323206E-13</v>
      </c>
      <c r="BE167" s="13">
        <f>BD167*VLOOKUP('Données projet'!$B$11,Paramètres!$A$1:$I$89,3,0)*VLOOKUP('Données projet'!$B$11,Paramètres!$A$1:$I$89,5,0)</f>
        <v>1.3596945791505279E-13</v>
      </c>
      <c r="BF167" s="13">
        <f t="shared" si="167"/>
        <v>1.9708830566360721E-12</v>
      </c>
      <c r="BG167" s="20">
        <f t="shared" si="168"/>
        <v>3.669434796176543E-12</v>
      </c>
      <c r="BH167" s="59">
        <f t="shared" si="116"/>
        <v>292.03398293254884</v>
      </c>
      <c r="BI167" s="59">
        <f ca="1">AVERAGE(OFFSET($BH$3,0,0,'Données projet'!$E$11+1,1))-AVERAGE(OFFSET($H$3,0,0,'Données projet'!$E$11+1,1))</f>
        <v>352.88552266225872</v>
      </c>
      <c r="BJ167" s="59">
        <f t="shared" si="146"/>
        <v>403.29115295154782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22.541882376980102</v>
      </c>
      <c r="BQ167" s="21">
        <f>EXP(-LN(2)/25)*BQ166+(1-EXP(-LN(2)/25))/(LN(2)/25)*Calculateur!BL167*Calculateur!BN167*VLOOKUP('Données projet'!$B$11,Paramètres!$A$1:$I$89,3,0)*0.475*44/12</f>
        <v>3.1798442057556424</v>
      </c>
      <c r="BR167" s="21">
        <f>EXP(-LN(2)/2)*BR166+(1-EXP(-LN(2)/2))/(LN(2)/2)*BL167*BO167*VLOOKUP('Données projet'!$B$11,Paramètres!$A$1:$I$89,3,0)*0.475*44/12</f>
        <v>1.0573889679350627E-14</v>
      </c>
      <c r="BS167" s="22">
        <f t="shared" si="169"/>
        <v>25.721726582735755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69.645631708875953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-1.0049916454590858E-13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297.1442218517625</v>
      </c>
      <c r="CE167" s="59">
        <f t="shared" si="148"/>
        <v>326.0112787126069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23.940385045299596</v>
      </c>
      <c r="CL167" s="21">
        <f>EXP(-LN(2)/25)*CL166+(1-EXP(-LN(2)/25))/(LN(2)/25)*Calculateur!CG167*Calculateur!CI167*VLOOKUP('Données projet'!$B$12,Paramètres!$A$1:$I$89,3,0)*0.475*44/12</f>
        <v>3.2364938689642964</v>
      </c>
      <c r="CM167" s="21">
        <f>EXP(-LN(2)/2)*CM166+(1-EXP(-LN(2)/2))/(LN(2)/2)*CG167*CJ167*VLOOKUP('Données projet'!$B$12,Paramètres!$A$1:$I$89,3,0)*0.475*44/12</f>
        <v>9.5308507293805546E-15</v>
      </c>
      <c r="CN167" s="22">
        <f t="shared" si="172"/>
        <v>27.176878914263902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69.645631708875953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2.2737367544323206E-13</v>
      </c>
      <c r="CU167" s="17">
        <f>CT167*VLOOKUP('Données projet'!$B$13,Paramètres!$A$1:$I$89,3,0)*VLOOKUP('Données projet'!$B$13,Paramètres!$A$1:$I$89,5,0)</f>
        <v>1.3596945791505279E-13</v>
      </c>
      <c r="CV167" s="13">
        <f t="shared" si="173"/>
        <v>1.9708830566360721E-12</v>
      </c>
      <c r="CW167" s="20">
        <f t="shared" si="174"/>
        <v>3.669434796176543E-12</v>
      </c>
      <c r="CX167" s="59">
        <f t="shared" si="122"/>
        <v>292.03398293254884</v>
      </c>
      <c r="CY167" s="59">
        <f ca="1">AVERAGE(OFFSET($CX$3,0,0,'Données projet'!$E$13+1,1))-AVERAGE(OFFSET($H$3,0,0,'Données projet'!$E$13+1,1))</f>
        <v>352.88552266225872</v>
      </c>
      <c r="CZ167" s="59">
        <f t="shared" si="150"/>
        <v>403.29115295154782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22.541882376980102</v>
      </c>
      <c r="DG167" s="21">
        <f>EXP(-LN(2)/25)*DG166+(1-EXP(-LN(2)/25))/(LN(2)/25)*Calculateur!DB167*Calculateur!DD167*VLOOKUP('Données projet'!$B$13,Paramètres!$A$1:$I$89,3,0)*0.475*44/12</f>
        <v>3.1798442057556424</v>
      </c>
      <c r="DH167" s="21">
        <f>EXP(-LN(2)/2)*DH166+(1-EXP(-LN(2)/2))/(LN(2)/2)*DB167*DE167*VLOOKUP('Données projet'!$B$13,Paramètres!$A$1:$I$89,3,0)*0.475*44/12</f>
        <v>1.0573889679350627E-14</v>
      </c>
      <c r="DI167" s="22">
        <f t="shared" si="175"/>
        <v>25.721726582735755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69.645631708875953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69.645631708875953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69.645631708875953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69.645631708875953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69.645631708875953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1.25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4.583333333333333</v>
      </c>
      <c r="H168" s="67">
        <f t="shared" si="110"/>
        <v>238.33333333333334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69.651779206478153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467.10712490977266</v>
      </c>
      <c r="T168" s="59">
        <f t="shared" si="142"/>
        <v>282.99426855025968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76.6735429581462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76.6735429581462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69.651779206478153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-5.1159076974727213E-13</v>
      </c>
      <c r="AJ168" s="13">
        <f>AI168*VLOOKUP('Données projet'!$B$10,Paramètres!$A$1:$I$89,3,0)*VLOOKUP('Données projet'!$B$10,Paramètres!$A$1:$I$89,5,0)</f>
        <v>-4.8682977649150421E-13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399.57236812003225</v>
      </c>
      <c r="AO168" s="59">
        <f t="shared" si="144"/>
        <v>245.95971136213691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53.657912687266403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53.657912687266403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69.651779206478153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2.2737367544323206E-13</v>
      </c>
      <c r="BE168" s="13">
        <f>BD168*VLOOKUP('Données projet'!$B$11,Paramètres!$A$1:$I$89,3,0)*VLOOKUP('Données projet'!$B$11,Paramètres!$A$1:$I$89,5,0)</f>
        <v>1.3596945791505279E-13</v>
      </c>
      <c r="BF168" s="13">
        <f t="shared" si="167"/>
        <v>1.9708830566360721E-12</v>
      </c>
      <c r="BG168" s="20">
        <f t="shared" si="168"/>
        <v>3.669434796176543E-12</v>
      </c>
      <c r="BH168" s="59">
        <f t="shared" si="116"/>
        <v>292.05652375709025</v>
      </c>
      <c r="BI168" s="59">
        <f ca="1">AVERAGE(OFFSET($BH$3,0,0,'Données projet'!$E$11+1,1))-AVERAGE(OFFSET($H$3,0,0,'Données projet'!$E$11+1,1))</f>
        <v>352.88552266225872</v>
      </c>
      <c r="BJ168" s="59">
        <f t="shared" si="146"/>
        <v>403.29115295154782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22.099849812758151</v>
      </c>
      <c r="BQ168" s="21">
        <f>EXP(-LN(2)/25)*BQ167+(1-EXP(-LN(2)/25))/(LN(2)/25)*Calculateur!BL168*Calculateur!BN168*VLOOKUP('Données projet'!$B$11,Paramètres!$A$1:$I$89,3,0)*0.475*44/12</f>
        <v>3.0928911987285153</v>
      </c>
      <c r="BR168" s="21">
        <f>EXP(-LN(2)/2)*BR167+(1-EXP(-LN(2)/2))/(LN(2)/2)*BL168*BO168*VLOOKUP('Données projet'!$B$11,Paramètres!$A$1:$I$89,3,0)*0.475*44/12</f>
        <v>7.4768690957872766E-15</v>
      </c>
      <c r="BS168" s="22">
        <f t="shared" si="169"/>
        <v>25.192741011486675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69.651779206478153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-1.0049916454590858E-13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297.1442218517625</v>
      </c>
      <c r="CE168" s="59">
        <f t="shared" si="148"/>
        <v>326.0112787126069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23.470928696754303</v>
      </c>
      <c r="CL168" s="21">
        <f>EXP(-LN(2)/25)*CL167+(1-EXP(-LN(2)/25))/(LN(2)/25)*Calculateur!CG168*Calculateur!CI168*VLOOKUP('Données projet'!$B$12,Paramètres!$A$1:$I$89,3,0)*0.475*44/12</f>
        <v>3.1479917739176524</v>
      </c>
      <c r="CM168" s="21">
        <f>EXP(-LN(2)/2)*CM167+(1-EXP(-LN(2)/2))/(LN(2)/2)*CG168*CJ168*VLOOKUP('Données projet'!$B$12,Paramètres!$A$1:$I$89,3,0)*0.475*44/12</f>
        <v>6.7393291812217428E-15</v>
      </c>
      <c r="CN168" s="22">
        <f t="shared" si="172"/>
        <v>26.618920470671963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69.651779206478153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2.2737367544323206E-13</v>
      </c>
      <c r="CU168" s="17">
        <f>CT168*VLOOKUP('Données projet'!$B$13,Paramètres!$A$1:$I$89,3,0)*VLOOKUP('Données projet'!$B$13,Paramètres!$A$1:$I$89,5,0)</f>
        <v>1.3596945791505279E-13</v>
      </c>
      <c r="CV168" s="13">
        <f t="shared" si="173"/>
        <v>1.9708830566360721E-12</v>
      </c>
      <c r="CW168" s="20">
        <f t="shared" si="174"/>
        <v>3.669434796176543E-12</v>
      </c>
      <c r="CX168" s="59">
        <f t="shared" si="122"/>
        <v>292.05652375709025</v>
      </c>
      <c r="CY168" s="59">
        <f ca="1">AVERAGE(OFFSET($CX$3,0,0,'Données projet'!$E$13+1,1))-AVERAGE(OFFSET($H$3,0,0,'Données projet'!$E$13+1,1))</f>
        <v>352.88552266225872</v>
      </c>
      <c r="CZ168" s="59">
        <f t="shared" si="150"/>
        <v>403.29115295154782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22.099849812758151</v>
      </c>
      <c r="DG168" s="21">
        <f>EXP(-LN(2)/25)*DG167+(1-EXP(-LN(2)/25))/(LN(2)/25)*Calculateur!DB168*Calculateur!DD168*VLOOKUP('Données projet'!$B$13,Paramètres!$A$1:$I$89,3,0)*0.475*44/12</f>
        <v>3.0928911987285153</v>
      </c>
      <c r="DH168" s="21">
        <f>EXP(-LN(2)/2)*DH167+(1-EXP(-LN(2)/2))/(LN(2)/2)*DB168*DE168*VLOOKUP('Données projet'!$B$13,Paramètres!$A$1:$I$89,3,0)*0.475*44/12</f>
        <v>7.4768690957872766E-15</v>
      </c>
      <c r="DI168" s="22">
        <f t="shared" si="175"/>
        <v>25.192741011486675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69.651779206478153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69.651779206478153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69.651779206478153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69.651779206478153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69.651779206478153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1.25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4.583333333333333</v>
      </c>
      <c r="H169" s="67">
        <f t="shared" si="110"/>
        <v>238.33333333333334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69.657820058740683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467.10712490977266</v>
      </c>
      <c r="T169" s="59">
        <f t="shared" si="142"/>
        <v>282.99426855025968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75.170021546980379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75.170021546980379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69.657820058740683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-5.1159076974727213E-13</v>
      </c>
      <c r="AJ169" s="13">
        <f>AI169*VLOOKUP('Données projet'!$B$10,Paramètres!$A$1:$I$89,3,0)*VLOOKUP('Données projet'!$B$10,Paramètres!$A$1:$I$89,5,0)</f>
        <v>-4.8682977649150421E-13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399.57236812003225</v>
      </c>
      <c r="AO169" s="59">
        <f t="shared" si="144"/>
        <v>245.95971136213691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52.605713747564216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52.605713747564216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69.657820058740683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2.2737367544323206E-13</v>
      </c>
      <c r="BE169" s="13">
        <f>BD169*VLOOKUP('Données projet'!$B$11,Paramètres!$A$1:$I$89,3,0)*VLOOKUP('Données projet'!$B$11,Paramètres!$A$1:$I$89,5,0)</f>
        <v>1.3596945791505279E-13</v>
      </c>
      <c r="BF169" s="13">
        <f t="shared" si="167"/>
        <v>1.9708830566360721E-12</v>
      </c>
      <c r="BG169" s="20">
        <f t="shared" si="168"/>
        <v>3.669434796176543E-12</v>
      </c>
      <c r="BH169" s="59">
        <f t="shared" si="116"/>
        <v>292.07867354871951</v>
      </c>
      <c r="BI169" s="59">
        <f ca="1">AVERAGE(OFFSET($BH$3,0,0,'Données projet'!$E$11+1,1))-AVERAGE(OFFSET($H$3,0,0,'Données projet'!$E$11+1,1))</f>
        <v>352.88552266225872</v>
      </c>
      <c r="BJ169" s="59">
        <f t="shared" si="146"/>
        <v>403.29115295154782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21.666485237507352</v>
      </c>
      <c r="BQ169" s="21">
        <f>EXP(-LN(2)/25)*BQ168+(1-EXP(-LN(2)/25))/(LN(2)/25)*Calculateur!BL169*Calculateur!BN169*VLOOKUP('Données projet'!$B$11,Paramètres!$A$1:$I$89,3,0)*0.475*44/12</f>
        <v>3.0083159262512047</v>
      </c>
      <c r="BR169" s="21">
        <f>EXP(-LN(2)/2)*BR168+(1-EXP(-LN(2)/2))/(LN(2)/2)*BL169*BO169*VLOOKUP('Données projet'!$B$11,Paramètres!$A$1:$I$89,3,0)*0.475*44/12</f>
        <v>5.2869448396753133E-15</v>
      </c>
      <c r="BS169" s="22">
        <f t="shared" si="169"/>
        <v>24.674801163758559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69.657820058740683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-1.0049916454590858E-13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297.1442218517625</v>
      </c>
      <c r="CE169" s="59">
        <f t="shared" si="148"/>
        <v>326.0112787126069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23.010678100863885</v>
      </c>
      <c r="CL169" s="21">
        <f>EXP(-LN(2)/25)*CL168+(1-EXP(-LN(2)/25))/(LN(2)/25)*Calculateur!CG169*Calculateur!CI169*VLOOKUP('Données projet'!$B$12,Paramètres!$A$1:$I$89,3,0)*0.475*44/12</f>
        <v>3.0619097733141816</v>
      </c>
      <c r="CM169" s="21">
        <f>EXP(-LN(2)/2)*CM168+(1-EXP(-LN(2)/2))/(LN(2)/2)*CG169*CJ169*VLOOKUP('Données projet'!$B$12,Paramètres!$A$1:$I$89,3,0)*0.475*44/12</f>
        <v>4.7654253646902773E-15</v>
      </c>
      <c r="CN169" s="22">
        <f t="shared" si="172"/>
        <v>26.072587874178069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69.657820058740683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2.2737367544323206E-13</v>
      </c>
      <c r="CU169" s="17">
        <f>CT169*VLOOKUP('Données projet'!$B$13,Paramètres!$A$1:$I$89,3,0)*VLOOKUP('Données projet'!$B$13,Paramètres!$A$1:$I$89,5,0)</f>
        <v>1.3596945791505279E-13</v>
      </c>
      <c r="CV169" s="13">
        <f t="shared" si="173"/>
        <v>1.9708830566360721E-12</v>
      </c>
      <c r="CW169" s="20">
        <f t="shared" si="174"/>
        <v>3.669434796176543E-12</v>
      </c>
      <c r="CX169" s="59">
        <f t="shared" si="122"/>
        <v>292.07867354871951</v>
      </c>
      <c r="CY169" s="59">
        <f ca="1">AVERAGE(OFFSET($CX$3,0,0,'Données projet'!$E$13+1,1))-AVERAGE(OFFSET($H$3,0,0,'Données projet'!$E$13+1,1))</f>
        <v>352.88552266225872</v>
      </c>
      <c r="CZ169" s="59">
        <f t="shared" si="150"/>
        <v>403.29115295154782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21.666485237507352</v>
      </c>
      <c r="DG169" s="21">
        <f>EXP(-LN(2)/25)*DG168+(1-EXP(-LN(2)/25))/(LN(2)/25)*Calculateur!DB169*Calculateur!DD169*VLOOKUP('Données projet'!$B$13,Paramètres!$A$1:$I$89,3,0)*0.475*44/12</f>
        <v>3.0083159262512047</v>
      </c>
      <c r="DH169" s="21">
        <f>EXP(-LN(2)/2)*DH168+(1-EXP(-LN(2)/2))/(LN(2)/2)*DB169*DE169*VLOOKUP('Données projet'!$B$13,Paramètres!$A$1:$I$89,3,0)*0.475*44/12</f>
        <v>5.2869448396753133E-15</v>
      </c>
      <c r="DI169" s="22">
        <f t="shared" si="175"/>
        <v>24.674801163758559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69.657820058740683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69.657820058740683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69.657820058740683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69.657820058740683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69.657820058740683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1.25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4.583333333333333</v>
      </c>
      <c r="H170" s="67">
        <f t="shared" si="110"/>
        <v>238.33333333333334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69.663756115721796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467.10712490977266</v>
      </c>
      <c r="T170" s="59">
        <f t="shared" si="142"/>
        <v>282.99426855025968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73.695983273630006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73.695983273630006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69.663756115721796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-5.1159076974727213E-13</v>
      </c>
      <c r="AJ170" s="13">
        <f>AI170*VLOOKUP('Données projet'!$B$10,Paramètres!$A$1:$I$89,3,0)*VLOOKUP('Données projet'!$B$10,Paramètres!$A$1:$I$89,5,0)</f>
        <v>-4.8682977649150421E-13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399.57236812003225</v>
      </c>
      <c r="AO170" s="59">
        <f t="shared" si="144"/>
        <v>245.95971136213691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51.574147787291608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51.574147787291608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69.663756115721796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2.2737367544323206E-13</v>
      </c>
      <c r="BE170" s="13">
        <f>BD170*VLOOKUP('Données projet'!$B$11,Paramètres!$A$1:$I$89,3,0)*VLOOKUP('Données projet'!$B$11,Paramètres!$A$1:$I$89,5,0)</f>
        <v>1.3596945791505279E-13</v>
      </c>
      <c r="BF170" s="13">
        <f t="shared" si="167"/>
        <v>1.9708830566360721E-12</v>
      </c>
      <c r="BG170" s="20">
        <f t="shared" si="168"/>
        <v>3.669434796176543E-12</v>
      </c>
      <c r="BH170" s="59">
        <f t="shared" si="116"/>
        <v>292.10043909098363</v>
      </c>
      <c r="BI170" s="59">
        <f ca="1">AVERAGE(OFFSET($BH$3,0,0,'Données projet'!$E$11+1,1))-AVERAGE(OFFSET($H$3,0,0,'Données projet'!$E$11+1,1))</f>
        <v>352.88552266225872</v>
      </c>
      <c r="BJ170" s="59">
        <f t="shared" si="146"/>
        <v>403.29115295154782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21.24161867725093</v>
      </c>
      <c r="BQ170" s="21">
        <f>EXP(-LN(2)/25)*BQ169+(1-EXP(-LN(2)/25))/(LN(2)/25)*Calculateur!BL170*Calculateur!BN170*VLOOKUP('Données projet'!$B$11,Paramètres!$A$1:$I$89,3,0)*0.475*44/12</f>
        <v>2.9260533690474064</v>
      </c>
      <c r="BR170" s="21">
        <f>EXP(-LN(2)/2)*BR169+(1-EXP(-LN(2)/2))/(LN(2)/2)*BL170*BO170*VLOOKUP('Données projet'!$B$11,Paramètres!$A$1:$I$89,3,0)*0.475*44/12</f>
        <v>3.7384345478936383E-15</v>
      </c>
      <c r="BS170" s="22">
        <f t="shared" si="169"/>
        <v>24.167672046298339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69.663756115721796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-1.0049916454590858E-13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297.1442218517625</v>
      </c>
      <c r="CE170" s="59">
        <f t="shared" si="148"/>
        <v>326.0112787126069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22.55945273843373</v>
      </c>
      <c r="CL170" s="21">
        <f>EXP(-LN(2)/25)*CL169+(1-EXP(-LN(2)/25))/(LN(2)/25)*Calculateur!CG170*Calculateur!CI170*VLOOKUP('Données projet'!$B$12,Paramètres!$A$1:$I$89,3,0)*0.475*44/12</f>
        <v>2.9781816895440683</v>
      </c>
      <c r="CM170" s="21">
        <f>EXP(-LN(2)/2)*CM169+(1-EXP(-LN(2)/2))/(LN(2)/2)*CG170*CJ170*VLOOKUP('Données projet'!$B$12,Paramètres!$A$1:$I$89,3,0)*0.475*44/12</f>
        <v>3.3696645906108714E-15</v>
      </c>
      <c r="CN170" s="22">
        <f t="shared" si="172"/>
        <v>25.537634427977803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69.663756115721796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2.2737367544323206E-13</v>
      </c>
      <c r="CU170" s="17">
        <f>CT170*VLOOKUP('Données projet'!$B$13,Paramètres!$A$1:$I$89,3,0)*VLOOKUP('Données projet'!$B$13,Paramètres!$A$1:$I$89,5,0)</f>
        <v>1.3596945791505279E-13</v>
      </c>
      <c r="CV170" s="13">
        <f t="shared" si="173"/>
        <v>1.9708830566360721E-12</v>
      </c>
      <c r="CW170" s="20">
        <f t="shared" si="174"/>
        <v>3.669434796176543E-12</v>
      </c>
      <c r="CX170" s="59">
        <f t="shared" si="122"/>
        <v>292.10043909098363</v>
      </c>
      <c r="CY170" s="59">
        <f ca="1">AVERAGE(OFFSET($CX$3,0,0,'Données projet'!$E$13+1,1))-AVERAGE(OFFSET($H$3,0,0,'Données projet'!$E$13+1,1))</f>
        <v>352.88552266225872</v>
      </c>
      <c r="CZ170" s="59">
        <f t="shared" si="150"/>
        <v>403.29115295154782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21.24161867725093</v>
      </c>
      <c r="DG170" s="21">
        <f>EXP(-LN(2)/25)*DG169+(1-EXP(-LN(2)/25))/(LN(2)/25)*Calculateur!DB170*Calculateur!DD170*VLOOKUP('Données projet'!$B$13,Paramètres!$A$1:$I$89,3,0)*0.475*44/12</f>
        <v>2.9260533690474064</v>
      </c>
      <c r="DH170" s="21">
        <f>EXP(-LN(2)/2)*DH169+(1-EXP(-LN(2)/2))/(LN(2)/2)*DB170*DE170*VLOOKUP('Données projet'!$B$13,Paramètres!$A$1:$I$89,3,0)*0.475*44/12</f>
        <v>3.7384345478936383E-15</v>
      </c>
      <c r="DI170" s="22">
        <f t="shared" si="175"/>
        <v>24.167672046298339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69.663756115721796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69.663756115721796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69.663756115721796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69.663756115721796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69.663756115721796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1.25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4.583333333333333</v>
      </c>
      <c r="H171" s="67">
        <f t="shared" si="110"/>
        <v>238.33333333333334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69.669589195385313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467.10712490977266</v>
      </c>
      <c r="T171" s="59">
        <f t="shared" si="142"/>
        <v>282.99426855025968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72.250849991745469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72.250849991745469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69.669589195385313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-5.1159076974727213E-13</v>
      </c>
      <c r="AJ171" s="13">
        <f>AI171*VLOOKUP('Données projet'!$B$10,Paramètres!$A$1:$I$89,3,0)*VLOOKUP('Données projet'!$B$10,Paramètres!$A$1:$I$89,5,0)</f>
        <v>-4.8682977649150421E-13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399.57236812003225</v>
      </c>
      <c r="AO171" s="59">
        <f t="shared" si="144"/>
        <v>245.95971136213691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50.562810206306835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50.562810206306835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69.669589195385313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2.2737367544323206E-13</v>
      </c>
      <c r="BE171" s="13">
        <f>BD171*VLOOKUP('Données projet'!$B$11,Paramètres!$A$1:$I$89,3,0)*VLOOKUP('Données projet'!$B$11,Paramètres!$A$1:$I$89,5,0)</f>
        <v>1.3596945791505279E-13</v>
      </c>
      <c r="BF171" s="13">
        <f t="shared" si="167"/>
        <v>1.9708830566360721E-12</v>
      </c>
      <c r="BG171" s="20">
        <f t="shared" si="168"/>
        <v>3.669434796176543E-12</v>
      </c>
      <c r="BH171" s="59">
        <f t="shared" si="116"/>
        <v>292.12182704974987</v>
      </c>
      <c r="BI171" s="59">
        <f ca="1">AVERAGE(OFFSET($BH$3,0,0,'Données projet'!$E$11+1,1))-AVERAGE(OFFSET($H$3,0,0,'Données projet'!$E$11+1,1))</f>
        <v>352.88552266225872</v>
      </c>
      <c r="BJ171" s="59">
        <f t="shared" si="146"/>
        <v>403.29115295154782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20.825083491098123</v>
      </c>
      <c r="BQ171" s="21">
        <f>EXP(-LN(2)/25)*BQ170+(1-EXP(-LN(2)/25))/(LN(2)/25)*Calculateur!BL171*Calculateur!BN171*VLOOKUP('Données projet'!$B$11,Paramètres!$A$1:$I$89,3,0)*0.475*44/12</f>
        <v>2.846040285796346</v>
      </c>
      <c r="BR171" s="21">
        <f>EXP(-LN(2)/2)*BR170+(1-EXP(-LN(2)/2))/(LN(2)/2)*BL171*BO171*VLOOKUP('Données projet'!$B$11,Paramètres!$A$1:$I$89,3,0)*0.475*44/12</f>
        <v>2.6434724198376567E-15</v>
      </c>
      <c r="BS171" s="22">
        <f t="shared" si="169"/>
        <v>23.671123776894472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69.669589195385313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-1.0049916454590858E-13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297.1442218517625</v>
      </c>
      <c r="CE171" s="59">
        <f t="shared" si="148"/>
        <v>326.0112787126069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22.117075630140537</v>
      </c>
      <c r="CL171" s="21">
        <f>EXP(-LN(2)/25)*CL170+(1-EXP(-LN(2)/25))/(LN(2)/25)*Calculateur!CG171*Calculateur!CI171*VLOOKUP('Données projet'!$B$12,Paramètres!$A$1:$I$89,3,0)*0.475*44/12</f>
        <v>2.8967431546277176</v>
      </c>
      <c r="CM171" s="21">
        <f>EXP(-LN(2)/2)*CM170+(1-EXP(-LN(2)/2))/(LN(2)/2)*CG171*CJ171*VLOOKUP('Données projet'!$B$12,Paramètres!$A$1:$I$89,3,0)*0.475*44/12</f>
        <v>2.3827126823451386E-15</v>
      </c>
      <c r="CN171" s="22">
        <f t="shared" si="172"/>
        <v>25.013818784768258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69.669589195385313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2.2737367544323206E-13</v>
      </c>
      <c r="CU171" s="17">
        <f>CT171*VLOOKUP('Données projet'!$B$13,Paramètres!$A$1:$I$89,3,0)*VLOOKUP('Données projet'!$B$13,Paramètres!$A$1:$I$89,5,0)</f>
        <v>1.3596945791505279E-13</v>
      </c>
      <c r="CV171" s="13">
        <f t="shared" si="173"/>
        <v>1.9708830566360721E-12</v>
      </c>
      <c r="CW171" s="20">
        <f t="shared" si="174"/>
        <v>3.669434796176543E-12</v>
      </c>
      <c r="CX171" s="59">
        <f t="shared" si="122"/>
        <v>292.12182704974987</v>
      </c>
      <c r="CY171" s="59">
        <f ca="1">AVERAGE(OFFSET($CX$3,0,0,'Données projet'!$E$13+1,1))-AVERAGE(OFFSET($H$3,0,0,'Données projet'!$E$13+1,1))</f>
        <v>352.88552266225872</v>
      </c>
      <c r="CZ171" s="59">
        <f t="shared" si="150"/>
        <v>403.29115295154782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20.825083491098123</v>
      </c>
      <c r="DG171" s="21">
        <f>EXP(-LN(2)/25)*DG170+(1-EXP(-LN(2)/25))/(LN(2)/25)*Calculateur!DB171*Calculateur!DD171*VLOOKUP('Données projet'!$B$13,Paramètres!$A$1:$I$89,3,0)*0.475*44/12</f>
        <v>2.846040285796346</v>
      </c>
      <c r="DH171" s="21">
        <f>EXP(-LN(2)/2)*DH170+(1-EXP(-LN(2)/2))/(LN(2)/2)*DB171*DE171*VLOOKUP('Données projet'!$B$13,Paramètres!$A$1:$I$89,3,0)*0.475*44/12</f>
        <v>2.6434724198376567E-15</v>
      </c>
      <c r="DI171" s="22">
        <f t="shared" si="175"/>
        <v>23.671123776894472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69.669589195385313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69.669589195385313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69.669589195385313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69.669589195385313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69.669589195385313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1.25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4.583333333333333</v>
      </c>
      <c r="H172" s="67">
        <f t="shared" si="110"/>
        <v>238.33333333333334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69.675321084157474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467.10712490977266</v>
      </c>
      <c r="T172" s="59">
        <f t="shared" si="142"/>
        <v>282.99426855025968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70.83405489207442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70.83405489207442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69.675321084157474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-5.1159076974727213E-13</v>
      </c>
      <c r="AJ172" s="13">
        <f>AI172*VLOOKUP('Données projet'!$B$10,Paramètres!$A$1:$I$89,3,0)*VLOOKUP('Données projet'!$B$10,Paramètres!$A$1:$I$89,5,0)</f>
        <v>-4.8682977649150421E-13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399.57236812003225</v>
      </c>
      <c r="AO172" s="59">
        <f t="shared" si="144"/>
        <v>245.95971136213691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49.57130433843016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49.57130433843016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69.675321084157474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2.2737367544323206E-13</v>
      </c>
      <c r="BE172" s="13">
        <f>BD172*VLOOKUP('Données projet'!$B$11,Paramètres!$A$1:$I$89,3,0)*VLOOKUP('Données projet'!$B$11,Paramètres!$A$1:$I$89,5,0)</f>
        <v>1.3596945791505279E-13</v>
      </c>
      <c r="BF172" s="13">
        <f t="shared" si="167"/>
        <v>1.9708830566360721E-12</v>
      </c>
      <c r="BG172" s="20">
        <f t="shared" si="168"/>
        <v>3.669434796176543E-12</v>
      </c>
      <c r="BH172" s="59">
        <f t="shared" si="116"/>
        <v>292.14284397524773</v>
      </c>
      <c r="BI172" s="59">
        <f ca="1">AVERAGE(OFFSET($BH$3,0,0,'Données projet'!$E$11+1,1))-AVERAGE(OFFSET($H$3,0,0,'Données projet'!$E$11+1,1))</f>
        <v>352.88552266225872</v>
      </c>
      <c r="BJ172" s="59">
        <f t="shared" si="146"/>
        <v>403.29115295154782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20.416716305884396</v>
      </c>
      <c r="BQ172" s="21">
        <f>EXP(-LN(2)/25)*BQ171+(1-EXP(-LN(2)/25))/(LN(2)/25)*Calculateur!BL172*Calculateur!BN172*VLOOKUP('Données projet'!$B$11,Paramètres!$A$1:$I$89,3,0)*0.475*44/12</f>
        <v>2.768215164514491</v>
      </c>
      <c r="BR172" s="21">
        <f>EXP(-LN(2)/2)*BR171+(1-EXP(-LN(2)/2))/(LN(2)/2)*BL172*BO172*VLOOKUP('Données projet'!$B$11,Paramètres!$A$1:$I$89,3,0)*0.475*44/12</f>
        <v>1.8692172739468191E-15</v>
      </c>
      <c r="BS172" s="22">
        <f t="shared" si="169"/>
        <v>23.18493147039889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69.675321084157474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-1.0049916454590858E-13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297.1442218517625</v>
      </c>
      <c r="CE172" s="59">
        <f t="shared" si="148"/>
        <v>326.0112787126069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21.683373267117581</v>
      </c>
      <c r="CL172" s="21">
        <f>EXP(-LN(2)/25)*CL171+(1-EXP(-LN(2)/25))/(LN(2)/25)*Calculateur!CG172*Calculateur!CI172*VLOOKUP('Données projet'!$B$12,Paramètres!$A$1:$I$89,3,0)*0.475*44/12</f>
        <v>2.8175315607313207</v>
      </c>
      <c r="CM172" s="21">
        <f>EXP(-LN(2)/2)*CM171+(1-EXP(-LN(2)/2))/(LN(2)/2)*CG172*CJ172*VLOOKUP('Données projet'!$B$12,Paramètres!$A$1:$I$89,3,0)*0.475*44/12</f>
        <v>1.6848322953054357E-15</v>
      </c>
      <c r="CN172" s="22">
        <f t="shared" si="172"/>
        <v>24.500904827848903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69.675321084157474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2.2737367544323206E-13</v>
      </c>
      <c r="CU172" s="17">
        <f>CT172*VLOOKUP('Données projet'!$B$13,Paramètres!$A$1:$I$89,3,0)*VLOOKUP('Données projet'!$B$13,Paramètres!$A$1:$I$89,5,0)</f>
        <v>1.3596945791505279E-13</v>
      </c>
      <c r="CV172" s="13">
        <f t="shared" si="173"/>
        <v>1.9708830566360721E-12</v>
      </c>
      <c r="CW172" s="20">
        <f t="shared" si="174"/>
        <v>3.669434796176543E-12</v>
      </c>
      <c r="CX172" s="59">
        <f t="shared" si="122"/>
        <v>292.14284397524773</v>
      </c>
      <c r="CY172" s="59">
        <f ca="1">AVERAGE(OFFSET($CX$3,0,0,'Données projet'!$E$13+1,1))-AVERAGE(OFFSET($H$3,0,0,'Données projet'!$E$13+1,1))</f>
        <v>352.88552266225872</v>
      </c>
      <c r="CZ172" s="59">
        <f t="shared" si="150"/>
        <v>403.29115295154782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20.416716305884396</v>
      </c>
      <c r="DG172" s="21">
        <f>EXP(-LN(2)/25)*DG171+(1-EXP(-LN(2)/25))/(LN(2)/25)*Calculateur!DB172*Calculateur!DD172*VLOOKUP('Données projet'!$B$13,Paramètres!$A$1:$I$89,3,0)*0.475*44/12</f>
        <v>2.768215164514491</v>
      </c>
      <c r="DH172" s="21">
        <f>EXP(-LN(2)/2)*DH171+(1-EXP(-LN(2)/2))/(LN(2)/2)*DB172*DE172*VLOOKUP('Données projet'!$B$13,Paramètres!$A$1:$I$89,3,0)*0.475*44/12</f>
        <v>1.8692172739468191E-15</v>
      </c>
      <c r="DI172" s="22">
        <f t="shared" si="175"/>
        <v>23.18493147039889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69.675321084157474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69.675321084157474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69.675321084157474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69.675321084157474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69.675321084157474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1.25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4.583333333333333</v>
      </c>
      <c r="H173" s="67">
        <f t="shared" si="110"/>
        <v>238.33333333333334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69.680953537474039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467.10712490977266</v>
      </c>
      <c r="T173" s="59">
        <f t="shared" si="142"/>
        <v>282.99426855025968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69.445042280148229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69.445042280148229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69.680953537474039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-5.1159076974727213E-13</v>
      </c>
      <c r="AJ173" s="13">
        <f>AI173*VLOOKUP('Données projet'!$B$10,Paramètres!$A$1:$I$89,3,0)*VLOOKUP('Données projet'!$B$10,Paramètres!$A$1:$I$89,5,0)</f>
        <v>-4.8682977649150421E-13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399.57236812003225</v>
      </c>
      <c r="AO173" s="59">
        <f t="shared" si="144"/>
        <v>245.95971136213691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48.599241295863685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48.599241295863685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69.680953537474039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2.2737367544323206E-13</v>
      </c>
      <c r="BE173" s="13">
        <f>BD173*VLOOKUP('Données projet'!$B$11,Paramètres!$A$1:$I$89,3,0)*VLOOKUP('Données projet'!$B$11,Paramètres!$A$1:$I$89,5,0)</f>
        <v>1.3596945791505279E-13</v>
      </c>
      <c r="BF173" s="13">
        <f t="shared" si="167"/>
        <v>1.9708830566360721E-12</v>
      </c>
      <c r="BG173" s="20">
        <f t="shared" si="168"/>
        <v>3.669434796176543E-12</v>
      </c>
      <c r="BH173" s="59">
        <f t="shared" si="116"/>
        <v>292.16349630407518</v>
      </c>
      <c r="BI173" s="59">
        <f ca="1">AVERAGE(OFFSET($BH$3,0,0,'Données projet'!$E$11+1,1))-AVERAGE(OFFSET($H$3,0,0,'Données projet'!$E$11+1,1))</f>
        <v>352.88552266225872</v>
      </c>
      <c r="BJ173" s="59">
        <f t="shared" si="146"/>
        <v>403.29115295154782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20.016356952093322</v>
      </c>
      <c r="BQ173" s="21">
        <f>EXP(-LN(2)/25)*BQ172+(1-EXP(-LN(2)/25))/(LN(2)/25)*Calculateur!BL173*Calculateur!BN173*VLOOKUP('Données projet'!$B$11,Paramètres!$A$1:$I$89,3,0)*0.475*44/12</f>
        <v>2.6925181752667338</v>
      </c>
      <c r="BR173" s="21">
        <f>EXP(-LN(2)/2)*BR172+(1-EXP(-LN(2)/2))/(LN(2)/2)*BL173*BO173*VLOOKUP('Données projet'!$B$11,Paramètres!$A$1:$I$89,3,0)*0.475*44/12</f>
        <v>1.3217362099188283E-15</v>
      </c>
      <c r="BS173" s="22">
        <f t="shared" si="169"/>
        <v>22.708875127360056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69.680953537474039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-1.0049916454590858E-13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297.1442218517625</v>
      </c>
      <c r="CE173" s="59">
        <f t="shared" si="148"/>
        <v>326.0112787126069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21.258175542901185</v>
      </c>
      <c r="CL173" s="21">
        <f>EXP(-LN(2)/25)*CL172+(1-EXP(-LN(2)/25))/(LN(2)/25)*Calculateur!CG173*Calculateur!CI173*VLOOKUP('Données projet'!$B$12,Paramètres!$A$1:$I$89,3,0)*0.475*44/12</f>
        <v>2.7404860120355776</v>
      </c>
      <c r="CM173" s="21">
        <f>EXP(-LN(2)/2)*CM172+(1-EXP(-LN(2)/2))/(LN(2)/2)*CG173*CJ173*VLOOKUP('Données projet'!$B$12,Paramètres!$A$1:$I$89,3,0)*0.475*44/12</f>
        <v>1.1913563411725693E-15</v>
      </c>
      <c r="CN173" s="22">
        <f t="shared" si="172"/>
        <v>23.998661554936763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69.680953537474039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2.2737367544323206E-13</v>
      </c>
      <c r="CU173" s="17">
        <f>CT173*VLOOKUP('Données projet'!$B$13,Paramètres!$A$1:$I$89,3,0)*VLOOKUP('Données projet'!$B$13,Paramètres!$A$1:$I$89,5,0)</f>
        <v>1.3596945791505279E-13</v>
      </c>
      <c r="CV173" s="13">
        <f t="shared" si="173"/>
        <v>1.9708830566360721E-12</v>
      </c>
      <c r="CW173" s="20">
        <f t="shared" si="174"/>
        <v>3.669434796176543E-12</v>
      </c>
      <c r="CX173" s="59">
        <f t="shared" si="122"/>
        <v>292.16349630407518</v>
      </c>
      <c r="CY173" s="59">
        <f ca="1">AVERAGE(OFFSET($CX$3,0,0,'Données projet'!$E$13+1,1))-AVERAGE(OFFSET($H$3,0,0,'Données projet'!$E$13+1,1))</f>
        <v>352.88552266225872</v>
      </c>
      <c r="CZ173" s="59">
        <f t="shared" si="150"/>
        <v>403.29115295154782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20.016356952093322</v>
      </c>
      <c r="DG173" s="21">
        <f>EXP(-LN(2)/25)*DG172+(1-EXP(-LN(2)/25))/(LN(2)/25)*Calculateur!DB173*Calculateur!DD173*VLOOKUP('Données projet'!$B$13,Paramètres!$A$1:$I$89,3,0)*0.475*44/12</f>
        <v>2.6925181752667338</v>
      </c>
      <c r="DH173" s="21">
        <f>EXP(-LN(2)/2)*DH172+(1-EXP(-LN(2)/2))/(LN(2)/2)*DB173*DE173*VLOOKUP('Données projet'!$B$13,Paramètres!$A$1:$I$89,3,0)*0.475*44/12</f>
        <v>1.3217362099188283E-15</v>
      </c>
      <c r="DI173" s="22">
        <f t="shared" si="175"/>
        <v>22.708875127360056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69.680953537474039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69.680953537474039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69.680953537474039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69.680953537474039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69.680953537474039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1.25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4.583333333333333</v>
      </c>
      <c r="H174" s="67">
        <f t="shared" si="110"/>
        <v>238.33333333333334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69.686488280317832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467.10712490977266</v>
      </c>
      <c r="T174" s="59">
        <f t="shared" si="142"/>
        <v>282.99426855025968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68.083267358327873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68.083267358327873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69.686488280317832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-5.1159076974727213E-13</v>
      </c>
      <c r="AJ174" s="13">
        <f>AI174*VLOOKUP('Données projet'!$B$10,Paramètres!$A$1:$I$89,3,0)*VLOOKUP('Données projet'!$B$10,Paramètres!$A$1:$I$89,5,0)</f>
        <v>-4.8682977649150421E-13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399.57236812003225</v>
      </c>
      <c r="AO174" s="59">
        <f t="shared" si="144"/>
        <v>245.95971136213691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47.646239816662025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47.646239816662025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69.686488280317832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2.2737367544323206E-13</v>
      </c>
      <c r="BE174" s="13">
        <f>BD174*VLOOKUP('Données projet'!$B$11,Paramètres!$A$1:$I$89,3,0)*VLOOKUP('Données projet'!$B$11,Paramètres!$A$1:$I$89,5,0)</f>
        <v>1.3596945791505279E-13</v>
      </c>
      <c r="BF174" s="13">
        <f t="shared" si="167"/>
        <v>1.9708830566360721E-12</v>
      </c>
      <c r="BG174" s="20">
        <f t="shared" si="168"/>
        <v>3.669434796176543E-12</v>
      </c>
      <c r="BH174" s="59">
        <f t="shared" si="116"/>
        <v>292.18379036116909</v>
      </c>
      <c r="BI174" s="59">
        <f ca="1">AVERAGE(OFFSET($BH$3,0,0,'Données projet'!$E$11+1,1))-AVERAGE(OFFSET($H$3,0,0,'Données projet'!$E$11+1,1))</f>
        <v>352.88552266225872</v>
      </c>
      <c r="BJ174" s="59">
        <f t="shared" si="146"/>
        <v>403.29115295154782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19.623848401034998</v>
      </c>
      <c r="BQ174" s="21">
        <f>EXP(-LN(2)/25)*BQ173+(1-EXP(-LN(2)/25))/(LN(2)/25)*Calculateur!BL174*Calculateur!BN174*VLOOKUP('Données projet'!$B$11,Paramètres!$A$1:$I$89,3,0)*0.475*44/12</f>
        <v>2.618891124170688</v>
      </c>
      <c r="BR174" s="21">
        <f>EXP(-LN(2)/2)*BR173+(1-EXP(-LN(2)/2))/(LN(2)/2)*BL174*BO174*VLOOKUP('Données projet'!$B$11,Paramètres!$A$1:$I$89,3,0)*0.475*44/12</f>
        <v>9.3460863697340957E-16</v>
      </c>
      <c r="BS174" s="22">
        <f t="shared" si="169"/>
        <v>22.242739525205685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69.686488280317832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-1.0049916454590858E-13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297.1442218517625</v>
      </c>
      <c r="CE174" s="59">
        <f t="shared" si="148"/>
        <v>326.0112787126069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20.841315686711667</v>
      </c>
      <c r="CL174" s="21">
        <f>EXP(-LN(2)/25)*CL173+(1-EXP(-LN(2)/25))/(LN(2)/25)*Calculateur!CG174*Calculateur!CI174*VLOOKUP('Données projet'!$B$12,Paramètres!$A$1:$I$89,3,0)*0.475*44/12</f>
        <v>2.6655472779205689</v>
      </c>
      <c r="CM174" s="21">
        <f>EXP(-LN(2)/2)*CM173+(1-EXP(-LN(2)/2))/(LN(2)/2)*CG174*CJ174*VLOOKUP('Données projet'!$B$12,Paramètres!$A$1:$I$89,3,0)*0.475*44/12</f>
        <v>8.4241614765271784E-16</v>
      </c>
      <c r="CN174" s="22">
        <f t="shared" si="172"/>
        <v>23.506862964632237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69.686488280317832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2.2737367544323206E-13</v>
      </c>
      <c r="CU174" s="17">
        <f>CT174*VLOOKUP('Données projet'!$B$13,Paramètres!$A$1:$I$89,3,0)*VLOOKUP('Données projet'!$B$13,Paramètres!$A$1:$I$89,5,0)</f>
        <v>1.3596945791505279E-13</v>
      </c>
      <c r="CV174" s="13">
        <f t="shared" si="173"/>
        <v>1.9708830566360721E-12</v>
      </c>
      <c r="CW174" s="20">
        <f t="shared" si="174"/>
        <v>3.669434796176543E-12</v>
      </c>
      <c r="CX174" s="59">
        <f t="shared" si="122"/>
        <v>292.18379036116909</v>
      </c>
      <c r="CY174" s="59">
        <f ca="1">AVERAGE(OFFSET($CX$3,0,0,'Données projet'!$E$13+1,1))-AVERAGE(OFFSET($H$3,0,0,'Données projet'!$E$13+1,1))</f>
        <v>352.88552266225872</v>
      </c>
      <c r="CZ174" s="59">
        <f t="shared" si="150"/>
        <v>403.29115295154782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19.623848401034998</v>
      </c>
      <c r="DG174" s="21">
        <f>EXP(-LN(2)/25)*DG173+(1-EXP(-LN(2)/25))/(LN(2)/25)*Calculateur!DB174*Calculateur!DD174*VLOOKUP('Données projet'!$B$13,Paramètres!$A$1:$I$89,3,0)*0.475*44/12</f>
        <v>2.618891124170688</v>
      </c>
      <c r="DH174" s="21">
        <f>EXP(-LN(2)/2)*DH173+(1-EXP(-LN(2)/2))/(LN(2)/2)*DB174*DE174*VLOOKUP('Données projet'!$B$13,Paramètres!$A$1:$I$89,3,0)*0.475*44/12</f>
        <v>9.3460863697340957E-16</v>
      </c>
      <c r="DI174" s="22">
        <f t="shared" si="175"/>
        <v>22.242739525205685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69.686488280317832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69.686488280317832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69.686488280317832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69.686488280317832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69.686488280317832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1.25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4.583333333333333</v>
      </c>
      <c r="H175" s="67">
        <f t="shared" si="110"/>
        <v>238.33333333333334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69.691927007747111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467.10712490977266</v>
      </c>
      <c r="T175" s="59">
        <f t="shared" si="142"/>
        <v>282.99426855025968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66.748196012123728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66.748196012123728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69.691927007747111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-5.1159076974727213E-13</v>
      </c>
      <c r="AJ175" s="13">
        <f>AI175*VLOOKUP('Données projet'!$B$10,Paramètres!$A$1:$I$89,3,0)*VLOOKUP('Données projet'!$B$10,Paramètres!$A$1:$I$89,5,0)</f>
        <v>-4.8682977649150421E-13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399.57236812003225</v>
      </c>
      <c r="AO175" s="59">
        <f t="shared" si="144"/>
        <v>245.95971136213691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46.711926115194004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46.711926115194004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69.691927007747111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2.2737367544323206E-13</v>
      </c>
      <c r="BE175" s="13">
        <f>BD175*VLOOKUP('Données projet'!$B$11,Paramètres!$A$1:$I$89,3,0)*VLOOKUP('Données projet'!$B$11,Paramètres!$A$1:$I$89,5,0)</f>
        <v>1.3596945791505279E-13</v>
      </c>
      <c r="BF175" s="13">
        <f t="shared" si="167"/>
        <v>1.9708830566360721E-12</v>
      </c>
      <c r="BG175" s="20">
        <f t="shared" si="168"/>
        <v>3.669434796176543E-12</v>
      </c>
      <c r="BH175" s="59">
        <f t="shared" si="116"/>
        <v>292.20373236174311</v>
      </c>
      <c r="BI175" s="59">
        <f ca="1">AVERAGE(OFFSET($BH$3,0,0,'Données projet'!$E$11+1,1))-AVERAGE(OFFSET($H$3,0,0,'Données projet'!$E$11+1,1))</f>
        <v>352.88552266225872</v>
      </c>
      <c r="BJ175" s="59">
        <f t="shared" si="146"/>
        <v>403.29115295154782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19.23903670325635</v>
      </c>
      <c r="BQ175" s="21">
        <f>EXP(-LN(2)/25)*BQ174+(1-EXP(-LN(2)/25))/(LN(2)/25)*Calculateur!BL175*Calculateur!BN175*VLOOKUP('Données projet'!$B$11,Paramètres!$A$1:$I$89,3,0)*0.475*44/12</f>
        <v>2.5472774086587417</v>
      </c>
      <c r="BR175" s="21">
        <f>EXP(-LN(2)/2)*BR174+(1-EXP(-LN(2)/2))/(LN(2)/2)*BL175*BO175*VLOOKUP('Données projet'!$B$11,Paramètres!$A$1:$I$89,3,0)*0.475*44/12</f>
        <v>6.6086810495941417E-16</v>
      </c>
      <c r="BS175" s="22">
        <f t="shared" si="169"/>
        <v>21.78631411191509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69.691927007747111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-1.0049916454590858E-13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297.1442218517625</v>
      </c>
      <c r="CE175" s="59">
        <f t="shared" si="148"/>
        <v>326.0112787126069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20.43263019804262</v>
      </c>
      <c r="CL175" s="21">
        <f>EXP(-LN(2)/25)*CL174+(1-EXP(-LN(2)/25))/(LN(2)/25)*Calculateur!CG175*Calculateur!CI175*VLOOKUP('Données projet'!$B$12,Paramètres!$A$1:$I$89,3,0)*0.475*44/12</f>
        <v>2.5926577474307919</v>
      </c>
      <c r="CM175" s="21">
        <f>EXP(-LN(2)/2)*CM174+(1-EXP(-LN(2)/2))/(LN(2)/2)*CG175*CJ175*VLOOKUP('Données projet'!$B$12,Paramètres!$A$1:$I$89,3,0)*0.475*44/12</f>
        <v>5.9567817058628466E-16</v>
      </c>
      <c r="CN175" s="22">
        <f t="shared" si="172"/>
        <v>23.025287945473412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69.691927007747111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2.2737367544323206E-13</v>
      </c>
      <c r="CU175" s="17">
        <f>CT175*VLOOKUP('Données projet'!$B$13,Paramètres!$A$1:$I$89,3,0)*VLOOKUP('Données projet'!$B$13,Paramètres!$A$1:$I$89,5,0)</f>
        <v>1.3596945791505279E-13</v>
      </c>
      <c r="CV175" s="13">
        <f t="shared" si="173"/>
        <v>1.9708830566360721E-12</v>
      </c>
      <c r="CW175" s="20">
        <f t="shared" si="174"/>
        <v>3.669434796176543E-12</v>
      </c>
      <c r="CX175" s="59">
        <f t="shared" si="122"/>
        <v>292.20373236174311</v>
      </c>
      <c r="CY175" s="59">
        <f ca="1">AVERAGE(OFFSET($CX$3,0,0,'Données projet'!$E$13+1,1))-AVERAGE(OFFSET($H$3,0,0,'Données projet'!$E$13+1,1))</f>
        <v>352.88552266225872</v>
      </c>
      <c r="CZ175" s="59">
        <f t="shared" si="150"/>
        <v>403.29115295154782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19.23903670325635</v>
      </c>
      <c r="DG175" s="21">
        <f>EXP(-LN(2)/25)*DG174+(1-EXP(-LN(2)/25))/(LN(2)/25)*Calculateur!DB175*Calculateur!DD175*VLOOKUP('Données projet'!$B$13,Paramètres!$A$1:$I$89,3,0)*0.475*44/12</f>
        <v>2.5472774086587417</v>
      </c>
      <c r="DH175" s="21">
        <f>EXP(-LN(2)/2)*DH174+(1-EXP(-LN(2)/2))/(LN(2)/2)*DB175*DE175*VLOOKUP('Données projet'!$B$13,Paramètres!$A$1:$I$89,3,0)*0.475*44/12</f>
        <v>6.6086810495941417E-16</v>
      </c>
      <c r="DI175" s="22">
        <f t="shared" si="175"/>
        <v>21.78631411191509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69.691927007747111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69.691927007747111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69.691927007747111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69.691927007747111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69.691927007747111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1.25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4.583333333333333</v>
      </c>
      <c r="H176" s="67">
        <f t="shared" si="110"/>
        <v>238.33333333333334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69.697271385414666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467.10712490977266</v>
      </c>
      <c r="T176" s="59">
        <f t="shared" si="142"/>
        <v>282.99426855025968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65.43930460070554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65.43930460070554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69.697271385414666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-5.1159076974727213E-13</v>
      </c>
      <c r="AJ176" s="13">
        <f>AI176*VLOOKUP('Données projet'!$B$10,Paramètres!$A$1:$I$89,3,0)*VLOOKUP('Données projet'!$B$10,Paramètres!$A$1:$I$89,5,0)</f>
        <v>-4.8682977649150421E-13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399.57236812003225</v>
      </c>
      <c r="AO176" s="59">
        <f t="shared" si="144"/>
        <v>245.95971136213691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45.795933735536678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45.795933735536678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69.697271385414666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2.2737367544323206E-13</v>
      </c>
      <c r="BE176" s="13">
        <f>BD176*VLOOKUP('Données projet'!$B$11,Paramètres!$A$1:$I$89,3,0)*VLOOKUP('Données projet'!$B$11,Paramètres!$A$1:$I$89,5,0)</f>
        <v>1.3596945791505279E-13</v>
      </c>
      <c r="BF176" s="13">
        <f t="shared" si="167"/>
        <v>1.9708830566360721E-12</v>
      </c>
      <c r="BG176" s="20">
        <f t="shared" si="168"/>
        <v>3.669434796176543E-12</v>
      </c>
      <c r="BH176" s="59">
        <f t="shared" si="116"/>
        <v>292.22332841319081</v>
      </c>
      <c r="BI176" s="59">
        <f ca="1">AVERAGE(OFFSET($BH$3,0,0,'Données projet'!$E$11+1,1))-AVERAGE(OFFSET($H$3,0,0,'Données projet'!$E$11+1,1))</f>
        <v>352.88552266225872</v>
      </c>
      <c r="BJ176" s="59">
        <f t="shared" si="146"/>
        <v>403.29115295154782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18.861770928159181</v>
      </c>
      <c r="BQ176" s="21">
        <f>EXP(-LN(2)/25)*BQ175+(1-EXP(-LN(2)/25))/(LN(2)/25)*Calculateur!BL176*Calculateur!BN176*VLOOKUP('Données projet'!$B$11,Paramètres!$A$1:$I$89,3,0)*0.475*44/12</f>
        <v>2.4776219739634713</v>
      </c>
      <c r="BR176" s="21">
        <f>EXP(-LN(2)/2)*BR175+(1-EXP(-LN(2)/2))/(LN(2)/2)*BL176*BO176*VLOOKUP('Données projet'!$B$11,Paramètres!$A$1:$I$89,3,0)*0.475*44/12</f>
        <v>4.6730431848670479E-16</v>
      </c>
      <c r="BS176" s="22">
        <f t="shared" si="169"/>
        <v>21.339392902122654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69.697271385414666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-1.0049916454590858E-13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297.1442218517625</v>
      </c>
      <c r="CE176" s="59">
        <f t="shared" si="148"/>
        <v>326.0112787126069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20.03195878253284</v>
      </c>
      <c r="CL176" s="21">
        <f>EXP(-LN(2)/25)*CL175+(1-EXP(-LN(2)/25))/(LN(2)/25)*Calculateur!CG176*Calculateur!CI176*VLOOKUP('Données projet'!$B$12,Paramètres!$A$1:$I$89,3,0)*0.475*44/12</f>
        <v>2.5217613849853517</v>
      </c>
      <c r="CM176" s="21">
        <f>EXP(-LN(2)/2)*CM175+(1-EXP(-LN(2)/2))/(LN(2)/2)*CG176*CJ176*VLOOKUP('Données projet'!$B$12,Paramètres!$A$1:$I$89,3,0)*0.475*44/12</f>
        <v>4.2120807382635892E-16</v>
      </c>
      <c r="CN176" s="22">
        <f t="shared" si="172"/>
        <v>22.553720167518193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69.697271385414666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2.2737367544323206E-13</v>
      </c>
      <c r="CU176" s="17">
        <f>CT176*VLOOKUP('Données projet'!$B$13,Paramètres!$A$1:$I$89,3,0)*VLOOKUP('Données projet'!$B$13,Paramètres!$A$1:$I$89,5,0)</f>
        <v>1.3596945791505279E-13</v>
      </c>
      <c r="CV176" s="13">
        <f t="shared" si="173"/>
        <v>1.9708830566360721E-12</v>
      </c>
      <c r="CW176" s="20">
        <f t="shared" si="174"/>
        <v>3.669434796176543E-12</v>
      </c>
      <c r="CX176" s="59">
        <f t="shared" si="122"/>
        <v>292.22332841319081</v>
      </c>
      <c r="CY176" s="59">
        <f ca="1">AVERAGE(OFFSET($CX$3,0,0,'Données projet'!$E$13+1,1))-AVERAGE(OFFSET($H$3,0,0,'Données projet'!$E$13+1,1))</f>
        <v>352.88552266225872</v>
      </c>
      <c r="CZ176" s="59">
        <f t="shared" si="150"/>
        <v>403.29115295154782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18.861770928159181</v>
      </c>
      <c r="DG176" s="21">
        <f>EXP(-LN(2)/25)*DG175+(1-EXP(-LN(2)/25))/(LN(2)/25)*Calculateur!DB176*Calculateur!DD176*VLOOKUP('Données projet'!$B$13,Paramètres!$A$1:$I$89,3,0)*0.475*44/12</f>
        <v>2.4776219739634713</v>
      </c>
      <c r="DH176" s="21">
        <f>EXP(-LN(2)/2)*DH175+(1-EXP(-LN(2)/2))/(LN(2)/2)*DB176*DE176*VLOOKUP('Données projet'!$B$13,Paramètres!$A$1:$I$89,3,0)*0.475*44/12</f>
        <v>4.6730431848670479E-16</v>
      </c>
      <c r="DI176" s="22">
        <f t="shared" si="175"/>
        <v>21.339392902122654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69.697271385414666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69.697271385414666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69.697271385414666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69.697271385414666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69.697271385414666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1.25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4.583333333333333</v>
      </c>
      <c r="H177" s="67">
        <f t="shared" si="110"/>
        <v>238.33333333333334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69.702523050077929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467.10712490977266</v>
      </c>
      <c r="T177" s="59">
        <f t="shared" si="142"/>
        <v>282.99426855025968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64.156079751520323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64.156079751520323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69.702523050077929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-5.1159076974727213E-13</v>
      </c>
      <c r="AJ177" s="13">
        <f>AI177*VLOOKUP('Données projet'!$B$10,Paramètres!$A$1:$I$89,3,0)*VLOOKUP('Données projet'!$B$10,Paramètres!$A$1:$I$89,5,0)</f>
        <v>-4.8682977649150421E-13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399.57236812003225</v>
      </c>
      <c r="AO177" s="59">
        <f t="shared" si="144"/>
        <v>245.95971136213691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44.897903407744252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44.897903407744252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69.702523050077929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2.2737367544323206E-13</v>
      </c>
      <c r="BE177" s="13">
        <f>BD177*VLOOKUP('Données projet'!$B$11,Paramètres!$A$1:$I$89,3,0)*VLOOKUP('Données projet'!$B$11,Paramètres!$A$1:$I$89,5,0)</f>
        <v>1.3596945791505279E-13</v>
      </c>
      <c r="BF177" s="13">
        <f t="shared" si="167"/>
        <v>1.9708830566360721E-12</v>
      </c>
      <c r="BG177" s="20">
        <f t="shared" si="168"/>
        <v>3.669434796176543E-12</v>
      </c>
      <c r="BH177" s="59">
        <f t="shared" si="116"/>
        <v>292.24258451695607</v>
      </c>
      <c r="BI177" s="59">
        <f ca="1">AVERAGE(OFFSET($BH$3,0,0,'Données projet'!$E$11+1,1))-AVERAGE(OFFSET($H$3,0,0,'Données projet'!$E$11+1,1))</f>
        <v>352.88552266225872</v>
      </c>
      <c r="BJ177" s="59">
        <f t="shared" si="146"/>
        <v>403.29115295154782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18.491903104802265</v>
      </c>
      <c r="BQ177" s="21">
        <f>EXP(-LN(2)/25)*BQ176+(1-EXP(-LN(2)/25))/(LN(2)/25)*Calculateur!BL177*Calculateur!BN177*VLOOKUP('Données projet'!$B$11,Paramètres!$A$1:$I$89,3,0)*0.475*44/12</f>
        <v>2.409871270792963</v>
      </c>
      <c r="BR177" s="21">
        <f>EXP(-LN(2)/2)*BR176+(1-EXP(-LN(2)/2))/(LN(2)/2)*BL177*BO177*VLOOKUP('Données projet'!$B$11,Paramètres!$A$1:$I$89,3,0)*0.475*44/12</f>
        <v>3.3043405247970708E-16</v>
      </c>
      <c r="BS177" s="22">
        <f t="shared" si="169"/>
        <v>20.901774375595227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69.702523050077929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-1.0049916454590858E-13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297.1442218517625</v>
      </c>
      <c r="CE177" s="59">
        <f t="shared" si="148"/>
        <v>326.0112787126069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19.639144289095771</v>
      </c>
      <c r="CL177" s="21">
        <f>EXP(-LN(2)/25)*CL176+(1-EXP(-LN(2)/25))/(LN(2)/25)*Calculateur!CG177*Calculateur!CI177*VLOOKUP('Données projet'!$B$12,Paramètres!$A$1:$I$89,3,0)*0.475*44/12</f>
        <v>2.4528036872992596</v>
      </c>
      <c r="CM177" s="21">
        <f>EXP(-LN(2)/2)*CM176+(1-EXP(-LN(2)/2))/(LN(2)/2)*CG177*CJ177*VLOOKUP('Données projet'!$B$12,Paramètres!$A$1:$I$89,3,0)*0.475*44/12</f>
        <v>2.9783908529314233E-16</v>
      </c>
      <c r="CN177" s="22">
        <f t="shared" si="172"/>
        <v>22.09194797639503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69.702523050077929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2.2737367544323206E-13</v>
      </c>
      <c r="CU177" s="17">
        <f>CT177*VLOOKUP('Données projet'!$B$13,Paramètres!$A$1:$I$89,3,0)*VLOOKUP('Données projet'!$B$13,Paramètres!$A$1:$I$89,5,0)</f>
        <v>1.3596945791505279E-13</v>
      </c>
      <c r="CV177" s="13">
        <f t="shared" si="173"/>
        <v>1.9708830566360721E-12</v>
      </c>
      <c r="CW177" s="20">
        <f t="shared" si="174"/>
        <v>3.669434796176543E-12</v>
      </c>
      <c r="CX177" s="59">
        <f t="shared" si="122"/>
        <v>292.24258451695607</v>
      </c>
      <c r="CY177" s="59">
        <f ca="1">AVERAGE(OFFSET($CX$3,0,0,'Données projet'!$E$13+1,1))-AVERAGE(OFFSET($H$3,0,0,'Données projet'!$E$13+1,1))</f>
        <v>352.88552266225872</v>
      </c>
      <c r="CZ177" s="59">
        <f t="shared" si="150"/>
        <v>403.29115295154782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18.491903104802265</v>
      </c>
      <c r="DG177" s="21">
        <f>EXP(-LN(2)/25)*DG176+(1-EXP(-LN(2)/25))/(LN(2)/25)*Calculateur!DB177*Calculateur!DD177*VLOOKUP('Données projet'!$B$13,Paramètres!$A$1:$I$89,3,0)*0.475*44/12</f>
        <v>2.409871270792963</v>
      </c>
      <c r="DH177" s="21">
        <f>EXP(-LN(2)/2)*DH176+(1-EXP(-LN(2)/2))/(LN(2)/2)*DB177*DE177*VLOOKUP('Données projet'!$B$13,Paramètres!$A$1:$I$89,3,0)*0.475*44/12</f>
        <v>3.3043405247970708E-16</v>
      </c>
      <c r="DI177" s="22">
        <f t="shared" si="175"/>
        <v>20.901774375595227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69.702523050077929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69.702523050077929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69.702523050077929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69.702523050077929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69.702523050077929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1.25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4.583333333333333</v>
      </c>
      <c r="H178" s="67">
        <f t="shared" si="110"/>
        <v>238.33333333333334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69.707683610100247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467.10712490977266</v>
      </c>
      <c r="T178" s="59">
        <f t="shared" si="142"/>
        <v>282.99426855025968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62.898018158937759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62.898018158937759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69.707683610100247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-5.1159076974727213E-13</v>
      </c>
      <c r="AJ178" s="13">
        <f>AI178*VLOOKUP('Données projet'!$B$10,Paramètres!$A$1:$I$89,3,0)*VLOOKUP('Données projet'!$B$10,Paramètres!$A$1:$I$89,5,0)</f>
        <v>-4.8682977649150421E-13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399.57236812003225</v>
      </c>
      <c r="AO178" s="59">
        <f t="shared" si="144"/>
        <v>245.95971136213691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44.01748290693542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44.01748290693542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69.707683610100247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2.2737367544323206E-13</v>
      </c>
      <c r="BE178" s="13">
        <f>BD178*VLOOKUP('Données projet'!$B$11,Paramètres!$A$1:$I$89,3,0)*VLOOKUP('Données projet'!$B$11,Paramètres!$A$1:$I$89,5,0)</f>
        <v>1.3596945791505279E-13</v>
      </c>
      <c r="BF178" s="13">
        <f t="shared" si="167"/>
        <v>1.9708830566360721E-12</v>
      </c>
      <c r="BG178" s="20">
        <f t="shared" si="168"/>
        <v>3.669434796176543E-12</v>
      </c>
      <c r="BH178" s="59">
        <f t="shared" si="116"/>
        <v>292.26150657037124</v>
      </c>
      <c r="BI178" s="59">
        <f ca="1">AVERAGE(OFFSET($BH$3,0,0,'Données projet'!$E$11+1,1))-AVERAGE(OFFSET($H$3,0,0,'Données projet'!$E$11+1,1))</f>
        <v>352.88552266225872</v>
      </c>
      <c r="BJ178" s="59">
        <f t="shared" si="146"/>
        <v>403.29115295154782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18.129288163864285</v>
      </c>
      <c r="BQ178" s="21">
        <f>EXP(-LN(2)/25)*BQ177+(1-EXP(-LN(2)/25))/(LN(2)/25)*Calculateur!BL178*Calculateur!BN178*VLOOKUP('Données projet'!$B$11,Paramètres!$A$1:$I$89,3,0)*0.475*44/12</f>
        <v>2.343973214163507</v>
      </c>
      <c r="BR178" s="21">
        <f>EXP(-LN(2)/2)*BR177+(1-EXP(-LN(2)/2))/(LN(2)/2)*BL178*BO178*VLOOKUP('Données projet'!$B$11,Paramètres!$A$1:$I$89,3,0)*0.475*44/12</f>
        <v>2.3365215924335239E-16</v>
      </c>
      <c r="BS178" s="22">
        <f t="shared" si="169"/>
        <v>20.473261378027793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69.707683610100247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-1.0049916454590858E-13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297.1442218517625</v>
      </c>
      <c r="CE178" s="59">
        <f t="shared" si="148"/>
        <v>326.0112787126069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19.254032648281822</v>
      </c>
      <c r="CL178" s="21">
        <f>EXP(-LN(2)/25)*CL177+(1-EXP(-LN(2)/25))/(LN(2)/25)*Calculateur!CG178*Calculateur!CI178*VLOOKUP('Données projet'!$B$12,Paramètres!$A$1:$I$89,3,0)*0.475*44/12</f>
        <v>2.3857316414827214</v>
      </c>
      <c r="CM178" s="21">
        <f>EXP(-LN(2)/2)*CM177+(1-EXP(-LN(2)/2))/(LN(2)/2)*CG178*CJ178*VLOOKUP('Données projet'!$B$12,Paramètres!$A$1:$I$89,3,0)*0.475*44/12</f>
        <v>2.1060403691317946E-16</v>
      </c>
      <c r="CN178" s="22">
        <f t="shared" si="172"/>
        <v>21.639764289764543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69.707683610100247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2.2737367544323206E-13</v>
      </c>
      <c r="CU178" s="17">
        <f>CT178*VLOOKUP('Données projet'!$B$13,Paramètres!$A$1:$I$89,3,0)*VLOOKUP('Données projet'!$B$13,Paramètres!$A$1:$I$89,5,0)</f>
        <v>1.3596945791505279E-13</v>
      </c>
      <c r="CV178" s="13">
        <f t="shared" si="173"/>
        <v>1.9708830566360721E-12</v>
      </c>
      <c r="CW178" s="20">
        <f t="shared" si="174"/>
        <v>3.669434796176543E-12</v>
      </c>
      <c r="CX178" s="59">
        <f t="shared" si="122"/>
        <v>292.26150657037124</v>
      </c>
      <c r="CY178" s="59">
        <f ca="1">AVERAGE(OFFSET($CX$3,0,0,'Données projet'!$E$13+1,1))-AVERAGE(OFFSET($H$3,0,0,'Données projet'!$E$13+1,1))</f>
        <v>352.88552266225872</v>
      </c>
      <c r="CZ178" s="59">
        <f t="shared" si="150"/>
        <v>403.29115295154782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18.129288163864285</v>
      </c>
      <c r="DG178" s="21">
        <f>EXP(-LN(2)/25)*DG177+(1-EXP(-LN(2)/25))/(LN(2)/25)*Calculateur!DB178*Calculateur!DD178*VLOOKUP('Données projet'!$B$13,Paramètres!$A$1:$I$89,3,0)*0.475*44/12</f>
        <v>2.343973214163507</v>
      </c>
      <c r="DH178" s="21">
        <f>EXP(-LN(2)/2)*DH177+(1-EXP(-LN(2)/2))/(LN(2)/2)*DB178*DE178*VLOOKUP('Données projet'!$B$13,Paramètres!$A$1:$I$89,3,0)*0.475*44/12</f>
        <v>2.3365215924335239E-16</v>
      </c>
      <c r="DI178" s="22">
        <f t="shared" si="175"/>
        <v>20.473261378027793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69.707683610100247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69.707683610100247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69.707683610100247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69.707683610100247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69.707683610100247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1.25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4.583333333333333</v>
      </c>
      <c r="H179" s="67">
        <f t="shared" si="110"/>
        <v>238.33333333333334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69.712754645943477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467.10712490977266</v>
      </c>
      <c r="T179" s="59">
        <f t="shared" si="142"/>
        <v>282.99426855025968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61.664626386843935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61.664626386843935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69.712754645943477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-5.1159076974727213E-13</v>
      </c>
      <c r="AJ179" s="13">
        <f>AI179*VLOOKUP('Données projet'!$B$10,Paramètres!$A$1:$I$89,3,0)*VLOOKUP('Données projet'!$B$10,Paramètres!$A$1:$I$89,5,0)</f>
        <v>-4.8682977649150421E-13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399.57236812003225</v>
      </c>
      <c r="AO179" s="59">
        <f t="shared" si="144"/>
        <v>245.95971136213691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43.154326915143969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43.154326915143969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69.712754645943477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2.2737367544323206E-13</v>
      </c>
      <c r="BE179" s="13">
        <f>BD179*VLOOKUP('Données projet'!$B$11,Paramètres!$A$1:$I$89,3,0)*VLOOKUP('Données projet'!$B$11,Paramètres!$A$1:$I$89,5,0)</f>
        <v>1.3596945791505279E-13</v>
      </c>
      <c r="BF179" s="13">
        <f t="shared" si="167"/>
        <v>1.9708830566360721E-12</v>
      </c>
      <c r="BG179" s="20">
        <f t="shared" si="168"/>
        <v>3.669434796176543E-12</v>
      </c>
      <c r="BH179" s="59">
        <f t="shared" si="116"/>
        <v>292.28010036846308</v>
      </c>
      <c r="BI179" s="59">
        <f ca="1">AVERAGE(OFFSET($BH$3,0,0,'Données projet'!$E$11+1,1))-AVERAGE(OFFSET($H$3,0,0,'Données projet'!$E$11+1,1))</f>
        <v>352.88552266225872</v>
      </c>
      <c r="BJ179" s="59">
        <f t="shared" si="146"/>
        <v>403.29115295154782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17.773783880744823</v>
      </c>
      <c r="BQ179" s="21">
        <f>EXP(-LN(2)/25)*BQ178+(1-EXP(-LN(2)/25))/(LN(2)/25)*Calculateur!BL179*Calculateur!BN179*VLOOKUP('Données projet'!$B$11,Paramètres!$A$1:$I$89,3,0)*0.475*44/12</f>
        <v>2.2798771433580116</v>
      </c>
      <c r="BR179" s="21">
        <f>EXP(-LN(2)/2)*BR178+(1-EXP(-LN(2)/2))/(LN(2)/2)*BL179*BO179*VLOOKUP('Données projet'!$B$11,Paramètres!$A$1:$I$89,3,0)*0.475*44/12</f>
        <v>1.6521702623985354E-16</v>
      </c>
      <c r="BS179" s="22">
        <f t="shared" si="169"/>
        <v>20.053661024102833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69.712754645943477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-1.0049916454590858E-13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297.1442218517625</v>
      </c>
      <c r="CE179" s="59">
        <f t="shared" si="148"/>
        <v>326.0112787126069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18.876472811849325</v>
      </c>
      <c r="CL179" s="21">
        <f>EXP(-LN(2)/25)*CL178+(1-EXP(-LN(2)/25))/(LN(2)/25)*Calculateur!CG179*Calculateur!CI179*VLOOKUP('Données projet'!$B$12,Paramètres!$A$1:$I$89,3,0)*0.475*44/12</f>
        <v>2.3204936842862018</v>
      </c>
      <c r="CM179" s="21">
        <f>EXP(-LN(2)/2)*CM178+(1-EXP(-LN(2)/2))/(LN(2)/2)*CG179*CJ179*VLOOKUP('Données projet'!$B$12,Paramètres!$A$1:$I$89,3,0)*0.475*44/12</f>
        <v>1.4891954264657117E-16</v>
      </c>
      <c r="CN179" s="22">
        <f t="shared" si="172"/>
        <v>21.196966496135527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69.712754645943477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2.2737367544323206E-13</v>
      </c>
      <c r="CU179" s="17">
        <f>CT179*VLOOKUP('Données projet'!$B$13,Paramètres!$A$1:$I$89,3,0)*VLOOKUP('Données projet'!$B$13,Paramètres!$A$1:$I$89,5,0)</f>
        <v>1.3596945791505279E-13</v>
      </c>
      <c r="CV179" s="13">
        <f t="shared" si="173"/>
        <v>1.9708830566360721E-12</v>
      </c>
      <c r="CW179" s="20">
        <f t="shared" si="174"/>
        <v>3.669434796176543E-12</v>
      </c>
      <c r="CX179" s="59">
        <f t="shared" si="122"/>
        <v>292.28010036846308</v>
      </c>
      <c r="CY179" s="59">
        <f ca="1">AVERAGE(OFFSET($CX$3,0,0,'Données projet'!$E$13+1,1))-AVERAGE(OFFSET($H$3,0,0,'Données projet'!$E$13+1,1))</f>
        <v>352.88552266225872</v>
      </c>
      <c r="CZ179" s="59">
        <f t="shared" si="150"/>
        <v>403.29115295154782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17.773783880744823</v>
      </c>
      <c r="DG179" s="21">
        <f>EXP(-LN(2)/25)*DG178+(1-EXP(-LN(2)/25))/(LN(2)/25)*Calculateur!DB179*Calculateur!DD179*VLOOKUP('Données projet'!$B$13,Paramètres!$A$1:$I$89,3,0)*0.475*44/12</f>
        <v>2.2798771433580116</v>
      </c>
      <c r="DH179" s="21">
        <f>EXP(-LN(2)/2)*DH178+(1-EXP(-LN(2)/2))/(LN(2)/2)*DB179*DE179*VLOOKUP('Données projet'!$B$13,Paramètres!$A$1:$I$89,3,0)*0.475*44/12</f>
        <v>1.6521702623985354E-16</v>
      </c>
      <c r="DI179" s="22">
        <f t="shared" si="175"/>
        <v>20.053661024102833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69.712754645943477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69.712754645943477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69.712754645943477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69.712754645943477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69.712754645943477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1.25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4.583333333333333</v>
      </c>
      <c r="H180" s="67">
        <f t="shared" si="110"/>
        <v>238.33333333333334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69.717737710651946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467.10712490977266</v>
      </c>
      <c r="T180" s="59">
        <f t="shared" si="142"/>
        <v>282.99426855025968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60.455420675106176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60.455420675106176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69.717737710651946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-5.1159076974727213E-13</v>
      </c>
      <c r="AJ180" s="13">
        <f>AI180*VLOOKUP('Données projet'!$B$10,Paramètres!$A$1:$I$89,3,0)*VLOOKUP('Données projet'!$B$10,Paramètres!$A$1:$I$89,5,0)</f>
        <v>-4.8682977649150421E-13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399.57236812003225</v>
      </c>
      <c r="AO180" s="59">
        <f t="shared" si="144"/>
        <v>245.95971136213691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42.308096885878378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42.308096885878378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69.717737710651946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2.2737367544323206E-13</v>
      </c>
      <c r="BE180" s="13">
        <f>BD180*VLOOKUP('Données projet'!$B$11,Paramètres!$A$1:$I$89,3,0)*VLOOKUP('Données projet'!$B$11,Paramètres!$A$1:$I$89,5,0)</f>
        <v>1.3596945791505279E-13</v>
      </c>
      <c r="BF180" s="13">
        <f t="shared" si="167"/>
        <v>1.9708830566360721E-12</v>
      </c>
      <c r="BG180" s="20">
        <f t="shared" si="168"/>
        <v>3.669434796176543E-12</v>
      </c>
      <c r="BH180" s="59">
        <f t="shared" si="116"/>
        <v>292.29837160572748</v>
      </c>
      <c r="BI180" s="59">
        <f ca="1">AVERAGE(OFFSET($BH$3,0,0,'Données projet'!$E$11+1,1))-AVERAGE(OFFSET($H$3,0,0,'Données projet'!$E$11+1,1))</f>
        <v>352.88552266225872</v>
      </c>
      <c r="BJ180" s="59">
        <f t="shared" si="146"/>
        <v>403.29115295154782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17.42525081978113</v>
      </c>
      <c r="BQ180" s="21">
        <f>EXP(-LN(2)/25)*BQ179+(1-EXP(-LN(2)/25))/(LN(2)/25)*Calculateur!BL180*Calculateur!BN180*VLOOKUP('Données projet'!$B$11,Paramètres!$A$1:$I$89,3,0)*0.475*44/12</f>
        <v>2.2175337829793587</v>
      </c>
      <c r="BR180" s="21">
        <f>EXP(-LN(2)/2)*BR179+(1-EXP(-LN(2)/2))/(LN(2)/2)*BL180*BO180*VLOOKUP('Données projet'!$B$11,Paramètres!$A$1:$I$89,3,0)*0.475*44/12</f>
        <v>1.168260796216762E-16</v>
      </c>
      <c r="BS180" s="22">
        <f t="shared" si="169"/>
        <v>19.642784602760489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69.717737710651946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-1.0049916454590858E-13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297.1442218517625</v>
      </c>
      <c r="CE180" s="59">
        <f t="shared" si="148"/>
        <v>326.0112787126069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18.50631669352051</v>
      </c>
      <c r="CL180" s="21">
        <f>EXP(-LN(2)/25)*CL179+(1-EXP(-LN(2)/25))/(LN(2)/25)*Calculateur!CG180*Calculateur!CI180*VLOOKUP('Données projet'!$B$12,Paramètres!$A$1:$I$89,3,0)*0.475*44/12</f>
        <v>2.2570396624599365</v>
      </c>
      <c r="CM180" s="21">
        <f>EXP(-LN(2)/2)*CM179+(1-EXP(-LN(2)/2))/(LN(2)/2)*CG180*CJ180*VLOOKUP('Données projet'!$B$12,Paramètres!$A$1:$I$89,3,0)*0.475*44/12</f>
        <v>1.0530201845658973E-16</v>
      </c>
      <c r="CN180" s="22">
        <f t="shared" si="172"/>
        <v>20.763356355980449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69.717737710651946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2.2737367544323206E-13</v>
      </c>
      <c r="CU180" s="17">
        <f>CT180*VLOOKUP('Données projet'!$B$13,Paramètres!$A$1:$I$89,3,0)*VLOOKUP('Données projet'!$B$13,Paramètres!$A$1:$I$89,5,0)</f>
        <v>1.3596945791505279E-13</v>
      </c>
      <c r="CV180" s="13">
        <f t="shared" si="173"/>
        <v>1.9708830566360721E-12</v>
      </c>
      <c r="CW180" s="20">
        <f t="shared" si="174"/>
        <v>3.669434796176543E-12</v>
      </c>
      <c r="CX180" s="59">
        <f t="shared" si="122"/>
        <v>292.29837160572748</v>
      </c>
      <c r="CY180" s="59">
        <f ca="1">AVERAGE(OFFSET($CX$3,0,0,'Données projet'!$E$13+1,1))-AVERAGE(OFFSET($H$3,0,0,'Données projet'!$E$13+1,1))</f>
        <v>352.88552266225872</v>
      </c>
      <c r="CZ180" s="59">
        <f t="shared" si="150"/>
        <v>403.29115295154782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17.42525081978113</v>
      </c>
      <c r="DG180" s="21">
        <f>EXP(-LN(2)/25)*DG179+(1-EXP(-LN(2)/25))/(LN(2)/25)*Calculateur!DB180*Calculateur!DD180*VLOOKUP('Données projet'!$B$13,Paramètres!$A$1:$I$89,3,0)*0.475*44/12</f>
        <v>2.2175337829793587</v>
      </c>
      <c r="DH180" s="21">
        <f>EXP(-LN(2)/2)*DH179+(1-EXP(-LN(2)/2))/(LN(2)/2)*DB180*DE180*VLOOKUP('Données projet'!$B$13,Paramètres!$A$1:$I$89,3,0)*0.475*44/12</f>
        <v>1.168260796216762E-16</v>
      </c>
      <c r="DI180" s="22">
        <f t="shared" si="175"/>
        <v>19.642784602760489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69.717737710651946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69.717737710651946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69.717737710651946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69.717737710651946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69.717737710651946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1.25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4.583333333333333</v>
      </c>
      <c r="H181" s="67">
        <f t="shared" si="110"/>
        <v>238.33333333333334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69.722634330328191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467.10712490977266</v>
      </c>
      <c r="T181" s="59">
        <f t="shared" si="142"/>
        <v>282.99426855025968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59.269926749832933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59.269926749832933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69.722634330328191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-5.1159076974727213E-13</v>
      </c>
      <c r="AJ181" s="13">
        <f>AI181*VLOOKUP('Données projet'!$B$10,Paramètres!$A$1:$I$89,3,0)*VLOOKUP('Données projet'!$B$10,Paramètres!$A$1:$I$89,5,0)</f>
        <v>-4.8682977649150421E-13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399.57236812003225</v>
      </c>
      <c r="AO181" s="59">
        <f t="shared" si="144"/>
        <v>245.95971136213691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41.478460911337329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41.478460911337329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69.722634330328191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2.2737367544323206E-13</v>
      </c>
      <c r="BE181" s="13">
        <f>BD181*VLOOKUP('Données projet'!$B$11,Paramètres!$A$1:$I$89,3,0)*VLOOKUP('Données projet'!$B$11,Paramètres!$A$1:$I$89,5,0)</f>
        <v>1.3596945791505279E-13</v>
      </c>
      <c r="BF181" s="13">
        <f t="shared" si="167"/>
        <v>1.9708830566360721E-12</v>
      </c>
      <c r="BG181" s="20">
        <f t="shared" si="168"/>
        <v>3.669434796176543E-12</v>
      </c>
      <c r="BH181" s="59">
        <f t="shared" si="116"/>
        <v>292.31632587787374</v>
      </c>
      <c r="BI181" s="59">
        <f ca="1">AVERAGE(OFFSET($BH$3,0,0,'Données projet'!$E$11+1,1))-AVERAGE(OFFSET($H$3,0,0,'Données projet'!$E$11+1,1))</f>
        <v>352.88552266225872</v>
      </c>
      <c r="BJ181" s="59">
        <f t="shared" si="146"/>
        <v>403.29115295154782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17.083552279558759</v>
      </c>
      <c r="BQ181" s="21">
        <f>EXP(-LN(2)/25)*BQ180+(1-EXP(-LN(2)/25))/(LN(2)/25)*Calculateur!BL181*Calculateur!BN181*VLOOKUP('Données projet'!$B$11,Paramètres!$A$1:$I$89,3,0)*0.475*44/12</f>
        <v>2.1568952050687549</v>
      </c>
      <c r="BR181" s="21">
        <f>EXP(-LN(2)/2)*BR180+(1-EXP(-LN(2)/2))/(LN(2)/2)*BL181*BO181*VLOOKUP('Données projet'!$B$11,Paramètres!$A$1:$I$89,3,0)*0.475*44/12</f>
        <v>8.2608513119926771E-17</v>
      </c>
      <c r="BS181" s="22">
        <f t="shared" si="169"/>
        <v>19.240447484627513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69.722634330328191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-1.0049916454590858E-13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297.1442218517625</v>
      </c>
      <c r="CE181" s="59">
        <f t="shared" si="148"/>
        <v>326.0112787126069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18.143419110899185</v>
      </c>
      <c r="CL181" s="21">
        <f>EXP(-LN(2)/25)*CL180+(1-EXP(-LN(2)/25))/(LN(2)/25)*Calculateur!CG181*Calculateur!CI181*VLOOKUP('Données projet'!$B$12,Paramètres!$A$1:$I$89,3,0)*0.475*44/12</f>
        <v>2.195320794197412</v>
      </c>
      <c r="CM181" s="21">
        <f>EXP(-LN(2)/2)*CM180+(1-EXP(-LN(2)/2))/(LN(2)/2)*CG181*CJ181*VLOOKUP('Données projet'!$B$12,Paramètres!$A$1:$I$89,3,0)*0.475*44/12</f>
        <v>7.4459771323285583E-17</v>
      </c>
      <c r="CN181" s="22">
        <f t="shared" si="172"/>
        <v>20.338739905096595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69.722634330328191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2.2737367544323206E-13</v>
      </c>
      <c r="CU181" s="17">
        <f>CT181*VLOOKUP('Données projet'!$B$13,Paramètres!$A$1:$I$89,3,0)*VLOOKUP('Données projet'!$B$13,Paramètres!$A$1:$I$89,5,0)</f>
        <v>1.3596945791505279E-13</v>
      </c>
      <c r="CV181" s="13">
        <f t="shared" si="173"/>
        <v>1.9708830566360721E-12</v>
      </c>
      <c r="CW181" s="20">
        <f t="shared" si="174"/>
        <v>3.669434796176543E-12</v>
      </c>
      <c r="CX181" s="59">
        <f t="shared" si="122"/>
        <v>292.31632587787374</v>
      </c>
      <c r="CY181" s="59">
        <f ca="1">AVERAGE(OFFSET($CX$3,0,0,'Données projet'!$E$13+1,1))-AVERAGE(OFFSET($H$3,0,0,'Données projet'!$E$13+1,1))</f>
        <v>352.88552266225872</v>
      </c>
      <c r="CZ181" s="59">
        <f t="shared" si="150"/>
        <v>403.29115295154782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17.083552279558759</v>
      </c>
      <c r="DG181" s="21">
        <f>EXP(-LN(2)/25)*DG180+(1-EXP(-LN(2)/25))/(LN(2)/25)*Calculateur!DB181*Calculateur!DD181*VLOOKUP('Données projet'!$B$13,Paramètres!$A$1:$I$89,3,0)*0.475*44/12</f>
        <v>2.1568952050687549</v>
      </c>
      <c r="DH181" s="21">
        <f>EXP(-LN(2)/2)*DH180+(1-EXP(-LN(2)/2))/(LN(2)/2)*DB181*DE181*VLOOKUP('Données projet'!$B$13,Paramètres!$A$1:$I$89,3,0)*0.475*44/12</f>
        <v>8.2608513119926771E-17</v>
      </c>
      <c r="DI181" s="22">
        <f t="shared" si="175"/>
        <v>19.240447484627513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69.722634330328191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69.722634330328191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69.722634330328191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69.722634330328191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69.722634330328191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1.25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4.583333333333333</v>
      </c>
      <c r="H182" s="67">
        <f t="shared" si="110"/>
        <v>238.33333333333334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69.727446004600267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467.10712490977266</v>
      </c>
      <c r="T182" s="59">
        <f t="shared" si="142"/>
        <v>282.99426855025968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58.107679637354401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58.107679637354401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69.727446004600267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-5.1159076974727213E-13</v>
      </c>
      <c r="AJ182" s="13">
        <f>AI182*VLOOKUP('Données projet'!$B$10,Paramètres!$A$1:$I$89,3,0)*VLOOKUP('Données projet'!$B$10,Paramètres!$A$1:$I$89,5,0)</f>
        <v>-4.8682977649150421E-13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399.57236812003225</v>
      </c>
      <c r="AO182" s="59">
        <f t="shared" si="144"/>
        <v>245.95971136213691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40.665093592229056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40.665093592229056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69.727446004600267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2.2737367544323206E-13</v>
      </c>
      <c r="BE182" s="13">
        <f>BD182*VLOOKUP('Données projet'!$B$11,Paramètres!$A$1:$I$89,3,0)*VLOOKUP('Données projet'!$B$11,Paramètres!$A$1:$I$89,5,0)</f>
        <v>1.3596945791505279E-13</v>
      </c>
      <c r="BF182" s="13">
        <f t="shared" si="167"/>
        <v>1.9708830566360721E-12</v>
      </c>
      <c r="BG182" s="20">
        <f t="shared" si="168"/>
        <v>3.669434796176543E-12</v>
      </c>
      <c r="BH182" s="59">
        <f t="shared" si="116"/>
        <v>292.33396868353799</v>
      </c>
      <c r="BI182" s="59">
        <f ca="1">AVERAGE(OFFSET($BH$3,0,0,'Données projet'!$E$11+1,1))-AVERAGE(OFFSET($H$3,0,0,'Données projet'!$E$11+1,1))</f>
        <v>352.88552266225872</v>
      </c>
      <c r="BJ182" s="59">
        <f t="shared" si="146"/>
        <v>403.29115295154782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16.74855423929462</v>
      </c>
      <c r="BQ182" s="21">
        <f>EXP(-LN(2)/25)*BQ181+(1-EXP(-LN(2)/25))/(LN(2)/25)*Calculateur!BL182*Calculateur!BN182*VLOOKUP('Données projet'!$B$11,Paramètres!$A$1:$I$89,3,0)*0.475*44/12</f>
        <v>2.0979147922599606</v>
      </c>
      <c r="BR182" s="21">
        <f>EXP(-LN(2)/2)*BR181+(1-EXP(-LN(2)/2))/(LN(2)/2)*BL182*BO182*VLOOKUP('Données projet'!$B$11,Paramètres!$A$1:$I$89,3,0)*0.475*44/12</f>
        <v>5.8413039810838098E-17</v>
      </c>
      <c r="BS182" s="22">
        <f t="shared" si="169"/>
        <v>18.84646903155458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69.727446004600267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-1.0049916454590858E-13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297.1442218517625</v>
      </c>
      <c r="CE182" s="59">
        <f t="shared" si="148"/>
        <v>326.0112787126069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17.787637728527393</v>
      </c>
      <c r="CL182" s="21">
        <f>EXP(-LN(2)/25)*CL181+(1-EXP(-LN(2)/25))/(LN(2)/25)*Calculateur!CG182*Calculateur!CI182*VLOOKUP('Données projet'!$B$12,Paramètres!$A$1:$I$89,3,0)*0.475*44/12</f>
        <v>2.1352896316331806</v>
      </c>
      <c r="CM182" s="21">
        <f>EXP(-LN(2)/2)*CM181+(1-EXP(-LN(2)/2))/(LN(2)/2)*CG182*CJ182*VLOOKUP('Données projet'!$B$12,Paramètres!$A$1:$I$89,3,0)*0.475*44/12</f>
        <v>5.2651009228294865E-17</v>
      </c>
      <c r="CN182" s="22">
        <f t="shared" si="172"/>
        <v>19.922927360160575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69.727446004600267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2.2737367544323206E-13</v>
      </c>
      <c r="CU182" s="17">
        <f>CT182*VLOOKUP('Données projet'!$B$13,Paramètres!$A$1:$I$89,3,0)*VLOOKUP('Données projet'!$B$13,Paramètres!$A$1:$I$89,5,0)</f>
        <v>1.3596945791505279E-13</v>
      </c>
      <c r="CV182" s="13">
        <f t="shared" si="173"/>
        <v>1.9708830566360721E-12</v>
      </c>
      <c r="CW182" s="20">
        <f t="shared" si="174"/>
        <v>3.669434796176543E-12</v>
      </c>
      <c r="CX182" s="59">
        <f t="shared" si="122"/>
        <v>292.33396868353799</v>
      </c>
      <c r="CY182" s="59">
        <f ca="1">AVERAGE(OFFSET($CX$3,0,0,'Données projet'!$E$13+1,1))-AVERAGE(OFFSET($H$3,0,0,'Données projet'!$E$13+1,1))</f>
        <v>352.88552266225872</v>
      </c>
      <c r="CZ182" s="59">
        <f t="shared" si="150"/>
        <v>403.29115295154782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16.74855423929462</v>
      </c>
      <c r="DG182" s="21">
        <f>EXP(-LN(2)/25)*DG181+(1-EXP(-LN(2)/25))/(LN(2)/25)*Calculateur!DB182*Calculateur!DD182*VLOOKUP('Données projet'!$B$13,Paramètres!$A$1:$I$89,3,0)*0.475*44/12</f>
        <v>2.0979147922599606</v>
      </c>
      <c r="DH182" s="21">
        <f>EXP(-LN(2)/2)*DH181+(1-EXP(-LN(2)/2))/(LN(2)/2)*DB182*DE182*VLOOKUP('Données projet'!$B$13,Paramètres!$A$1:$I$89,3,0)*0.475*44/12</f>
        <v>5.8413039810838098E-17</v>
      </c>
      <c r="DI182" s="22">
        <f t="shared" si="175"/>
        <v>18.84646903155458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69.727446004600267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69.727446004600267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69.727446004600267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69.727446004600267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69.727446004600267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1.25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4.583333333333333</v>
      </c>
      <c r="H183" s="67">
        <f t="shared" si="110"/>
        <v>238.33333333333334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69.732174207081002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467.10712490977266</v>
      </c>
      <c r="T183" s="59">
        <f t="shared" si="142"/>
        <v>282.99426855025968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56.968223481850835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56.968223481850835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69.732174207081002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-5.1159076974727213E-13</v>
      </c>
      <c r="AJ183" s="13">
        <f>AI183*VLOOKUP('Données projet'!$B$10,Paramètres!$A$1:$I$89,3,0)*VLOOKUP('Données projet'!$B$10,Paramètres!$A$1:$I$89,5,0)</f>
        <v>-4.8682977649150421E-13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399.57236812003225</v>
      </c>
      <c r="AO183" s="59">
        <f t="shared" si="144"/>
        <v>245.95971136213691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39.867675910143419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39.867675910143419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69.732174207081002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2.2737367544323206E-13</v>
      </c>
      <c r="BE183" s="13">
        <f>BD183*VLOOKUP('Données projet'!$B$11,Paramètres!$A$1:$I$89,3,0)*VLOOKUP('Données projet'!$B$11,Paramètres!$A$1:$I$89,5,0)</f>
        <v>1.3596945791505279E-13</v>
      </c>
      <c r="BF183" s="13">
        <f t="shared" si="167"/>
        <v>1.9708830566360721E-12</v>
      </c>
      <c r="BG183" s="20">
        <f t="shared" si="168"/>
        <v>3.669434796176543E-12</v>
      </c>
      <c r="BH183" s="59">
        <f t="shared" si="116"/>
        <v>292.35130542596738</v>
      </c>
      <c r="BI183" s="59">
        <f ca="1">AVERAGE(OFFSET($BH$3,0,0,'Données projet'!$E$11+1,1))-AVERAGE(OFFSET($H$3,0,0,'Données projet'!$E$11+1,1))</f>
        <v>352.88552266225872</v>
      </c>
      <c r="BJ183" s="59">
        <f t="shared" si="146"/>
        <v>403.29115295154782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16.42012530627143</v>
      </c>
      <c r="BQ183" s="21">
        <f>EXP(-LN(2)/25)*BQ182+(1-EXP(-LN(2)/25))/(LN(2)/25)*Calculateur!BL183*Calculateur!BN183*VLOOKUP('Données projet'!$B$11,Paramètres!$A$1:$I$89,3,0)*0.475*44/12</f>
        <v>2.040547201941068</v>
      </c>
      <c r="BR183" s="21">
        <f>EXP(-LN(2)/2)*BR182+(1-EXP(-LN(2)/2))/(LN(2)/2)*BL183*BO183*VLOOKUP('Données projet'!$B$11,Paramètres!$A$1:$I$89,3,0)*0.475*44/12</f>
        <v>4.1304256559963385E-17</v>
      </c>
      <c r="BS183" s="22">
        <f t="shared" si="169"/>
        <v>18.460672508212497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69.732174207081002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-1.0049916454590858E-13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297.1442218517625</v>
      </c>
      <c r="CE183" s="59">
        <f t="shared" si="148"/>
        <v>326.0112787126069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17.438833002058697</v>
      </c>
      <c r="CL183" s="21">
        <f>EXP(-LN(2)/25)*CL182+(1-EXP(-LN(2)/25))/(LN(2)/25)*Calculateur!CG183*Calculateur!CI183*VLOOKUP('Données projet'!$B$12,Paramètres!$A$1:$I$89,3,0)*0.475*44/12</f>
        <v>2.0769000243661697</v>
      </c>
      <c r="CM183" s="21">
        <f>EXP(-LN(2)/2)*CM182+(1-EXP(-LN(2)/2))/(LN(2)/2)*CG183*CJ183*VLOOKUP('Données projet'!$B$12,Paramètres!$A$1:$I$89,3,0)*0.475*44/12</f>
        <v>3.7229885661642791E-17</v>
      </c>
      <c r="CN183" s="22">
        <f t="shared" si="172"/>
        <v>19.515733026424869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69.732174207081002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2.2737367544323206E-13</v>
      </c>
      <c r="CU183" s="17">
        <f>CT183*VLOOKUP('Données projet'!$B$13,Paramètres!$A$1:$I$89,3,0)*VLOOKUP('Données projet'!$B$13,Paramètres!$A$1:$I$89,5,0)</f>
        <v>1.3596945791505279E-13</v>
      </c>
      <c r="CV183" s="13">
        <f t="shared" si="173"/>
        <v>1.9708830566360721E-12</v>
      </c>
      <c r="CW183" s="20">
        <f t="shared" si="174"/>
        <v>3.669434796176543E-12</v>
      </c>
      <c r="CX183" s="59">
        <f t="shared" si="122"/>
        <v>292.35130542596738</v>
      </c>
      <c r="CY183" s="59">
        <f ca="1">AVERAGE(OFFSET($CX$3,0,0,'Données projet'!$E$13+1,1))-AVERAGE(OFFSET($H$3,0,0,'Données projet'!$E$13+1,1))</f>
        <v>352.88552266225872</v>
      </c>
      <c r="CZ183" s="59">
        <f t="shared" si="150"/>
        <v>403.29115295154782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16.42012530627143</v>
      </c>
      <c r="DG183" s="21">
        <f>EXP(-LN(2)/25)*DG182+(1-EXP(-LN(2)/25))/(LN(2)/25)*Calculateur!DB183*Calculateur!DD183*VLOOKUP('Données projet'!$B$13,Paramètres!$A$1:$I$89,3,0)*0.475*44/12</f>
        <v>2.040547201941068</v>
      </c>
      <c r="DH183" s="21">
        <f>EXP(-LN(2)/2)*DH182+(1-EXP(-LN(2)/2))/(LN(2)/2)*DB183*DE183*VLOOKUP('Données projet'!$B$13,Paramètres!$A$1:$I$89,3,0)*0.475*44/12</f>
        <v>4.1304256559963385E-17</v>
      </c>
      <c r="DI183" s="22">
        <f t="shared" si="175"/>
        <v>18.460672508212497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69.732174207081002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69.732174207081002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69.732174207081002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69.732174207081002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69.732174207081002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1.25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4.583333333333333</v>
      </c>
      <c r="H184" s="67">
        <f t="shared" si="110"/>
        <v>238.33333333333334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69.736820385819371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467.10712490977266</v>
      </c>
      <c r="T184" s="59">
        <f t="shared" si="142"/>
        <v>282.99426855025968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55.851111366557063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55.851111366557063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69.736820385819371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-5.1159076974727213E-13</v>
      </c>
      <c r="AJ184" s="13">
        <f>AI184*VLOOKUP('Données projet'!$B$10,Paramètres!$A$1:$I$89,3,0)*VLOOKUP('Données projet'!$B$10,Paramètres!$A$1:$I$89,5,0)</f>
        <v>-4.8682977649150421E-13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399.57236812003225</v>
      </c>
      <c r="AO184" s="59">
        <f t="shared" si="144"/>
        <v>245.95971136213691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39.085895102426718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39.085895102426718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69.736820385819371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2.2737367544323206E-13</v>
      </c>
      <c r="BE184" s="13">
        <f>BD184*VLOOKUP('Données projet'!$B$11,Paramètres!$A$1:$I$89,3,0)*VLOOKUP('Données projet'!$B$11,Paramètres!$A$1:$I$89,5,0)</f>
        <v>1.3596945791505279E-13</v>
      </c>
      <c r="BF184" s="13">
        <f t="shared" si="167"/>
        <v>1.9708830566360721E-12</v>
      </c>
      <c r="BG184" s="20">
        <f t="shared" si="168"/>
        <v>3.669434796176543E-12</v>
      </c>
      <c r="BH184" s="59">
        <f t="shared" si="116"/>
        <v>292.36834141467472</v>
      </c>
      <c r="BI184" s="59">
        <f ca="1">AVERAGE(OFFSET($BH$3,0,0,'Données projet'!$E$11+1,1))-AVERAGE(OFFSET($H$3,0,0,'Données projet'!$E$11+1,1))</f>
        <v>352.88552266225872</v>
      </c>
      <c r="BJ184" s="59">
        <f t="shared" si="146"/>
        <v>403.29115295154782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16.098136664302956</v>
      </c>
      <c r="BQ184" s="21">
        <f>EXP(-LN(2)/25)*BQ183+(1-EXP(-LN(2)/25))/(LN(2)/25)*Calculateur!BL184*Calculateur!BN184*VLOOKUP('Données projet'!$B$11,Paramètres!$A$1:$I$89,3,0)*0.475*44/12</f>
        <v>1.9847483313962759</v>
      </c>
      <c r="BR184" s="21">
        <f>EXP(-LN(2)/2)*BR183+(1-EXP(-LN(2)/2))/(LN(2)/2)*BL184*BO184*VLOOKUP('Données projet'!$B$11,Paramètres!$A$1:$I$89,3,0)*0.475*44/12</f>
        <v>2.9206519905419049E-17</v>
      </c>
      <c r="BS184" s="22">
        <f t="shared" si="169"/>
        <v>18.082884995699231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69.736820385819371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-1.0049916454590858E-13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297.1442218517625</v>
      </c>
      <c r="CE184" s="59">
        <f t="shared" si="148"/>
        <v>326.0112787126069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17.096868123526175</v>
      </c>
      <c r="CL184" s="21">
        <f>EXP(-LN(2)/25)*CL183+(1-EXP(-LN(2)/25))/(LN(2)/25)*Calculateur!CG184*Calculateur!CI184*VLOOKUP('Données projet'!$B$12,Paramètres!$A$1:$I$89,3,0)*0.475*44/12</f>
        <v>2.0201070839804514</v>
      </c>
      <c r="CM184" s="21">
        <f>EXP(-LN(2)/2)*CM183+(1-EXP(-LN(2)/2))/(LN(2)/2)*CG184*CJ184*VLOOKUP('Données projet'!$B$12,Paramètres!$A$1:$I$89,3,0)*0.475*44/12</f>
        <v>2.6325504614147433E-17</v>
      </c>
      <c r="CN184" s="22">
        <f t="shared" si="172"/>
        <v>19.116975207506627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69.736820385819371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2.2737367544323206E-13</v>
      </c>
      <c r="CU184" s="17">
        <f>CT184*VLOOKUP('Données projet'!$B$13,Paramètres!$A$1:$I$89,3,0)*VLOOKUP('Données projet'!$B$13,Paramètres!$A$1:$I$89,5,0)</f>
        <v>1.3596945791505279E-13</v>
      </c>
      <c r="CV184" s="13">
        <f t="shared" si="173"/>
        <v>1.9708830566360721E-12</v>
      </c>
      <c r="CW184" s="20">
        <f t="shared" si="174"/>
        <v>3.669434796176543E-12</v>
      </c>
      <c r="CX184" s="59">
        <f t="shared" si="122"/>
        <v>292.36834141467472</v>
      </c>
      <c r="CY184" s="59">
        <f ca="1">AVERAGE(OFFSET($CX$3,0,0,'Données projet'!$E$13+1,1))-AVERAGE(OFFSET($H$3,0,0,'Données projet'!$E$13+1,1))</f>
        <v>352.88552266225872</v>
      </c>
      <c r="CZ184" s="59">
        <f t="shared" si="150"/>
        <v>403.29115295154782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16.098136664302956</v>
      </c>
      <c r="DG184" s="21">
        <f>EXP(-LN(2)/25)*DG183+(1-EXP(-LN(2)/25))/(LN(2)/25)*Calculateur!DB184*Calculateur!DD184*VLOOKUP('Données projet'!$B$13,Paramètres!$A$1:$I$89,3,0)*0.475*44/12</f>
        <v>1.9847483313962759</v>
      </c>
      <c r="DH184" s="21">
        <f>EXP(-LN(2)/2)*DH183+(1-EXP(-LN(2)/2))/(LN(2)/2)*DB184*DE184*VLOOKUP('Données projet'!$B$13,Paramètres!$A$1:$I$89,3,0)*0.475*44/12</f>
        <v>2.9206519905419049E-17</v>
      </c>
      <c r="DI184" s="22">
        <f t="shared" si="175"/>
        <v>18.082884995699231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69.736820385819371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69.736820385819371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69.736820385819371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69.736820385819371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69.736820385819371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1.25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4.583333333333333</v>
      </c>
      <c r="H185" s="67">
        <f t="shared" si="110"/>
        <v>238.33333333333334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69.741385963743937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467.10712490977266</v>
      </c>
      <c r="T185" s="59">
        <f t="shared" si="142"/>
        <v>282.99426855025968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54.755905138473096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54.755905138473096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69.741385963743937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-5.1159076974727213E-13</v>
      </c>
      <c r="AJ185" s="13">
        <f>AI185*VLOOKUP('Données projet'!$B$10,Paramètres!$A$1:$I$89,3,0)*VLOOKUP('Données projet'!$B$10,Paramètres!$A$1:$I$89,5,0)</f>
        <v>-4.8682977649150421E-13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399.57236812003225</v>
      </c>
      <c r="AO185" s="59">
        <f t="shared" si="144"/>
        <v>245.95971136213691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38.319444539510137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38.319444539510137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69.741385963743937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2.2737367544323206E-13</v>
      </c>
      <c r="BE185" s="13">
        <f>BD185*VLOOKUP('Données projet'!$B$11,Paramètres!$A$1:$I$89,3,0)*VLOOKUP('Données projet'!$B$11,Paramètres!$A$1:$I$89,5,0)</f>
        <v>1.3596945791505279E-13</v>
      </c>
      <c r="BF185" s="13">
        <f t="shared" si="167"/>
        <v>1.9708830566360721E-12</v>
      </c>
      <c r="BG185" s="20">
        <f t="shared" si="168"/>
        <v>3.669434796176543E-12</v>
      </c>
      <c r="BH185" s="59">
        <f t="shared" si="116"/>
        <v>292.3850818670648</v>
      </c>
      <c r="BI185" s="59">
        <f ca="1">AVERAGE(OFFSET($BH$3,0,0,'Données projet'!$E$11+1,1))-AVERAGE(OFFSET($H$3,0,0,'Données projet'!$E$11+1,1))</f>
        <v>352.88552266225872</v>
      </c>
      <c r="BJ185" s="59">
        <f t="shared" si="146"/>
        <v>403.29115295154782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15.782462023209805</v>
      </c>
      <c r="BQ185" s="21">
        <f>EXP(-LN(2)/25)*BQ184+(1-EXP(-LN(2)/25))/(LN(2)/25)*Calculateur!BL185*Calculateur!BN185*VLOOKUP('Données projet'!$B$11,Paramètres!$A$1:$I$89,3,0)*0.475*44/12</f>
        <v>1.9304752839008663</v>
      </c>
      <c r="BR185" s="21">
        <f>EXP(-LN(2)/2)*BR184+(1-EXP(-LN(2)/2))/(LN(2)/2)*BL185*BO185*VLOOKUP('Données projet'!$B$11,Paramètres!$A$1:$I$89,3,0)*0.475*44/12</f>
        <v>2.0652128279981693E-17</v>
      </c>
      <c r="BS185" s="22">
        <f t="shared" si="169"/>
        <v>17.712937307110671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69.741385963743937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-1.0049916454590858E-13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297.1442218517625</v>
      </c>
      <c r="CE185" s="59">
        <f t="shared" si="148"/>
        <v>326.0112787126069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16.761608967683696</v>
      </c>
      <c r="CL185" s="21">
        <f>EXP(-LN(2)/25)*CL184+(1-EXP(-LN(2)/25))/(LN(2)/25)*Calculateur!CG185*Calculateur!CI185*VLOOKUP('Données projet'!$B$12,Paramètres!$A$1:$I$89,3,0)*0.475*44/12</f>
        <v>1.9648671495361913</v>
      </c>
      <c r="CM185" s="21">
        <f>EXP(-LN(2)/2)*CM184+(1-EXP(-LN(2)/2))/(LN(2)/2)*CG185*CJ185*VLOOKUP('Données projet'!$B$12,Paramètres!$A$1:$I$89,3,0)*0.475*44/12</f>
        <v>1.8614942830821396E-17</v>
      </c>
      <c r="CN185" s="22">
        <f t="shared" si="172"/>
        <v>18.726476117219889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69.741385963743937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2.2737367544323206E-13</v>
      </c>
      <c r="CU185" s="17">
        <f>CT185*VLOOKUP('Données projet'!$B$13,Paramètres!$A$1:$I$89,3,0)*VLOOKUP('Données projet'!$B$13,Paramètres!$A$1:$I$89,5,0)</f>
        <v>1.3596945791505279E-13</v>
      </c>
      <c r="CV185" s="13">
        <f t="shared" si="173"/>
        <v>1.9708830566360721E-12</v>
      </c>
      <c r="CW185" s="20">
        <f t="shared" si="174"/>
        <v>3.669434796176543E-12</v>
      </c>
      <c r="CX185" s="59">
        <f t="shared" si="122"/>
        <v>292.3850818670648</v>
      </c>
      <c r="CY185" s="59">
        <f ca="1">AVERAGE(OFFSET($CX$3,0,0,'Données projet'!$E$13+1,1))-AVERAGE(OFFSET($H$3,0,0,'Données projet'!$E$13+1,1))</f>
        <v>352.88552266225872</v>
      </c>
      <c r="CZ185" s="59">
        <f t="shared" si="150"/>
        <v>403.29115295154782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15.782462023209805</v>
      </c>
      <c r="DG185" s="21">
        <f>EXP(-LN(2)/25)*DG184+(1-EXP(-LN(2)/25))/(LN(2)/25)*Calculateur!DB185*Calculateur!DD185*VLOOKUP('Données projet'!$B$13,Paramètres!$A$1:$I$89,3,0)*0.475*44/12</f>
        <v>1.9304752839008663</v>
      </c>
      <c r="DH185" s="21">
        <f>EXP(-LN(2)/2)*DH184+(1-EXP(-LN(2)/2))/(LN(2)/2)*DB185*DE185*VLOOKUP('Données projet'!$B$13,Paramètres!$A$1:$I$89,3,0)*0.475*44/12</f>
        <v>2.0652128279981693E-17</v>
      </c>
      <c r="DI185" s="22">
        <f t="shared" si="175"/>
        <v>17.712937307110671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69.741385963743937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69.741385963743937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69.741385963743937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69.741385963743937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69.741385963743937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1.25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4.583333333333333</v>
      </c>
      <c r="H186" s="67">
        <f t="shared" si="110"/>
        <v>238.33333333333334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69.745872339098611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467.10712490977266</v>
      </c>
      <c r="T186" s="59">
        <f t="shared" si="142"/>
        <v>282.99426855025968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53.682175236512016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53.682175236512016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69.745872339098611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-5.1159076974727213E-13</v>
      </c>
      <c r="AJ186" s="13">
        <f>AI186*VLOOKUP('Données projet'!$B$10,Paramètres!$A$1:$I$89,3,0)*VLOOKUP('Données projet'!$B$10,Paramètres!$A$1:$I$89,5,0)</f>
        <v>-4.8682977649150421E-13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399.57236812003225</v>
      </c>
      <c r="AO186" s="59">
        <f t="shared" si="144"/>
        <v>245.95971136213691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37.568023604643663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37.568023604643663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69.745872339098611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2.2737367544323206E-13</v>
      </c>
      <c r="BE186" s="13">
        <f>BD186*VLOOKUP('Données projet'!$B$11,Paramètres!$A$1:$I$89,3,0)*VLOOKUP('Données projet'!$B$11,Paramètres!$A$1:$I$89,5,0)</f>
        <v>1.3596945791505279E-13</v>
      </c>
      <c r="BF186" s="13">
        <f t="shared" si="167"/>
        <v>1.9708830566360721E-12</v>
      </c>
      <c r="BG186" s="20">
        <f t="shared" si="168"/>
        <v>3.669434796176543E-12</v>
      </c>
      <c r="BH186" s="59">
        <f t="shared" si="116"/>
        <v>292.40153191003196</v>
      </c>
      <c r="BI186" s="59">
        <f ca="1">AVERAGE(OFFSET($BH$3,0,0,'Données projet'!$E$11+1,1))-AVERAGE(OFFSET($H$3,0,0,'Données projet'!$E$11+1,1))</f>
        <v>352.88552266225872</v>
      </c>
      <c r="BJ186" s="59">
        <f t="shared" si="146"/>
        <v>403.29115295154782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15.472977569285971</v>
      </c>
      <c r="BQ186" s="21">
        <f>EXP(-LN(2)/25)*BQ185+(1-EXP(-LN(2)/25))/(LN(2)/25)*Calculateur!BL186*Calculateur!BN186*VLOOKUP('Données projet'!$B$11,Paramètres!$A$1:$I$89,3,0)*0.475*44/12</f>
        <v>1.877686335743314</v>
      </c>
      <c r="BR186" s="21">
        <f>EXP(-LN(2)/2)*BR185+(1-EXP(-LN(2)/2))/(LN(2)/2)*BL186*BO186*VLOOKUP('Données projet'!$B$11,Paramètres!$A$1:$I$89,3,0)*0.475*44/12</f>
        <v>1.4603259952709525E-17</v>
      </c>
      <c r="BS186" s="22">
        <f t="shared" si="169"/>
        <v>17.350663905029286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69.745872339098611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-1.0049916454590858E-13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297.1442218517625</v>
      </c>
      <c r="CE186" s="59">
        <f t="shared" si="148"/>
        <v>326.0112787126069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16.432924039399396</v>
      </c>
      <c r="CL186" s="21">
        <f>EXP(-LN(2)/25)*CL185+(1-EXP(-LN(2)/25))/(LN(2)/25)*Calculateur!CG186*Calculateur!CI186*VLOOKUP('Données projet'!$B$12,Paramètres!$A$1:$I$89,3,0)*0.475*44/12</f>
        <v>1.9111377540042516</v>
      </c>
      <c r="CM186" s="21">
        <f>EXP(-LN(2)/2)*CM185+(1-EXP(-LN(2)/2))/(LN(2)/2)*CG186*CJ186*VLOOKUP('Données projet'!$B$12,Paramètres!$A$1:$I$89,3,0)*0.475*44/12</f>
        <v>1.3162752307073716E-17</v>
      </c>
      <c r="CN186" s="22">
        <f t="shared" si="172"/>
        <v>18.344061793403647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69.745872339098611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2.2737367544323206E-13</v>
      </c>
      <c r="CU186" s="17">
        <f>CT186*VLOOKUP('Données projet'!$B$13,Paramètres!$A$1:$I$89,3,0)*VLOOKUP('Données projet'!$B$13,Paramètres!$A$1:$I$89,5,0)</f>
        <v>1.3596945791505279E-13</v>
      </c>
      <c r="CV186" s="13">
        <f t="shared" si="173"/>
        <v>1.9708830566360721E-12</v>
      </c>
      <c r="CW186" s="20">
        <f t="shared" si="174"/>
        <v>3.669434796176543E-12</v>
      </c>
      <c r="CX186" s="59">
        <f t="shared" si="122"/>
        <v>292.40153191003196</v>
      </c>
      <c r="CY186" s="59">
        <f ca="1">AVERAGE(OFFSET($CX$3,0,0,'Données projet'!$E$13+1,1))-AVERAGE(OFFSET($H$3,0,0,'Données projet'!$E$13+1,1))</f>
        <v>352.88552266225872</v>
      </c>
      <c r="CZ186" s="59">
        <f t="shared" si="150"/>
        <v>403.29115295154782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15.472977569285971</v>
      </c>
      <c r="DG186" s="21">
        <f>EXP(-LN(2)/25)*DG185+(1-EXP(-LN(2)/25))/(LN(2)/25)*Calculateur!DB186*Calculateur!DD186*VLOOKUP('Données projet'!$B$13,Paramètres!$A$1:$I$89,3,0)*0.475*44/12</f>
        <v>1.877686335743314</v>
      </c>
      <c r="DH186" s="21">
        <f>EXP(-LN(2)/2)*DH185+(1-EXP(-LN(2)/2))/(LN(2)/2)*DB186*DE186*VLOOKUP('Données projet'!$B$13,Paramètres!$A$1:$I$89,3,0)*0.475*44/12</f>
        <v>1.4603259952709525E-17</v>
      </c>
      <c r="DI186" s="22">
        <f t="shared" si="175"/>
        <v>17.350663905029286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69.745872339098611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69.745872339098611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69.745872339098611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69.745872339098611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69.745872339098611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1.25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4.583333333333333</v>
      </c>
      <c r="H187" s="67">
        <f t="shared" si="110"/>
        <v>238.33333333333334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69.750280885870922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467.10712490977266</v>
      </c>
      <c r="T187" s="59">
        <f t="shared" si="142"/>
        <v>282.99426855025968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52.629500523017818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52.629500523017818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69.750280885870922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-5.1159076974727213E-13</v>
      </c>
      <c r="AJ187" s="13">
        <f>AI187*VLOOKUP('Données projet'!$B$10,Paramètres!$A$1:$I$89,3,0)*VLOOKUP('Données projet'!$B$10,Paramètres!$A$1:$I$89,5,0)</f>
        <v>-4.8682977649150421E-13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399.57236812003225</v>
      </c>
      <c r="AO187" s="59">
        <f t="shared" si="144"/>
        <v>245.95971136213691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36.831337575988407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36.831337575988407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69.750280885870922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2.2737367544323206E-13</v>
      </c>
      <c r="BE187" s="13">
        <f>BD187*VLOOKUP('Données projet'!$B$11,Paramètres!$A$1:$I$89,3,0)*VLOOKUP('Données projet'!$B$11,Paramètres!$A$1:$I$89,5,0)</f>
        <v>1.3596945791505279E-13</v>
      </c>
      <c r="BF187" s="13">
        <f t="shared" si="167"/>
        <v>1.9708830566360721E-12</v>
      </c>
      <c r="BG187" s="20">
        <f t="shared" si="168"/>
        <v>3.669434796176543E-12</v>
      </c>
      <c r="BH187" s="59">
        <f t="shared" si="116"/>
        <v>292.41769658153044</v>
      </c>
      <c r="BI187" s="59">
        <f ca="1">AVERAGE(OFFSET($BH$3,0,0,'Données projet'!$E$11+1,1))-AVERAGE(OFFSET($H$3,0,0,'Données projet'!$E$11+1,1))</f>
        <v>352.88552266225872</v>
      </c>
      <c r="BJ187" s="59">
        <f t="shared" si="146"/>
        <v>403.29115295154782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15.169561916736706</v>
      </c>
      <c r="BQ187" s="21">
        <f>EXP(-LN(2)/25)*BQ186+(1-EXP(-LN(2)/25))/(LN(2)/25)*Calculateur!BL187*Calculateur!BN187*VLOOKUP('Données projet'!$B$11,Paramètres!$A$1:$I$89,3,0)*0.475*44/12</f>
        <v>1.8263409041491803</v>
      </c>
      <c r="BR187" s="21">
        <f>EXP(-LN(2)/2)*BR186+(1-EXP(-LN(2)/2))/(LN(2)/2)*BL187*BO187*VLOOKUP('Données projet'!$B$11,Paramètres!$A$1:$I$89,3,0)*0.475*44/12</f>
        <v>1.0326064139990846E-17</v>
      </c>
      <c r="BS187" s="22">
        <f t="shared" si="169"/>
        <v>16.995902820885885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69.750280885870922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-1.0049916454590858E-13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297.1442218517625</v>
      </c>
      <c r="CE187" s="59">
        <f t="shared" si="148"/>
        <v>326.0112787126069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16.110684422080737</v>
      </c>
      <c r="CL187" s="21">
        <f>EXP(-LN(2)/25)*CL186+(1-EXP(-LN(2)/25))/(LN(2)/25)*Calculateur!CG187*Calculateur!CI187*VLOOKUP('Données projet'!$B$12,Paramètres!$A$1:$I$89,3,0)*0.475*44/12</f>
        <v>1.8588775916186389</v>
      </c>
      <c r="CM187" s="21">
        <f>EXP(-LN(2)/2)*CM186+(1-EXP(-LN(2)/2))/(LN(2)/2)*CG187*CJ187*VLOOKUP('Données projet'!$B$12,Paramètres!$A$1:$I$89,3,0)*0.475*44/12</f>
        <v>9.3074714154106978E-18</v>
      </c>
      <c r="CN187" s="22">
        <f t="shared" si="172"/>
        <v>17.969562013699377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69.750280885870922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2.2737367544323206E-13</v>
      </c>
      <c r="CU187" s="17">
        <f>CT187*VLOOKUP('Données projet'!$B$13,Paramètres!$A$1:$I$89,3,0)*VLOOKUP('Données projet'!$B$13,Paramètres!$A$1:$I$89,5,0)</f>
        <v>1.3596945791505279E-13</v>
      </c>
      <c r="CV187" s="13">
        <f t="shared" si="173"/>
        <v>1.9708830566360721E-12</v>
      </c>
      <c r="CW187" s="20">
        <f t="shared" si="174"/>
        <v>3.669434796176543E-12</v>
      </c>
      <c r="CX187" s="59">
        <f t="shared" si="122"/>
        <v>292.41769658153044</v>
      </c>
      <c r="CY187" s="59">
        <f ca="1">AVERAGE(OFFSET($CX$3,0,0,'Données projet'!$E$13+1,1))-AVERAGE(OFFSET($H$3,0,0,'Données projet'!$E$13+1,1))</f>
        <v>352.88552266225872</v>
      </c>
      <c r="CZ187" s="59">
        <f t="shared" si="150"/>
        <v>403.29115295154782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15.169561916736706</v>
      </c>
      <c r="DG187" s="21">
        <f>EXP(-LN(2)/25)*DG186+(1-EXP(-LN(2)/25))/(LN(2)/25)*Calculateur!DB187*Calculateur!DD187*VLOOKUP('Données projet'!$B$13,Paramètres!$A$1:$I$89,3,0)*0.475*44/12</f>
        <v>1.8263409041491803</v>
      </c>
      <c r="DH187" s="21">
        <f>EXP(-LN(2)/2)*DH186+(1-EXP(-LN(2)/2))/(LN(2)/2)*DB187*DE187*VLOOKUP('Données projet'!$B$13,Paramètres!$A$1:$I$89,3,0)*0.475*44/12</f>
        <v>1.0326064139990846E-17</v>
      </c>
      <c r="DI187" s="22">
        <f t="shared" si="175"/>
        <v>16.995902820885885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69.750280885870922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69.750280885870922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69.750280885870922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69.750280885870922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69.750280885870922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1.25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4.583333333333333</v>
      </c>
      <c r="H188" s="67">
        <f t="shared" si="110"/>
        <v>238.33333333333334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69.754612954212746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467.10712490977266</v>
      </c>
      <c r="T188" s="59">
        <f t="shared" si="142"/>
        <v>282.99426855025968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51.597468118587066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51.597468118587066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69.754612954212746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-5.1159076974727213E-13</v>
      </c>
      <c r="AJ188" s="13">
        <f>AI188*VLOOKUP('Données projet'!$B$10,Paramètres!$A$1:$I$89,3,0)*VLOOKUP('Données projet'!$B$10,Paramètres!$A$1:$I$89,5,0)</f>
        <v>-4.8682977649150421E-13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399.57236812003225</v>
      </c>
      <c r="AO188" s="59">
        <f t="shared" si="144"/>
        <v>245.95971136213691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36.10909751102097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36.10909751102097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69.754612954212746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2.2737367544323206E-13</v>
      </c>
      <c r="BE188" s="13">
        <f>BD188*VLOOKUP('Données projet'!$B$11,Paramètres!$A$1:$I$89,3,0)*VLOOKUP('Données projet'!$B$11,Paramètres!$A$1:$I$89,5,0)</f>
        <v>1.3596945791505279E-13</v>
      </c>
      <c r="BF188" s="13">
        <f t="shared" si="167"/>
        <v>1.9708830566360721E-12</v>
      </c>
      <c r="BG188" s="20">
        <f t="shared" si="168"/>
        <v>3.669434796176543E-12</v>
      </c>
      <c r="BH188" s="59">
        <f t="shared" si="116"/>
        <v>292.43358083211712</v>
      </c>
      <c r="BI188" s="59">
        <f ca="1">AVERAGE(OFFSET($BH$3,0,0,'Données projet'!$E$11+1,1))-AVERAGE(OFFSET($H$3,0,0,'Données projet'!$E$11+1,1))</f>
        <v>352.88552266225872</v>
      </c>
      <c r="BJ188" s="59">
        <f t="shared" si="146"/>
        <v>403.29115295154782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14.872096060068658</v>
      </c>
      <c r="BQ188" s="21">
        <f>EXP(-LN(2)/25)*BQ187+(1-EXP(-LN(2)/25))/(LN(2)/25)*Calculateur!BL188*Calculateur!BN188*VLOOKUP('Données projet'!$B$11,Paramètres!$A$1:$I$89,3,0)*0.475*44/12</f>
        <v>1.7763995160821269</v>
      </c>
      <c r="BR188" s="21">
        <f>EXP(-LN(2)/2)*BR187+(1-EXP(-LN(2)/2))/(LN(2)/2)*BL188*BO188*VLOOKUP('Données projet'!$B$11,Paramètres!$A$1:$I$89,3,0)*0.475*44/12</f>
        <v>7.3016299763547623E-18</v>
      </c>
      <c r="BS188" s="22">
        <f t="shared" si="169"/>
        <v>16.648495576150786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69.754612954212746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-1.0049916454590858E-13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297.1442218517625</v>
      </c>
      <c r="CE188" s="59">
        <f t="shared" si="148"/>
        <v>326.0112787126069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15.79476372711094</v>
      </c>
      <c r="CL188" s="21">
        <f>EXP(-LN(2)/25)*CL187+(1-EXP(-LN(2)/25))/(LN(2)/25)*Calculateur!CG188*Calculateur!CI188*VLOOKUP('Données projet'!$B$12,Paramètres!$A$1:$I$89,3,0)*0.475*44/12</f>
        <v>1.8080464861217032</v>
      </c>
      <c r="CM188" s="21">
        <f>EXP(-LN(2)/2)*CM187+(1-EXP(-LN(2)/2))/(LN(2)/2)*CG188*CJ188*VLOOKUP('Données projet'!$B$12,Paramètres!$A$1:$I$89,3,0)*0.475*44/12</f>
        <v>6.5813761535368582E-18</v>
      </c>
      <c r="CN188" s="22">
        <f t="shared" si="172"/>
        <v>17.602810213232644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69.754612954212746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2.2737367544323206E-13</v>
      </c>
      <c r="CU188" s="17">
        <f>CT188*VLOOKUP('Données projet'!$B$13,Paramètres!$A$1:$I$89,3,0)*VLOOKUP('Données projet'!$B$13,Paramètres!$A$1:$I$89,5,0)</f>
        <v>1.3596945791505279E-13</v>
      </c>
      <c r="CV188" s="13">
        <f t="shared" si="173"/>
        <v>1.9708830566360721E-12</v>
      </c>
      <c r="CW188" s="20">
        <f t="shared" si="174"/>
        <v>3.669434796176543E-12</v>
      </c>
      <c r="CX188" s="59">
        <f t="shared" si="122"/>
        <v>292.43358083211712</v>
      </c>
      <c r="CY188" s="59">
        <f ca="1">AVERAGE(OFFSET($CX$3,0,0,'Données projet'!$E$13+1,1))-AVERAGE(OFFSET($H$3,0,0,'Données projet'!$E$13+1,1))</f>
        <v>352.88552266225872</v>
      </c>
      <c r="CZ188" s="59">
        <f t="shared" si="150"/>
        <v>403.29115295154782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14.872096060068658</v>
      </c>
      <c r="DG188" s="21">
        <f>EXP(-LN(2)/25)*DG187+(1-EXP(-LN(2)/25))/(LN(2)/25)*Calculateur!DB188*Calculateur!DD188*VLOOKUP('Données projet'!$B$13,Paramètres!$A$1:$I$89,3,0)*0.475*44/12</f>
        <v>1.7763995160821269</v>
      </c>
      <c r="DH188" s="21">
        <f>EXP(-LN(2)/2)*DH187+(1-EXP(-LN(2)/2))/(LN(2)/2)*DB188*DE188*VLOOKUP('Données projet'!$B$13,Paramètres!$A$1:$I$89,3,0)*0.475*44/12</f>
        <v>7.3016299763547623E-18</v>
      </c>
      <c r="DI188" s="22">
        <f t="shared" si="175"/>
        <v>16.648495576150786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69.754612954212746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69.754612954212746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69.754612954212746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69.754612954212746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69.754612954212746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1.25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4.583333333333333</v>
      </c>
      <c r="H189" s="67">
        <f t="shared" si="110"/>
        <v>238.33333333333334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69.758869870853914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467.10712490977266</v>
      </c>
      <c r="T189" s="59">
        <f t="shared" si="142"/>
        <v>282.99426855025968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50.585673240129587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50.585673240129587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69.758869870853914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-5.1159076974727213E-13</v>
      </c>
      <c r="AJ189" s="13">
        <f>AI189*VLOOKUP('Données projet'!$B$10,Paramètres!$A$1:$I$89,3,0)*VLOOKUP('Données projet'!$B$10,Paramètres!$A$1:$I$89,5,0)</f>
        <v>-4.8682977649150421E-13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399.57236812003225</v>
      </c>
      <c r="AO189" s="59">
        <f t="shared" si="144"/>
        <v>245.95971136213691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35.401020133204604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35.401020133204604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69.758869870853914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2.2737367544323206E-13</v>
      </c>
      <c r="BE189" s="13">
        <f>BD189*VLOOKUP('Données projet'!$B$11,Paramètres!$A$1:$I$89,3,0)*VLOOKUP('Données projet'!$B$11,Paramètres!$A$1:$I$89,5,0)</f>
        <v>1.3596945791505279E-13</v>
      </c>
      <c r="BF189" s="13">
        <f t="shared" si="167"/>
        <v>1.9708830566360721E-12</v>
      </c>
      <c r="BG189" s="20">
        <f t="shared" si="168"/>
        <v>3.669434796176543E-12</v>
      </c>
      <c r="BH189" s="59">
        <f t="shared" si="116"/>
        <v>292.44918952646805</v>
      </c>
      <c r="BI189" s="59">
        <f ca="1">AVERAGE(OFFSET($BH$3,0,0,'Données projet'!$E$11+1,1))-AVERAGE(OFFSET($H$3,0,0,'Données projet'!$E$11+1,1))</f>
        <v>352.88552266225872</v>
      </c>
      <c r="BJ189" s="59">
        <f t="shared" si="146"/>
        <v>403.29115295154782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14.580463327413614</v>
      </c>
      <c r="BQ189" s="21">
        <f>EXP(-LN(2)/25)*BQ188+(1-EXP(-LN(2)/25))/(LN(2)/25)*Calculateur!BL189*Calculateur!BN189*VLOOKUP('Données projet'!$B$11,Paramètres!$A$1:$I$89,3,0)*0.475*44/12</f>
        <v>1.7278237778980705</v>
      </c>
      <c r="BR189" s="21">
        <f>EXP(-LN(2)/2)*BR188+(1-EXP(-LN(2)/2))/(LN(2)/2)*BL189*BO189*VLOOKUP('Données projet'!$B$11,Paramètres!$A$1:$I$89,3,0)*0.475*44/12</f>
        <v>5.1630320699954232E-18</v>
      </c>
      <c r="BS189" s="22">
        <f t="shared" si="169"/>
        <v>16.308287105311685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69.758869870853914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-1.0049916454590858E-13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297.1442218517625</v>
      </c>
      <c r="CE189" s="59">
        <f t="shared" si="148"/>
        <v>326.0112787126069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15.485038044276903</v>
      </c>
      <c r="CL189" s="21">
        <f>EXP(-LN(2)/25)*CL188+(1-EXP(-LN(2)/25))/(LN(2)/25)*Calculateur!CG189*Calculateur!CI189*VLOOKUP('Données projet'!$B$12,Paramètres!$A$1:$I$89,3,0)*0.475*44/12</f>
        <v>1.7586053598776727</v>
      </c>
      <c r="CM189" s="21">
        <f>EXP(-LN(2)/2)*CM188+(1-EXP(-LN(2)/2))/(LN(2)/2)*CG189*CJ189*VLOOKUP('Données projet'!$B$12,Paramètres!$A$1:$I$89,3,0)*0.475*44/12</f>
        <v>4.6537357077053489E-18</v>
      </c>
      <c r="CN189" s="22">
        <f t="shared" si="172"/>
        <v>17.243643404154575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69.758869870853914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2.2737367544323206E-13</v>
      </c>
      <c r="CU189" s="17">
        <f>CT189*VLOOKUP('Données projet'!$B$13,Paramètres!$A$1:$I$89,3,0)*VLOOKUP('Données projet'!$B$13,Paramètres!$A$1:$I$89,5,0)</f>
        <v>1.3596945791505279E-13</v>
      </c>
      <c r="CV189" s="13">
        <f t="shared" si="173"/>
        <v>1.9708830566360721E-12</v>
      </c>
      <c r="CW189" s="20">
        <f t="shared" si="174"/>
        <v>3.669434796176543E-12</v>
      </c>
      <c r="CX189" s="59">
        <f t="shared" si="122"/>
        <v>292.44918952646805</v>
      </c>
      <c r="CY189" s="59">
        <f ca="1">AVERAGE(OFFSET($CX$3,0,0,'Données projet'!$E$13+1,1))-AVERAGE(OFFSET($H$3,0,0,'Données projet'!$E$13+1,1))</f>
        <v>352.88552266225872</v>
      </c>
      <c r="CZ189" s="59">
        <f t="shared" si="150"/>
        <v>403.29115295154782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14.580463327413614</v>
      </c>
      <c r="DG189" s="21">
        <f>EXP(-LN(2)/25)*DG188+(1-EXP(-LN(2)/25))/(LN(2)/25)*Calculateur!DB189*Calculateur!DD189*VLOOKUP('Données projet'!$B$13,Paramètres!$A$1:$I$89,3,0)*0.475*44/12</f>
        <v>1.7278237778980705</v>
      </c>
      <c r="DH189" s="21">
        <f>EXP(-LN(2)/2)*DH188+(1-EXP(-LN(2)/2))/(LN(2)/2)*DB189*DE189*VLOOKUP('Données projet'!$B$13,Paramètres!$A$1:$I$89,3,0)*0.475*44/12</f>
        <v>5.1630320699954232E-18</v>
      </c>
      <c r="DI189" s="22">
        <f t="shared" si="175"/>
        <v>16.308287105311685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69.758869870853914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69.758869870853914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69.758869870853914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69.758869870853914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69.758869870853914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1.25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4.583333333333333</v>
      </c>
      <c r="H190" s="67">
        <f t="shared" si="110"/>
        <v>238.33333333333334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69.763052939508384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467.10712490977266</v>
      </c>
      <c r="T190" s="59">
        <f t="shared" si="142"/>
        <v>282.99426855025968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49.593719042104723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49.593719042104723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69.763052939508384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-5.1159076974727213E-13</v>
      </c>
      <c r="AJ190" s="13">
        <f>AI190*VLOOKUP('Données projet'!$B$10,Paramètres!$A$1:$I$89,3,0)*VLOOKUP('Données projet'!$B$10,Paramètres!$A$1:$I$89,5,0)</f>
        <v>-4.8682977649150421E-13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399.57236812003225</v>
      </c>
      <c r="AO190" s="59">
        <f t="shared" si="144"/>
        <v>245.95971136213691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34.706827720882664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34.706827720882664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69.763052939508384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2.2737367544323206E-13</v>
      </c>
      <c r="BE190" s="13">
        <f>BD190*VLOOKUP('Données projet'!$B$11,Paramètres!$A$1:$I$89,3,0)*VLOOKUP('Données projet'!$B$11,Paramètres!$A$1:$I$89,5,0)</f>
        <v>1.3596945791505279E-13</v>
      </c>
      <c r="BF190" s="13">
        <f t="shared" si="167"/>
        <v>1.9708830566360721E-12</v>
      </c>
      <c r="BG190" s="20">
        <f t="shared" si="168"/>
        <v>3.669434796176543E-12</v>
      </c>
      <c r="BH190" s="59">
        <f t="shared" si="116"/>
        <v>292.46452744486777</v>
      </c>
      <c r="BI190" s="59">
        <f ca="1">AVERAGE(OFFSET($BH$3,0,0,'Données projet'!$E$11+1,1))-AVERAGE(OFFSET($H$3,0,0,'Données projet'!$E$11+1,1))</f>
        <v>352.88552266225872</v>
      </c>
      <c r="BJ190" s="59">
        <f t="shared" si="146"/>
        <v>403.29115295154782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14.294549334767533</v>
      </c>
      <c r="BQ190" s="21">
        <f>EXP(-LN(2)/25)*BQ189+(1-EXP(-LN(2)/25))/(LN(2)/25)*Calculateur!BL190*Calculateur!BN190*VLOOKUP('Données projet'!$B$11,Paramètres!$A$1:$I$89,3,0)*0.475*44/12</f>
        <v>1.6805763458291443</v>
      </c>
      <c r="BR190" s="21">
        <f>EXP(-LN(2)/2)*BR189+(1-EXP(-LN(2)/2))/(LN(2)/2)*BL190*BO190*VLOOKUP('Données projet'!$B$11,Paramètres!$A$1:$I$89,3,0)*0.475*44/12</f>
        <v>3.6508149881773811E-18</v>
      </c>
      <c r="BS190" s="22">
        <f t="shared" si="169"/>
        <v>15.975125680596676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69.763052939508384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-1.0049916454590858E-13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297.1442218517625</v>
      </c>
      <c r="CE190" s="59">
        <f t="shared" si="148"/>
        <v>326.0112787126069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15.18138589316923</v>
      </c>
      <c r="CL190" s="21">
        <f>EXP(-LN(2)/25)*CL189+(1-EXP(-LN(2)/25))/(LN(2)/25)*Calculateur!CG190*Calculateur!CI190*VLOOKUP('Données projet'!$B$12,Paramètres!$A$1:$I$89,3,0)*0.475*44/12</f>
        <v>1.7105162038307813</v>
      </c>
      <c r="CM190" s="21">
        <f>EXP(-LN(2)/2)*CM189+(1-EXP(-LN(2)/2))/(LN(2)/2)*CG190*CJ190*VLOOKUP('Données projet'!$B$12,Paramètres!$A$1:$I$89,3,0)*0.475*44/12</f>
        <v>3.2906880767684291E-18</v>
      </c>
      <c r="CN190" s="22">
        <f t="shared" si="172"/>
        <v>16.89190209700001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69.763052939508384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2.2737367544323206E-13</v>
      </c>
      <c r="CU190" s="17">
        <f>CT190*VLOOKUP('Données projet'!$B$13,Paramètres!$A$1:$I$89,3,0)*VLOOKUP('Données projet'!$B$13,Paramètres!$A$1:$I$89,5,0)</f>
        <v>1.3596945791505279E-13</v>
      </c>
      <c r="CV190" s="13">
        <f t="shared" si="173"/>
        <v>1.9708830566360721E-12</v>
      </c>
      <c r="CW190" s="20">
        <f t="shared" si="174"/>
        <v>3.669434796176543E-12</v>
      </c>
      <c r="CX190" s="59">
        <f t="shared" si="122"/>
        <v>292.46452744486777</v>
      </c>
      <c r="CY190" s="59">
        <f ca="1">AVERAGE(OFFSET($CX$3,0,0,'Données projet'!$E$13+1,1))-AVERAGE(OFFSET($H$3,0,0,'Données projet'!$E$13+1,1))</f>
        <v>352.88552266225872</v>
      </c>
      <c r="CZ190" s="59">
        <f t="shared" si="150"/>
        <v>403.29115295154782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14.294549334767533</v>
      </c>
      <c r="DG190" s="21">
        <f>EXP(-LN(2)/25)*DG189+(1-EXP(-LN(2)/25))/(LN(2)/25)*Calculateur!DB190*Calculateur!DD190*VLOOKUP('Données projet'!$B$13,Paramètres!$A$1:$I$89,3,0)*0.475*44/12</f>
        <v>1.6805763458291443</v>
      </c>
      <c r="DH190" s="21">
        <f>EXP(-LN(2)/2)*DH189+(1-EXP(-LN(2)/2))/(LN(2)/2)*DB190*DE190*VLOOKUP('Données projet'!$B$13,Paramètres!$A$1:$I$89,3,0)*0.475*44/12</f>
        <v>3.6508149881773811E-18</v>
      </c>
      <c r="DI190" s="22">
        <f t="shared" si="175"/>
        <v>15.975125680596676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69.763052939508384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69.763052939508384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69.763052939508384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69.763052939508384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69.763052939508384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1.25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4.583333333333333</v>
      </c>
      <c r="H191" s="67">
        <f t="shared" si="110"/>
        <v>238.33333333333334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69.767163441273652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467.10712490977266</v>
      </c>
      <c r="T191" s="59">
        <f t="shared" si="142"/>
        <v>282.99426855025968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48.621216460870805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48.621216460870805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69.767163441273652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-5.1159076974727213E-13</v>
      </c>
      <c r="AJ191" s="13">
        <f>AI191*VLOOKUP('Données projet'!$B$10,Paramètres!$A$1:$I$89,3,0)*VLOOKUP('Données projet'!$B$10,Paramètres!$A$1:$I$89,5,0)</f>
        <v>-4.8682977649150421E-13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399.57236812003225</v>
      </c>
      <c r="AO191" s="59">
        <f t="shared" si="144"/>
        <v>245.95971136213691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34.02624799835079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34.02624799835079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69.767163441273652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2.2737367544323206E-13</v>
      </c>
      <c r="BE191" s="13">
        <f>BD191*VLOOKUP('Données projet'!$B$11,Paramètres!$A$1:$I$89,3,0)*VLOOKUP('Données projet'!$B$11,Paramètres!$A$1:$I$89,5,0)</f>
        <v>1.3596945791505279E-13</v>
      </c>
      <c r="BF191" s="13">
        <f t="shared" si="167"/>
        <v>1.9708830566360721E-12</v>
      </c>
      <c r="BG191" s="20">
        <f t="shared" si="168"/>
        <v>3.669434796176543E-12</v>
      </c>
      <c r="BH191" s="59">
        <f t="shared" si="116"/>
        <v>292.47959928467378</v>
      </c>
      <c r="BI191" s="59">
        <f ca="1">AVERAGE(OFFSET($BH$3,0,0,'Données projet'!$E$11+1,1))-AVERAGE(OFFSET($H$3,0,0,'Données projet'!$E$11+1,1))</f>
        <v>352.88552266225872</v>
      </c>
      <c r="BJ191" s="59">
        <f t="shared" si="146"/>
        <v>403.29115295154782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14.014241941126924</v>
      </c>
      <c r="BQ191" s="21">
        <f>EXP(-LN(2)/25)*BQ190+(1-EXP(-LN(2)/25))/(LN(2)/25)*Calculateur!BL191*Calculateur!BN191*VLOOKUP('Données projet'!$B$11,Paramètres!$A$1:$I$89,3,0)*0.475*44/12</f>
        <v>1.6346208972747773</v>
      </c>
      <c r="BR191" s="21">
        <f>EXP(-LN(2)/2)*BR190+(1-EXP(-LN(2)/2))/(LN(2)/2)*BL191*BO191*VLOOKUP('Données projet'!$B$11,Paramètres!$A$1:$I$89,3,0)*0.475*44/12</f>
        <v>2.5815160349977116E-18</v>
      </c>
      <c r="BS191" s="22">
        <f t="shared" si="169"/>
        <v>15.648862838401701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69.767163441273652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-1.0049916454590858E-13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297.1442218517625</v>
      </c>
      <c r="CE191" s="59">
        <f t="shared" si="148"/>
        <v>326.0112787126069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14.883688175535253</v>
      </c>
      <c r="CL191" s="21">
        <f>EXP(-LN(2)/25)*CL190+(1-EXP(-LN(2)/25))/(LN(2)/25)*Calculateur!CG191*Calculateur!CI191*VLOOKUP('Données projet'!$B$12,Paramètres!$A$1:$I$89,3,0)*0.475*44/12</f>
        <v>1.6637420482848908</v>
      </c>
      <c r="CM191" s="21">
        <f>EXP(-LN(2)/2)*CM190+(1-EXP(-LN(2)/2))/(LN(2)/2)*CG191*CJ191*VLOOKUP('Données projet'!$B$12,Paramètres!$A$1:$I$89,3,0)*0.475*44/12</f>
        <v>2.3268678538526745E-18</v>
      </c>
      <c r="CN191" s="22">
        <f t="shared" si="172"/>
        <v>16.547430223820143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69.767163441273652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2.2737367544323206E-13</v>
      </c>
      <c r="CU191" s="17">
        <f>CT191*VLOOKUP('Données projet'!$B$13,Paramètres!$A$1:$I$89,3,0)*VLOOKUP('Données projet'!$B$13,Paramètres!$A$1:$I$89,5,0)</f>
        <v>1.3596945791505279E-13</v>
      </c>
      <c r="CV191" s="13">
        <f t="shared" si="173"/>
        <v>1.9708830566360721E-12</v>
      </c>
      <c r="CW191" s="20">
        <f t="shared" si="174"/>
        <v>3.669434796176543E-12</v>
      </c>
      <c r="CX191" s="59">
        <f t="shared" si="122"/>
        <v>292.47959928467378</v>
      </c>
      <c r="CY191" s="59">
        <f ca="1">AVERAGE(OFFSET($CX$3,0,0,'Données projet'!$E$13+1,1))-AVERAGE(OFFSET($H$3,0,0,'Données projet'!$E$13+1,1))</f>
        <v>352.88552266225872</v>
      </c>
      <c r="CZ191" s="59">
        <f t="shared" si="150"/>
        <v>403.29115295154782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14.014241941126924</v>
      </c>
      <c r="DG191" s="21">
        <f>EXP(-LN(2)/25)*DG190+(1-EXP(-LN(2)/25))/(LN(2)/25)*Calculateur!DB191*Calculateur!DD191*VLOOKUP('Données projet'!$B$13,Paramètres!$A$1:$I$89,3,0)*0.475*44/12</f>
        <v>1.6346208972747773</v>
      </c>
      <c r="DH191" s="21">
        <f>EXP(-LN(2)/2)*DH190+(1-EXP(-LN(2)/2))/(LN(2)/2)*DB191*DE191*VLOOKUP('Données projet'!$B$13,Paramètres!$A$1:$I$89,3,0)*0.475*44/12</f>
        <v>2.5815160349977116E-18</v>
      </c>
      <c r="DI191" s="22">
        <f t="shared" si="175"/>
        <v>15.648862838401701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69.767163441273652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69.767163441273652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69.767163441273652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69.767163441273652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69.767163441273652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1.25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4.583333333333333</v>
      </c>
      <c r="H192" s="67">
        <f t="shared" si="110"/>
        <v>238.33333333333334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69.771202635022988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467.10712490977266</v>
      </c>
      <c r="T192" s="59">
        <f t="shared" si="142"/>
        <v>282.99426855025968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47.667784062086881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47.667784062086881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69.771202635022988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-5.1159076974727213E-13</v>
      </c>
      <c r="AJ192" s="13">
        <f>AI192*VLOOKUP('Données projet'!$B$10,Paramètres!$A$1:$I$89,3,0)*VLOOKUP('Données projet'!$B$10,Paramètres!$A$1:$I$89,5,0)</f>
        <v>-4.8682977649150421E-13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399.57236812003225</v>
      </c>
      <c r="AO192" s="59">
        <f t="shared" si="144"/>
        <v>245.95971136213691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33.359014029065129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33.359014029065129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69.771202635022988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2.2737367544323206E-13</v>
      </c>
      <c r="BE192" s="13">
        <f>BD192*VLOOKUP('Données projet'!$B$11,Paramètres!$A$1:$I$89,3,0)*VLOOKUP('Données projet'!$B$11,Paramètres!$A$1:$I$89,5,0)</f>
        <v>1.3596945791505279E-13</v>
      </c>
      <c r="BF192" s="13">
        <f t="shared" si="167"/>
        <v>1.9708830566360721E-12</v>
      </c>
      <c r="BG192" s="20">
        <f t="shared" si="168"/>
        <v>3.669434796176543E-12</v>
      </c>
      <c r="BH192" s="59">
        <f t="shared" si="116"/>
        <v>292.49440966175462</v>
      </c>
      <c r="BI192" s="59">
        <f ca="1">AVERAGE(OFFSET($BH$3,0,0,'Données projet'!$E$11+1,1))-AVERAGE(OFFSET($H$3,0,0,'Données projet'!$E$11+1,1))</f>
        <v>352.88552266225872</v>
      </c>
      <c r="BJ192" s="59">
        <f t="shared" si="146"/>
        <v>403.29115295154782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13.73943120450498</v>
      </c>
      <c r="BQ192" s="21">
        <f>EXP(-LN(2)/25)*BQ191+(1-EXP(-LN(2)/25))/(LN(2)/25)*Calculateur!BL192*Calculateur!BN192*VLOOKUP('Données projet'!$B$11,Paramètres!$A$1:$I$89,3,0)*0.475*44/12</f>
        <v>1.5899221028778214</v>
      </c>
      <c r="BR192" s="21">
        <f>EXP(-LN(2)/2)*BR191+(1-EXP(-LN(2)/2))/(LN(2)/2)*BL192*BO192*VLOOKUP('Données projet'!$B$11,Paramètres!$A$1:$I$89,3,0)*0.475*44/12</f>
        <v>1.8254074940886906E-18</v>
      </c>
      <c r="BS192" s="22">
        <f t="shared" si="169"/>
        <v>15.329353307382801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69.771202635022988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-1.0049916454590858E-13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297.1442218517625</v>
      </c>
      <c r="CE192" s="59">
        <f t="shared" si="148"/>
        <v>326.0112787126069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14.591828128566402</v>
      </c>
      <c r="CL192" s="21">
        <f>EXP(-LN(2)/25)*CL191+(1-EXP(-LN(2)/25))/(LN(2)/25)*Calculateur!CG192*Calculateur!CI192*VLOOKUP('Données projet'!$B$12,Paramètres!$A$1:$I$89,3,0)*0.475*44/12</f>
        <v>1.6182469344821486</v>
      </c>
      <c r="CM192" s="21">
        <f>EXP(-LN(2)/2)*CM191+(1-EXP(-LN(2)/2))/(LN(2)/2)*CG192*CJ192*VLOOKUP('Données projet'!$B$12,Paramètres!$A$1:$I$89,3,0)*0.475*44/12</f>
        <v>1.6453440383842145E-18</v>
      </c>
      <c r="CN192" s="22">
        <f t="shared" si="172"/>
        <v>16.210075063048549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69.771202635022988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2.2737367544323206E-13</v>
      </c>
      <c r="CU192" s="17">
        <f>CT192*VLOOKUP('Données projet'!$B$13,Paramètres!$A$1:$I$89,3,0)*VLOOKUP('Données projet'!$B$13,Paramètres!$A$1:$I$89,5,0)</f>
        <v>1.3596945791505279E-13</v>
      </c>
      <c r="CV192" s="13">
        <f t="shared" si="173"/>
        <v>1.9708830566360721E-12</v>
      </c>
      <c r="CW192" s="20">
        <f t="shared" si="174"/>
        <v>3.669434796176543E-12</v>
      </c>
      <c r="CX192" s="59">
        <f t="shared" si="122"/>
        <v>292.49440966175462</v>
      </c>
      <c r="CY192" s="59">
        <f ca="1">AVERAGE(OFFSET($CX$3,0,0,'Données projet'!$E$13+1,1))-AVERAGE(OFFSET($H$3,0,0,'Données projet'!$E$13+1,1))</f>
        <v>352.88552266225872</v>
      </c>
      <c r="CZ192" s="59">
        <f t="shared" si="150"/>
        <v>403.29115295154782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13.73943120450498</v>
      </c>
      <c r="DG192" s="21">
        <f>EXP(-LN(2)/25)*DG191+(1-EXP(-LN(2)/25))/(LN(2)/25)*Calculateur!DB192*Calculateur!DD192*VLOOKUP('Données projet'!$B$13,Paramètres!$A$1:$I$89,3,0)*0.475*44/12</f>
        <v>1.5899221028778214</v>
      </c>
      <c r="DH192" s="21">
        <f>EXP(-LN(2)/2)*DH191+(1-EXP(-LN(2)/2))/(LN(2)/2)*DB192*DE192*VLOOKUP('Données projet'!$B$13,Paramètres!$A$1:$I$89,3,0)*0.475*44/12</f>
        <v>1.8254074940886906E-18</v>
      </c>
      <c r="DI192" s="22">
        <f t="shared" si="175"/>
        <v>15.329353307382801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69.771202635022988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69.771202635022988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69.771202635022988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69.771202635022988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69.771202635022988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1.25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4.583333333333333</v>
      </c>
      <c r="H193" s="67">
        <f t="shared" si="110"/>
        <v>238.33333333333334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69.775171757791071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467.10712490977266</v>
      </c>
      <c r="T193" s="59">
        <f t="shared" si="142"/>
        <v>282.99426855025968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46.733047891106771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46.733047891106771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69.775171757791071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-5.1159076974727213E-13</v>
      </c>
      <c r="AJ193" s="13">
        <f>AI193*VLOOKUP('Données projet'!$B$10,Paramètres!$A$1:$I$89,3,0)*VLOOKUP('Données projet'!$B$10,Paramètres!$A$1:$I$89,5,0)</f>
        <v>-4.8682977649150421E-13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399.57236812003225</v>
      </c>
      <c r="AO193" s="59">
        <f t="shared" si="144"/>
        <v>245.95971136213691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32.704864110944619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32.704864110944619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69.775171757791071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2.2737367544323206E-13</v>
      </c>
      <c r="BE193" s="13">
        <f>BD193*VLOOKUP('Données projet'!$B$11,Paramètres!$A$1:$I$89,3,0)*VLOOKUP('Données projet'!$B$11,Paramètres!$A$1:$I$89,5,0)</f>
        <v>1.3596945791505279E-13</v>
      </c>
      <c r="BF193" s="13">
        <f t="shared" si="167"/>
        <v>1.9708830566360721E-12</v>
      </c>
      <c r="BG193" s="20">
        <f t="shared" si="168"/>
        <v>3.669434796176543E-12</v>
      </c>
      <c r="BH193" s="59">
        <f t="shared" si="116"/>
        <v>292.50896311190428</v>
      </c>
      <c r="BI193" s="59">
        <f ca="1">AVERAGE(OFFSET($BH$3,0,0,'Données projet'!$E$11+1,1))-AVERAGE(OFFSET($H$3,0,0,'Données projet'!$E$11+1,1))</f>
        <v>352.88552266225872</v>
      </c>
      <c r="BJ193" s="59">
        <f t="shared" si="146"/>
        <v>403.29115295154782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13.470009338810193</v>
      </c>
      <c r="BQ193" s="21">
        <f>EXP(-LN(2)/25)*BQ192+(1-EXP(-LN(2)/25))/(LN(2)/25)*Calculateur!BL193*Calculateur!BN193*VLOOKUP('Données projet'!$B$11,Paramètres!$A$1:$I$89,3,0)*0.475*44/12</f>
        <v>1.5464455993642579</v>
      </c>
      <c r="BR193" s="21">
        <f>EXP(-LN(2)/2)*BR192+(1-EXP(-LN(2)/2))/(LN(2)/2)*BL193*BO193*VLOOKUP('Données projet'!$B$11,Paramètres!$A$1:$I$89,3,0)*0.475*44/12</f>
        <v>1.2907580174988558E-18</v>
      </c>
      <c r="BS193" s="22">
        <f t="shared" si="169"/>
        <v>15.016454938174451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69.775171757791071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-1.0049916454590858E-13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297.1442218517625</v>
      </c>
      <c r="CE193" s="59">
        <f t="shared" si="148"/>
        <v>326.0112787126069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14.305691279101557</v>
      </c>
      <c r="CL193" s="21">
        <f>EXP(-LN(2)/25)*CL192+(1-EXP(-LN(2)/25))/(LN(2)/25)*Calculateur!CG193*Calculateur!CI193*VLOOKUP('Données projet'!$B$12,Paramètres!$A$1:$I$89,3,0)*0.475*44/12</f>
        <v>1.5739958869588266</v>
      </c>
      <c r="CM193" s="21">
        <f>EXP(-LN(2)/2)*CM192+(1-EXP(-LN(2)/2))/(LN(2)/2)*CG193*CJ193*VLOOKUP('Données projet'!$B$12,Paramètres!$A$1:$I$89,3,0)*0.475*44/12</f>
        <v>1.1634339269263372E-18</v>
      </c>
      <c r="CN193" s="22">
        <f t="shared" si="172"/>
        <v>15.879687166060384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69.775171757791071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2.2737367544323206E-13</v>
      </c>
      <c r="CU193" s="17">
        <f>CT193*VLOOKUP('Données projet'!$B$13,Paramètres!$A$1:$I$89,3,0)*VLOOKUP('Données projet'!$B$13,Paramètres!$A$1:$I$89,5,0)</f>
        <v>1.3596945791505279E-13</v>
      </c>
      <c r="CV193" s="13">
        <f t="shared" si="173"/>
        <v>1.9708830566360721E-12</v>
      </c>
      <c r="CW193" s="20">
        <f t="shared" si="174"/>
        <v>3.669434796176543E-12</v>
      </c>
      <c r="CX193" s="59">
        <f t="shared" si="122"/>
        <v>292.50896311190428</v>
      </c>
      <c r="CY193" s="59">
        <f ca="1">AVERAGE(OFFSET($CX$3,0,0,'Données projet'!$E$13+1,1))-AVERAGE(OFFSET($H$3,0,0,'Données projet'!$E$13+1,1))</f>
        <v>352.88552266225872</v>
      </c>
      <c r="CZ193" s="59">
        <f t="shared" si="150"/>
        <v>403.29115295154782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13.470009338810193</v>
      </c>
      <c r="DG193" s="21">
        <f>EXP(-LN(2)/25)*DG192+(1-EXP(-LN(2)/25))/(LN(2)/25)*Calculateur!DB193*Calculateur!DD193*VLOOKUP('Données projet'!$B$13,Paramètres!$A$1:$I$89,3,0)*0.475*44/12</f>
        <v>1.5464455993642579</v>
      </c>
      <c r="DH193" s="21">
        <f>EXP(-LN(2)/2)*DH192+(1-EXP(-LN(2)/2))/(LN(2)/2)*DB193*DE193*VLOOKUP('Données projet'!$B$13,Paramètres!$A$1:$I$89,3,0)*0.475*44/12</f>
        <v>1.2907580174988558E-18</v>
      </c>
      <c r="DI193" s="22">
        <f t="shared" si="175"/>
        <v>15.016454938174451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69.775171757791071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69.775171757791071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69.775171757791071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69.775171757791071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69.775171757791071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1.25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4.583333333333333</v>
      </c>
      <c r="H194" s="67">
        <f t="shared" si="110"/>
        <v>238.33333333333334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69.779072025152743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467.10712490977266</v>
      </c>
      <c r="T194" s="59">
        <f t="shared" si="142"/>
        <v>282.99426855025968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45.816641326306808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45.816641326306808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69.779072025152743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-5.1159076974727213E-13</v>
      </c>
      <c r="AJ194" s="13">
        <f>AI194*VLOOKUP('Données projet'!$B$10,Paramètres!$A$1:$I$89,3,0)*VLOOKUP('Données projet'!$B$10,Paramètres!$A$1:$I$89,5,0)</f>
        <v>-4.8682977649150421E-13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399.57236812003225</v>
      </c>
      <c r="AO194" s="59">
        <f t="shared" si="144"/>
        <v>245.95971136213691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32.063541673726405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32.063541673726405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69.779072025152743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2.2737367544323206E-13</v>
      </c>
      <c r="BE194" s="13">
        <f>BD194*VLOOKUP('Données projet'!$B$11,Paramètres!$A$1:$I$89,3,0)*VLOOKUP('Données projet'!$B$11,Paramètres!$A$1:$I$89,5,0)</f>
        <v>1.3596945791505279E-13</v>
      </c>
      <c r="BF194" s="13">
        <f t="shared" si="167"/>
        <v>1.9708830566360721E-12</v>
      </c>
      <c r="BG194" s="20">
        <f t="shared" si="168"/>
        <v>3.669434796176543E-12</v>
      </c>
      <c r="BH194" s="59">
        <f t="shared" si="116"/>
        <v>292.52326409223042</v>
      </c>
      <c r="BI194" s="59">
        <f ca="1">AVERAGE(OFFSET($BH$3,0,0,'Données projet'!$E$11+1,1))-AVERAGE(OFFSET($H$3,0,0,'Données projet'!$E$11+1,1))</f>
        <v>352.88552266225872</v>
      </c>
      <c r="BJ194" s="59">
        <f t="shared" si="146"/>
        <v>403.29115295154782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13.205870671570571</v>
      </c>
      <c r="BQ194" s="21">
        <f>EXP(-LN(2)/25)*BQ193+(1-EXP(-LN(2)/25))/(LN(2)/25)*Calculateur!BL194*Calculateur!BN194*VLOOKUP('Données projet'!$B$11,Paramètres!$A$1:$I$89,3,0)*0.475*44/12</f>
        <v>1.5041579631256026</v>
      </c>
      <c r="BR194" s="21">
        <f>EXP(-LN(2)/2)*BR193+(1-EXP(-LN(2)/2))/(LN(2)/2)*BL194*BO194*VLOOKUP('Données projet'!$B$11,Paramètres!$A$1:$I$89,3,0)*0.475*44/12</f>
        <v>9.1270374704434529E-19</v>
      </c>
      <c r="BS194" s="22">
        <f t="shared" si="169"/>
        <v>14.710028634696172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69.779072025152743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-1.0049916454590858E-13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297.1442218517625</v>
      </c>
      <c r="CE194" s="59">
        <f t="shared" si="148"/>
        <v>326.0112787126069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14.025165398728474</v>
      </c>
      <c r="CL194" s="21">
        <f>EXP(-LN(2)/25)*CL193+(1-EXP(-LN(2)/25))/(LN(2)/25)*Calculateur!CG194*Calculateur!CI194*VLOOKUP('Données projet'!$B$12,Paramètres!$A$1:$I$89,3,0)*0.475*44/12</f>
        <v>1.5309548866570912</v>
      </c>
      <c r="CM194" s="21">
        <f>EXP(-LN(2)/2)*CM193+(1-EXP(-LN(2)/2))/(LN(2)/2)*CG194*CJ194*VLOOKUP('Données projet'!$B$12,Paramètres!$A$1:$I$89,3,0)*0.475*44/12</f>
        <v>8.2267201919210727E-19</v>
      </c>
      <c r="CN194" s="22">
        <f t="shared" si="172"/>
        <v>15.556120285385564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69.779072025152743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2.2737367544323206E-13</v>
      </c>
      <c r="CU194" s="17">
        <f>CT194*VLOOKUP('Données projet'!$B$13,Paramètres!$A$1:$I$89,3,0)*VLOOKUP('Données projet'!$B$13,Paramètres!$A$1:$I$89,5,0)</f>
        <v>1.3596945791505279E-13</v>
      </c>
      <c r="CV194" s="13">
        <f t="shared" si="173"/>
        <v>1.9708830566360721E-12</v>
      </c>
      <c r="CW194" s="20">
        <f t="shared" si="174"/>
        <v>3.669434796176543E-12</v>
      </c>
      <c r="CX194" s="59">
        <f t="shared" si="122"/>
        <v>292.52326409223042</v>
      </c>
      <c r="CY194" s="59">
        <f ca="1">AVERAGE(OFFSET($CX$3,0,0,'Données projet'!$E$13+1,1))-AVERAGE(OFFSET($H$3,0,0,'Données projet'!$E$13+1,1))</f>
        <v>352.88552266225872</v>
      </c>
      <c r="CZ194" s="59">
        <f t="shared" si="150"/>
        <v>403.29115295154782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13.205870671570571</v>
      </c>
      <c r="DG194" s="21">
        <f>EXP(-LN(2)/25)*DG193+(1-EXP(-LN(2)/25))/(LN(2)/25)*Calculateur!DB194*Calculateur!DD194*VLOOKUP('Données projet'!$B$13,Paramètres!$A$1:$I$89,3,0)*0.475*44/12</f>
        <v>1.5041579631256026</v>
      </c>
      <c r="DH194" s="21">
        <f>EXP(-LN(2)/2)*DH193+(1-EXP(-LN(2)/2))/(LN(2)/2)*DB194*DE194*VLOOKUP('Données projet'!$B$13,Paramètres!$A$1:$I$89,3,0)*0.475*44/12</f>
        <v>9.1270374704434529E-19</v>
      </c>
      <c r="DI194" s="22">
        <f t="shared" si="175"/>
        <v>14.710028634696172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69.779072025152743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69.779072025152743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69.779072025152743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69.779072025152743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69.779072025152743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1.25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4.583333333333333</v>
      </c>
      <c r="H195" s="67">
        <f t="shared" si="110"/>
        <v>238.33333333333334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69.782904631595386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467.10712490977266</v>
      </c>
      <c r="T195" s="59">
        <f t="shared" si="142"/>
        <v>282.99426855025968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44.918204935289765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44.918204935289765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69.782904631595386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-5.1159076974727213E-13</v>
      </c>
      <c r="AJ195" s="13">
        <f>AI195*VLOOKUP('Données projet'!$B$10,Paramètres!$A$1:$I$89,3,0)*VLOOKUP('Données projet'!$B$10,Paramètres!$A$1:$I$89,5,0)</f>
        <v>-4.8682977649150421E-13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399.57236812003225</v>
      </c>
      <c r="AO195" s="59">
        <f t="shared" si="144"/>
        <v>245.95971136213691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31.434795178333975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31.434795178333975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69.782904631595386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2.2737367544323206E-13</v>
      </c>
      <c r="BE195" s="13">
        <f>BD195*VLOOKUP('Données projet'!$B$11,Paramètres!$A$1:$I$89,3,0)*VLOOKUP('Données projet'!$B$11,Paramètres!$A$1:$I$89,5,0)</f>
        <v>1.3596945791505279E-13</v>
      </c>
      <c r="BF195" s="13">
        <f t="shared" si="167"/>
        <v>1.9708830566360721E-12</v>
      </c>
      <c r="BG195" s="20">
        <f t="shared" si="168"/>
        <v>3.669434796176543E-12</v>
      </c>
      <c r="BH195" s="59">
        <f t="shared" si="116"/>
        <v>292.53731698252011</v>
      </c>
      <c r="BI195" s="59">
        <f ca="1">AVERAGE(OFFSET($BH$3,0,0,'Données projet'!$E$11+1,1))-AVERAGE(OFFSET($H$3,0,0,'Données projet'!$E$11+1,1))</f>
        <v>352.88552266225872</v>
      </c>
      <c r="BJ195" s="59">
        <f t="shared" si="146"/>
        <v>403.29115295154782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12.946911602486837</v>
      </c>
      <c r="BQ195" s="21">
        <f>EXP(-LN(2)/25)*BQ194+(1-EXP(-LN(2)/25))/(LN(2)/25)*Calculateur!BL195*Calculateur!BN195*VLOOKUP('Données projet'!$B$11,Paramètres!$A$1:$I$89,3,0)*0.475*44/12</f>
        <v>1.4630266845237034</v>
      </c>
      <c r="BR195" s="21">
        <f>EXP(-LN(2)/2)*BR194+(1-EXP(-LN(2)/2))/(LN(2)/2)*BL195*BO195*VLOOKUP('Données projet'!$B$11,Paramètres!$A$1:$I$89,3,0)*0.475*44/12</f>
        <v>6.453790087494279E-19</v>
      </c>
      <c r="BS195" s="22">
        <f t="shared" si="169"/>
        <v>14.40993828701054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69.782904631595386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-1.0049916454590858E-13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297.1442218517625</v>
      </c>
      <c r="CE195" s="59">
        <f t="shared" si="148"/>
        <v>326.0112787126069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13.750140459765614</v>
      </c>
      <c r="CL195" s="21">
        <f>EXP(-LN(2)/25)*CL194+(1-EXP(-LN(2)/25))/(LN(2)/25)*Calculateur!CG195*Calculateur!CI195*VLOOKUP('Données projet'!$B$12,Paramètres!$A$1:$I$89,3,0)*0.475*44/12</f>
        <v>1.4890908447720346</v>
      </c>
      <c r="CM195" s="21">
        <f>EXP(-LN(2)/2)*CM194+(1-EXP(-LN(2)/2))/(LN(2)/2)*CG195*CJ195*VLOOKUP('Données projet'!$B$12,Paramètres!$A$1:$I$89,3,0)*0.475*44/12</f>
        <v>5.8171696346316861E-19</v>
      </c>
      <c r="CN195" s="22">
        <f t="shared" si="172"/>
        <v>15.239231304537649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69.782904631595386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2.2737367544323206E-13</v>
      </c>
      <c r="CU195" s="17">
        <f>CT195*VLOOKUP('Données projet'!$B$13,Paramètres!$A$1:$I$89,3,0)*VLOOKUP('Données projet'!$B$13,Paramètres!$A$1:$I$89,5,0)</f>
        <v>1.3596945791505279E-13</v>
      </c>
      <c r="CV195" s="13">
        <f t="shared" si="173"/>
        <v>1.9708830566360721E-12</v>
      </c>
      <c r="CW195" s="20">
        <f t="shared" si="174"/>
        <v>3.669434796176543E-12</v>
      </c>
      <c r="CX195" s="59">
        <f t="shared" si="122"/>
        <v>292.53731698252011</v>
      </c>
      <c r="CY195" s="59">
        <f ca="1">AVERAGE(OFFSET($CX$3,0,0,'Données projet'!$E$13+1,1))-AVERAGE(OFFSET($H$3,0,0,'Données projet'!$E$13+1,1))</f>
        <v>352.88552266225872</v>
      </c>
      <c r="CZ195" s="59">
        <f t="shared" si="150"/>
        <v>403.29115295154782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12.946911602486837</v>
      </c>
      <c r="DG195" s="21">
        <f>EXP(-LN(2)/25)*DG194+(1-EXP(-LN(2)/25))/(LN(2)/25)*Calculateur!DB195*Calculateur!DD195*VLOOKUP('Données projet'!$B$13,Paramètres!$A$1:$I$89,3,0)*0.475*44/12</f>
        <v>1.4630266845237034</v>
      </c>
      <c r="DH195" s="21">
        <f>EXP(-LN(2)/2)*DH194+(1-EXP(-LN(2)/2))/(LN(2)/2)*DB195*DE195*VLOOKUP('Données projet'!$B$13,Paramètres!$A$1:$I$89,3,0)*0.475*44/12</f>
        <v>6.453790087494279E-19</v>
      </c>
      <c r="DI195" s="22">
        <f t="shared" si="175"/>
        <v>14.40993828701054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69.782904631595386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69.782904631595386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69.782904631595386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69.782904631595386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69.782904631595386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1.25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4.583333333333333</v>
      </c>
      <c r="H196" s="67">
        <f t="shared" ref="H196:H203" si="192">(B196+E196+F196)*44/12+(C196+D196)*0.475*44/12</f>
        <v>238.33333333333334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69.786670750884667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467.10712490977266</v>
      </c>
      <c r="T196" s="59">
        <f t="shared" si="142"/>
        <v>282.99426855025968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44.037386333908472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44.037386333908472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69.786670750884667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-5.1159076974727213E-13</v>
      </c>
      <c r="AJ196" s="13">
        <f>AI196*VLOOKUP('Données projet'!$B$10,Paramètres!$A$1:$I$89,3,0)*VLOOKUP('Données projet'!$B$10,Paramètres!$A$1:$I$89,5,0)</f>
        <v>-4.8682977649150421E-13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399.57236812003225</v>
      </c>
      <c r="AO196" s="59">
        <f t="shared" si="144"/>
        <v>245.95971136213691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30.818378018218695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30.818378018218695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69.786670750884667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2.2737367544323206E-13</v>
      </c>
      <c r="BE196" s="13">
        <f>BD196*VLOOKUP('Données projet'!$B$11,Paramètres!$A$1:$I$89,3,0)*VLOOKUP('Données projet'!$B$11,Paramètres!$A$1:$I$89,5,0)</f>
        <v>1.3596945791505279E-13</v>
      </c>
      <c r="BF196" s="13">
        <f t="shared" si="167"/>
        <v>1.9708830566360721E-12</v>
      </c>
      <c r="BG196" s="20">
        <f t="shared" si="168"/>
        <v>3.669434796176543E-12</v>
      </c>
      <c r="BH196" s="59">
        <f t="shared" ref="BH196:BH203" si="194">BG196+(AY196+AZ196)*44/12</f>
        <v>292.55112608658078</v>
      </c>
      <c r="BI196" s="59">
        <f ca="1">AVERAGE(OFFSET($BH$3,0,0,'Données projet'!$E$11+1,1))-AVERAGE(OFFSET($H$3,0,0,'Données projet'!$E$11+1,1))</f>
        <v>352.88552266225872</v>
      </c>
      <c r="BJ196" s="59">
        <f t="shared" si="146"/>
        <v>403.29115295154782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12.6930305627984</v>
      </c>
      <c r="BQ196" s="21">
        <f>EXP(-LN(2)/25)*BQ195+(1-EXP(-LN(2)/25))/(LN(2)/25)*Calculateur!BL196*Calculateur!BN196*VLOOKUP('Données projet'!$B$11,Paramètres!$A$1:$I$89,3,0)*0.475*44/12</f>
        <v>1.4230201428981732</v>
      </c>
      <c r="BR196" s="21">
        <f>EXP(-LN(2)/2)*BR195+(1-EXP(-LN(2)/2))/(LN(2)/2)*BL196*BO196*VLOOKUP('Données projet'!$B$11,Paramètres!$A$1:$I$89,3,0)*0.475*44/12</f>
        <v>4.5635187352217264E-19</v>
      </c>
      <c r="BS196" s="22">
        <f t="shared" si="169"/>
        <v>14.116050705696573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69.786670750884667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-1.0049916454590858E-13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297.1442218517625</v>
      </c>
      <c r="CE196" s="59">
        <f t="shared" si="148"/>
        <v>326.0112787126069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13.480508592107167</v>
      </c>
      <c r="CL196" s="21">
        <f>EXP(-LN(2)/25)*CL195+(1-EXP(-LN(2)/25))/(LN(2)/25)*Calculateur!CG196*Calculateur!CI196*VLOOKUP('Données projet'!$B$12,Paramètres!$A$1:$I$89,3,0)*0.475*44/12</f>
        <v>1.448371577313859</v>
      </c>
      <c r="CM196" s="21">
        <f>EXP(-LN(2)/2)*CM195+(1-EXP(-LN(2)/2))/(LN(2)/2)*CG196*CJ196*VLOOKUP('Données projet'!$B$12,Paramètres!$A$1:$I$89,3,0)*0.475*44/12</f>
        <v>4.1133600959605363E-19</v>
      </c>
      <c r="CN196" s="22">
        <f t="shared" si="172"/>
        <v>14.928880169421026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69.786670750884667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2.2737367544323206E-13</v>
      </c>
      <c r="CU196" s="17">
        <f>CT196*VLOOKUP('Données projet'!$B$13,Paramètres!$A$1:$I$89,3,0)*VLOOKUP('Données projet'!$B$13,Paramètres!$A$1:$I$89,5,0)</f>
        <v>1.3596945791505279E-13</v>
      </c>
      <c r="CV196" s="13">
        <f t="shared" si="173"/>
        <v>1.9708830566360721E-12</v>
      </c>
      <c r="CW196" s="20">
        <f t="shared" si="174"/>
        <v>3.669434796176543E-12</v>
      </c>
      <c r="CX196" s="59">
        <f t="shared" ref="CX196:CX203" si="196">CW196+(CO196+CP196)*44/12</f>
        <v>292.55112608658078</v>
      </c>
      <c r="CY196" s="59">
        <f ca="1">AVERAGE(OFFSET($CX$3,0,0,'Données projet'!$E$13+1,1))-AVERAGE(OFFSET($H$3,0,0,'Données projet'!$E$13+1,1))</f>
        <v>352.88552266225872</v>
      </c>
      <c r="CZ196" s="59">
        <f t="shared" si="150"/>
        <v>403.29115295154782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12.6930305627984</v>
      </c>
      <c r="DG196" s="21">
        <f>EXP(-LN(2)/25)*DG195+(1-EXP(-LN(2)/25))/(LN(2)/25)*Calculateur!DB196*Calculateur!DD196*VLOOKUP('Données projet'!$B$13,Paramètres!$A$1:$I$89,3,0)*0.475*44/12</f>
        <v>1.4230201428981732</v>
      </c>
      <c r="DH196" s="21">
        <f>EXP(-LN(2)/2)*DH195+(1-EXP(-LN(2)/2))/(LN(2)/2)*DB196*DE196*VLOOKUP('Données projet'!$B$13,Paramètres!$A$1:$I$89,3,0)*0.475*44/12</f>
        <v>4.5635187352217264E-19</v>
      </c>
      <c r="DI196" s="22">
        <f t="shared" si="175"/>
        <v>14.116050705696573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69.786670750884667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69.786670750884667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69.786670750884667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69.786670750884667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69.786670750884667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1.25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4.583333333333333</v>
      </c>
      <c r="H197" s="67">
        <f t="shared" si="192"/>
        <v>238.33333333333334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69.790371536424075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467.10712490977266</v>
      </c>
      <c r="T197" s="59">
        <f t="shared" ref="T197:T203" si="204">$T$3</f>
        <v>282.99426855025968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43.173840048053968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43.173840048053968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69.790371536424075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-5.1159076974727213E-13</v>
      </c>
      <c r="AJ197" s="13">
        <f>AI197*VLOOKUP('Données projet'!$B$10,Paramètres!$A$1:$I$89,3,0)*VLOOKUP('Données projet'!$B$10,Paramètres!$A$1:$I$89,5,0)</f>
        <v>-4.8682977649150421E-13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399.57236812003225</v>
      </c>
      <c r="AO197" s="59">
        <f t="shared" ref="AO197:AO203" si="205">$AO$3</f>
        <v>245.95971136213691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30.214048422635933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30.214048422635933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69.790371536424075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2.2737367544323206E-13</v>
      </c>
      <c r="BE197" s="13">
        <f>BD197*VLOOKUP('Données projet'!$B$11,Paramètres!$A$1:$I$89,3,0)*VLOOKUP('Données projet'!$B$11,Paramètres!$A$1:$I$89,5,0)</f>
        <v>1.3596945791505279E-13</v>
      </c>
      <c r="BF197" s="13">
        <f t="shared" si="167"/>
        <v>1.9708830566360721E-12</v>
      </c>
      <c r="BG197" s="20">
        <f t="shared" si="168"/>
        <v>3.669434796176543E-12</v>
      </c>
      <c r="BH197" s="59">
        <f t="shared" si="194"/>
        <v>292.56469563355864</v>
      </c>
      <c r="BI197" s="59">
        <f ca="1">AVERAGE(OFFSET($BH$3,0,0,'Données projet'!$E$11+1,1))-AVERAGE(OFFSET($H$3,0,0,'Données projet'!$E$11+1,1))</f>
        <v>352.88552266225872</v>
      </c>
      <c r="BJ197" s="59">
        <f t="shared" ref="BJ197:BJ203" si="206">$BJ$3</f>
        <v>403.29115295154782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12.44412797544611</v>
      </c>
      <c r="BQ197" s="21">
        <f>EXP(-LN(2)/25)*BQ196+(1-EXP(-LN(2)/25))/(LN(2)/25)*Calculateur!BL197*Calculateur!BN197*VLOOKUP('Données projet'!$B$11,Paramètres!$A$1:$I$89,3,0)*0.475*44/12</f>
        <v>1.3841075822572457</v>
      </c>
      <c r="BR197" s="21">
        <f>EXP(-LN(2)/2)*BR196+(1-EXP(-LN(2)/2))/(LN(2)/2)*BL197*BO197*VLOOKUP('Données projet'!$B$11,Paramètres!$A$1:$I$89,3,0)*0.475*44/12</f>
        <v>3.2268950437471395E-19</v>
      </c>
      <c r="BS197" s="22">
        <f t="shared" si="169"/>
        <v>13.828235557703355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69.790371536424075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-1.0049916454590858E-13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297.1442218517625</v>
      </c>
      <c r="CE197" s="59">
        <f t="shared" ref="CE197:CE203" si="207">$CE$3</f>
        <v>326.0112787126069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13.216164040914302</v>
      </c>
      <c r="CL197" s="21">
        <f>EXP(-LN(2)/25)*CL196+(1-EXP(-LN(2)/25))/(LN(2)/25)*Calculateur!CG197*Calculateur!CI197*VLOOKUP('Données projet'!$B$12,Paramètres!$A$1:$I$89,3,0)*0.475*44/12</f>
        <v>1.4087657803656606</v>
      </c>
      <c r="CM197" s="21">
        <f>EXP(-LN(2)/2)*CM196+(1-EXP(-LN(2)/2))/(LN(2)/2)*CG197*CJ197*VLOOKUP('Données projet'!$B$12,Paramètres!$A$1:$I$89,3,0)*0.475*44/12</f>
        <v>2.9085848173158431E-19</v>
      </c>
      <c r="CN197" s="22">
        <f t="shared" si="172"/>
        <v>14.624929821279963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69.790371536424075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2.2737367544323206E-13</v>
      </c>
      <c r="CU197" s="17">
        <f>CT197*VLOOKUP('Données projet'!$B$13,Paramètres!$A$1:$I$89,3,0)*VLOOKUP('Données projet'!$B$13,Paramètres!$A$1:$I$89,5,0)</f>
        <v>1.3596945791505279E-13</v>
      </c>
      <c r="CV197" s="13">
        <f t="shared" si="173"/>
        <v>1.9708830566360721E-12</v>
      </c>
      <c r="CW197" s="20">
        <f t="shared" si="174"/>
        <v>3.669434796176543E-12</v>
      </c>
      <c r="CX197" s="59">
        <f t="shared" si="196"/>
        <v>292.56469563355864</v>
      </c>
      <c r="CY197" s="59">
        <f ca="1">AVERAGE(OFFSET($CX$3,0,0,'Données projet'!$E$13+1,1))-AVERAGE(OFFSET($H$3,0,0,'Données projet'!$E$13+1,1))</f>
        <v>352.88552266225872</v>
      </c>
      <c r="CZ197" s="59">
        <f t="shared" ref="CZ197:CZ203" si="208">$CZ$3</f>
        <v>403.29115295154782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12.44412797544611</v>
      </c>
      <c r="DG197" s="21">
        <f>EXP(-LN(2)/25)*DG196+(1-EXP(-LN(2)/25))/(LN(2)/25)*Calculateur!DB197*Calculateur!DD197*VLOOKUP('Données projet'!$B$13,Paramètres!$A$1:$I$89,3,0)*0.475*44/12</f>
        <v>1.3841075822572457</v>
      </c>
      <c r="DH197" s="21">
        <f>EXP(-LN(2)/2)*DH196+(1-EXP(-LN(2)/2))/(LN(2)/2)*DB197*DE197*VLOOKUP('Données projet'!$B$13,Paramètres!$A$1:$I$89,3,0)*0.475*44/12</f>
        <v>3.2268950437471395E-19</v>
      </c>
      <c r="DI197" s="22">
        <f t="shared" si="175"/>
        <v>13.828235557703355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69.790371536424075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69.790371536424075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69.790371536424075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69.790371536424075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69.790371536424075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1.25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4.583333333333333</v>
      </c>
      <c r="H198" s="67">
        <f t="shared" si="192"/>
        <v>238.33333333333334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69.794008121608073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467.10712490977266</v>
      </c>
      <c r="T198" s="59">
        <f t="shared" si="204"/>
        <v>282.99426855025968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42.32722737815385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42.32722737815385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69.794008121608073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-5.1159076974727213E-13</v>
      </c>
      <c r="AJ198" s="13">
        <f>AI198*VLOOKUP('Données projet'!$B$10,Paramètres!$A$1:$I$89,3,0)*VLOOKUP('Données projet'!$B$10,Paramètres!$A$1:$I$89,5,0)</f>
        <v>-4.8682977649150421E-13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399.57236812003225</v>
      </c>
      <c r="AO198" s="59">
        <f t="shared" si="205"/>
        <v>245.95971136213691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29.621569361817894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29.621569361817894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69.794008121608073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2.2737367544323206E-13</v>
      </c>
      <c r="BE198" s="13">
        <f>BD198*VLOOKUP('Données projet'!$B$11,Paramètres!$A$1:$I$89,3,0)*VLOOKUP('Données projet'!$B$11,Paramètres!$A$1:$I$89,5,0)</f>
        <v>1.3596945791505279E-13</v>
      </c>
      <c r="BF198" s="13">
        <f t="shared" si="167"/>
        <v>1.9708830566360721E-12</v>
      </c>
      <c r="BG198" s="20">
        <f t="shared" si="168"/>
        <v>3.669434796176543E-12</v>
      </c>
      <c r="BH198" s="59">
        <f t="shared" si="194"/>
        <v>292.5780297792333</v>
      </c>
      <c r="BI198" s="59">
        <f ca="1">AVERAGE(OFFSET($BH$3,0,0,'Données projet'!$E$11+1,1))-AVERAGE(OFFSET($H$3,0,0,'Données projet'!$E$11+1,1))</f>
        <v>352.88552266225872</v>
      </c>
      <c r="BJ198" s="59">
        <f t="shared" si="206"/>
        <v>403.29115295154782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12.200106216016209</v>
      </c>
      <c r="BQ198" s="21">
        <f>EXP(-LN(2)/25)*BQ197+(1-EXP(-LN(2)/25))/(LN(2)/25)*Calculateur!BL198*Calculateur!BN198*VLOOKUP('Données projet'!$B$11,Paramètres!$A$1:$I$89,3,0)*0.475*44/12</f>
        <v>1.3462590876333671</v>
      </c>
      <c r="BR198" s="21">
        <f>EXP(-LN(2)/2)*BR197+(1-EXP(-LN(2)/2))/(LN(2)/2)*BL198*BO198*VLOOKUP('Données projet'!$B$11,Paramètres!$A$1:$I$89,3,0)*0.475*44/12</f>
        <v>2.2817593676108632E-19</v>
      </c>
      <c r="BS198" s="22">
        <f t="shared" si="169"/>
        <v>13.546365303649576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69.794008121608073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-1.0049916454590858E-13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297.1442218517625</v>
      </c>
      <c r="CE198" s="59">
        <f t="shared" si="207"/>
        <v>326.0112787126069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12.957003125136074</v>
      </c>
      <c r="CL198" s="21">
        <f>EXP(-LN(2)/25)*CL197+(1-EXP(-LN(2)/25))/(LN(2)/25)*Calculateur!CG198*Calculateur!CI198*VLOOKUP('Données projet'!$B$12,Paramètres!$A$1:$I$89,3,0)*0.475*44/12</f>
        <v>1.370243006017789</v>
      </c>
      <c r="CM198" s="21">
        <f>EXP(-LN(2)/2)*CM197+(1-EXP(-LN(2)/2))/(LN(2)/2)*CG198*CJ198*VLOOKUP('Données projet'!$B$12,Paramètres!$A$1:$I$89,3,0)*0.475*44/12</f>
        <v>2.0566800479802682E-19</v>
      </c>
      <c r="CN198" s="22">
        <f t="shared" si="172"/>
        <v>14.327246131153863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69.794008121608073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2.2737367544323206E-13</v>
      </c>
      <c r="CU198" s="17">
        <f>CT198*VLOOKUP('Données projet'!$B$13,Paramètres!$A$1:$I$89,3,0)*VLOOKUP('Données projet'!$B$13,Paramètres!$A$1:$I$89,5,0)</f>
        <v>1.3596945791505279E-13</v>
      </c>
      <c r="CV198" s="13">
        <f t="shared" si="173"/>
        <v>1.9708830566360721E-12</v>
      </c>
      <c r="CW198" s="20">
        <f t="shared" si="174"/>
        <v>3.669434796176543E-12</v>
      </c>
      <c r="CX198" s="59">
        <f t="shared" si="196"/>
        <v>292.5780297792333</v>
      </c>
      <c r="CY198" s="59">
        <f ca="1">AVERAGE(OFFSET($CX$3,0,0,'Données projet'!$E$13+1,1))-AVERAGE(OFFSET($H$3,0,0,'Données projet'!$E$13+1,1))</f>
        <v>352.88552266225872</v>
      </c>
      <c r="CZ198" s="59">
        <f t="shared" si="208"/>
        <v>403.29115295154782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12.200106216016209</v>
      </c>
      <c r="DG198" s="21">
        <f>EXP(-LN(2)/25)*DG197+(1-EXP(-LN(2)/25))/(LN(2)/25)*Calculateur!DB198*Calculateur!DD198*VLOOKUP('Données projet'!$B$13,Paramètres!$A$1:$I$89,3,0)*0.475*44/12</f>
        <v>1.3462590876333671</v>
      </c>
      <c r="DH198" s="21">
        <f>EXP(-LN(2)/2)*DH197+(1-EXP(-LN(2)/2))/(LN(2)/2)*DB198*DE198*VLOOKUP('Données projet'!$B$13,Paramètres!$A$1:$I$89,3,0)*0.475*44/12</f>
        <v>2.2817593676108632E-19</v>
      </c>
      <c r="DI198" s="22">
        <f t="shared" si="175"/>
        <v>13.546365303649576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69.794008121608073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69.794008121608073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69.794008121608073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69.794008121608073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69.794008121608073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1.25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4.583333333333333</v>
      </c>
      <c r="H199" s="67">
        <f t="shared" si="192"/>
        <v>238.33333333333334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69.797581620169325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467.10712490977266</v>
      </c>
      <c r="T199" s="59">
        <f t="shared" si="204"/>
        <v>282.99426855025968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41.497216266327733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41.497216266327733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69.797581620169325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-5.1159076974727213E-13</v>
      </c>
      <c r="AJ199" s="13">
        <f>AI199*VLOOKUP('Données projet'!$B$10,Paramètres!$A$1:$I$89,3,0)*VLOOKUP('Données projet'!$B$10,Paramètres!$A$1:$I$89,5,0)</f>
        <v>-4.8682977649150421E-13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399.57236812003225</v>
      </c>
      <c r="AO199" s="59">
        <f t="shared" si="205"/>
        <v>245.95971136213691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29.040708454005951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29.040708454005951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69.797581620169325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2.2737367544323206E-13</v>
      </c>
      <c r="BE199" s="13">
        <f>BD199*VLOOKUP('Données projet'!$B$11,Paramètres!$A$1:$I$89,3,0)*VLOOKUP('Données projet'!$B$11,Paramètres!$A$1:$I$89,5,0)</f>
        <v>1.3596945791505279E-13</v>
      </c>
      <c r="BF199" s="13">
        <f t="shared" si="167"/>
        <v>1.9708830566360721E-12</v>
      </c>
      <c r="BG199" s="20">
        <f t="shared" si="168"/>
        <v>3.669434796176543E-12</v>
      </c>
      <c r="BH199" s="59">
        <f t="shared" si="194"/>
        <v>292.59113260729123</v>
      </c>
      <c r="BI199" s="59">
        <f ca="1">AVERAGE(OFFSET($BH$3,0,0,'Données projet'!$E$11+1,1))-AVERAGE(OFFSET($H$3,0,0,'Données projet'!$E$11+1,1))</f>
        <v>352.88552266225872</v>
      </c>
      <c r="BJ199" s="59">
        <f t="shared" si="206"/>
        <v>403.29115295154782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11.960869574450152</v>
      </c>
      <c r="BQ199" s="21">
        <f>EXP(-LN(2)/25)*BQ198+(1-EXP(-LN(2)/25))/(LN(2)/25)*Calculateur!BL199*Calculateur!BN199*VLOOKUP('Données projet'!$B$11,Paramètres!$A$1:$I$89,3,0)*0.475*44/12</f>
        <v>1.3094455620853442</v>
      </c>
      <c r="BR199" s="21">
        <f>EXP(-LN(2)/2)*BR198+(1-EXP(-LN(2)/2))/(LN(2)/2)*BL199*BO199*VLOOKUP('Données projet'!$B$11,Paramètres!$A$1:$I$89,3,0)*0.475*44/12</f>
        <v>1.6134475218735697E-19</v>
      </c>
      <c r="BS199" s="22">
        <f t="shared" si="169"/>
        <v>13.270315136535496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69.797581620169325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-1.0049916454590858E-13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297.1442218517625</v>
      </c>
      <c r="CE199" s="59">
        <f t="shared" si="207"/>
        <v>326.0112787126069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12.702924196843707</v>
      </c>
      <c r="CL199" s="21">
        <f>EXP(-LN(2)/25)*CL198+(1-EXP(-LN(2)/25))/(LN(2)/25)*Calculateur!CG199*Calculateur!CI199*VLOOKUP('Données projet'!$B$12,Paramètres!$A$1:$I$89,3,0)*0.475*44/12</f>
        <v>1.3327736389602847</v>
      </c>
      <c r="CM199" s="21">
        <f>EXP(-LN(2)/2)*CM198+(1-EXP(-LN(2)/2))/(LN(2)/2)*CG199*CJ199*VLOOKUP('Données projet'!$B$12,Paramètres!$A$1:$I$89,3,0)*0.475*44/12</f>
        <v>1.4542924086579215E-19</v>
      </c>
      <c r="CN199" s="22">
        <f t="shared" si="172"/>
        <v>14.035697835803992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69.797581620169325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2.2737367544323206E-13</v>
      </c>
      <c r="CU199" s="17">
        <f>CT199*VLOOKUP('Données projet'!$B$13,Paramètres!$A$1:$I$89,3,0)*VLOOKUP('Données projet'!$B$13,Paramètres!$A$1:$I$89,5,0)</f>
        <v>1.3596945791505279E-13</v>
      </c>
      <c r="CV199" s="13">
        <f t="shared" si="173"/>
        <v>1.9708830566360721E-12</v>
      </c>
      <c r="CW199" s="20">
        <f t="shared" si="174"/>
        <v>3.669434796176543E-12</v>
      </c>
      <c r="CX199" s="59">
        <f t="shared" si="196"/>
        <v>292.59113260729123</v>
      </c>
      <c r="CY199" s="59">
        <f ca="1">AVERAGE(OFFSET($CX$3,0,0,'Données projet'!$E$13+1,1))-AVERAGE(OFFSET($H$3,0,0,'Données projet'!$E$13+1,1))</f>
        <v>352.88552266225872</v>
      </c>
      <c r="CZ199" s="59">
        <f t="shared" si="208"/>
        <v>403.29115295154782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11.960869574450152</v>
      </c>
      <c r="DG199" s="21">
        <f>EXP(-LN(2)/25)*DG198+(1-EXP(-LN(2)/25))/(LN(2)/25)*Calculateur!DB199*Calculateur!DD199*VLOOKUP('Données projet'!$B$13,Paramètres!$A$1:$I$89,3,0)*0.475*44/12</f>
        <v>1.3094455620853442</v>
      </c>
      <c r="DH199" s="21">
        <f>EXP(-LN(2)/2)*DH198+(1-EXP(-LN(2)/2))/(LN(2)/2)*DB199*DE199*VLOOKUP('Données projet'!$B$13,Paramètres!$A$1:$I$89,3,0)*0.475*44/12</f>
        <v>1.6134475218735697E-19</v>
      </c>
      <c r="DI199" s="22">
        <f t="shared" si="175"/>
        <v>13.270315136535496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69.797581620169325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69.797581620169325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69.797581620169325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69.797581620169325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69.797581620169325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1.25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4.583333333333333</v>
      </c>
      <c r="H200" s="67">
        <f t="shared" si="192"/>
        <v>238.33333333333334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69.801093126519689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467.10712490977266</v>
      </c>
      <c r="T200" s="59">
        <f t="shared" si="204"/>
        <v>282.99426855025968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40.683481166147736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40.683481166147736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69.801093126519689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-5.1159076974727213E-13</v>
      </c>
      <c r="AJ200" s="13">
        <f>AI200*VLOOKUP('Données projet'!$B$10,Paramètres!$A$1:$I$89,3,0)*VLOOKUP('Données projet'!$B$10,Paramètres!$A$1:$I$89,5,0)</f>
        <v>-4.8682977649150421E-13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399.57236812003225</v>
      </c>
      <c r="AO200" s="59">
        <f t="shared" si="205"/>
        <v>245.95971136213691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28.471237874306031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28.471237874306031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69.801093126519689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2.2737367544323206E-13</v>
      </c>
      <c r="BE200" s="13">
        <f>BD200*VLOOKUP('Données projet'!$B$11,Paramètres!$A$1:$I$89,3,0)*VLOOKUP('Données projet'!$B$11,Paramètres!$A$1:$I$89,5,0)</f>
        <v>1.3596945791505279E-13</v>
      </c>
      <c r="BF200" s="13">
        <f t="shared" si="167"/>
        <v>1.9708830566360721E-12</v>
      </c>
      <c r="BG200" s="20">
        <f t="shared" si="168"/>
        <v>3.669434796176543E-12</v>
      </c>
      <c r="BH200" s="59">
        <f t="shared" si="194"/>
        <v>292.60400813057589</v>
      </c>
      <c r="BI200" s="59">
        <f ca="1">AVERAGE(OFFSET($BH$3,0,0,'Données projet'!$E$11+1,1))-AVERAGE(OFFSET($H$3,0,0,'Données projet'!$E$11+1,1))</f>
        <v>352.88552266225872</v>
      </c>
      <c r="BJ200" s="59">
        <f t="shared" si="206"/>
        <v>403.29115295154782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11.726324217505264</v>
      </c>
      <c r="BQ200" s="21">
        <f>EXP(-LN(2)/25)*BQ199+(1-EXP(-LN(2)/25))/(LN(2)/25)*Calculateur!BL200*Calculateur!BN200*VLOOKUP('Données projet'!$B$11,Paramètres!$A$1:$I$89,3,0)*0.475*44/12</f>
        <v>1.2736387043293711</v>
      </c>
      <c r="BR200" s="21">
        <f>EXP(-LN(2)/2)*BR199+(1-EXP(-LN(2)/2))/(LN(2)/2)*BL200*BO200*VLOOKUP('Données projet'!$B$11,Paramètres!$A$1:$I$89,3,0)*0.475*44/12</f>
        <v>1.1408796838054316E-19</v>
      </c>
      <c r="BS200" s="22">
        <f t="shared" si="169"/>
        <v>12.999962921834635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69.801093126519689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-1.0049916454590858E-13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297.1442218517625</v>
      </c>
      <c r="CE200" s="59">
        <f t="shared" si="207"/>
        <v>326.0112787126069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12.453827601362308</v>
      </c>
      <c r="CL200" s="21">
        <f>EXP(-LN(2)/25)*CL199+(1-EXP(-LN(2)/25))/(LN(2)/25)*Calculateur!CG200*Calculateur!CI200*VLOOKUP('Données projet'!$B$12,Paramètres!$A$1:$I$89,3,0)*0.475*44/12</f>
        <v>1.2963288737153962</v>
      </c>
      <c r="CM200" s="21">
        <f>EXP(-LN(2)/2)*CM199+(1-EXP(-LN(2)/2))/(LN(2)/2)*CG200*CJ200*VLOOKUP('Données projet'!$B$12,Paramètres!$A$1:$I$89,3,0)*0.475*44/12</f>
        <v>1.0283400239901341E-19</v>
      </c>
      <c r="CN200" s="22">
        <f t="shared" si="172"/>
        <v>13.750156475077704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69.801093126519689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2.2737367544323206E-13</v>
      </c>
      <c r="CU200" s="17">
        <f>CT200*VLOOKUP('Données projet'!$B$13,Paramètres!$A$1:$I$89,3,0)*VLOOKUP('Données projet'!$B$13,Paramètres!$A$1:$I$89,5,0)</f>
        <v>1.3596945791505279E-13</v>
      </c>
      <c r="CV200" s="13">
        <f t="shared" si="173"/>
        <v>1.9708830566360721E-12</v>
      </c>
      <c r="CW200" s="20">
        <f t="shared" si="174"/>
        <v>3.669434796176543E-12</v>
      </c>
      <c r="CX200" s="59">
        <f t="shared" si="196"/>
        <v>292.60400813057589</v>
      </c>
      <c r="CY200" s="59">
        <f ca="1">AVERAGE(OFFSET($CX$3,0,0,'Données projet'!$E$13+1,1))-AVERAGE(OFFSET($H$3,0,0,'Données projet'!$E$13+1,1))</f>
        <v>352.88552266225872</v>
      </c>
      <c r="CZ200" s="59">
        <f t="shared" si="208"/>
        <v>403.29115295154782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11.726324217505264</v>
      </c>
      <c r="DG200" s="21">
        <f>EXP(-LN(2)/25)*DG199+(1-EXP(-LN(2)/25))/(LN(2)/25)*Calculateur!DB200*Calculateur!DD200*VLOOKUP('Données projet'!$B$13,Paramètres!$A$1:$I$89,3,0)*0.475*44/12</f>
        <v>1.2736387043293711</v>
      </c>
      <c r="DH200" s="21">
        <f>EXP(-LN(2)/2)*DH199+(1-EXP(-LN(2)/2))/(LN(2)/2)*DB200*DE200*VLOOKUP('Données projet'!$B$13,Paramètres!$A$1:$I$89,3,0)*0.475*44/12</f>
        <v>1.1408796838054316E-19</v>
      </c>
      <c r="DI200" s="22">
        <f t="shared" si="175"/>
        <v>12.999962921834635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69.801093126519689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69.801093126519689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69.801093126519689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69.801093126519689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69.801093126519689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1.25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4.583333333333333</v>
      </c>
      <c r="H201" s="67">
        <f t="shared" si="192"/>
        <v>238.33333333333334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69.804543716085419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467.10712490977266</v>
      </c>
      <c r="T201" s="59">
        <f t="shared" si="204"/>
        <v>282.99426855025968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39.885702914952866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39.885702914952866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69.804543716085419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-5.1159076974727213E-13</v>
      </c>
      <c r="AJ201" s="13">
        <f>AI201*VLOOKUP('Données projet'!$B$10,Paramètres!$A$1:$I$89,3,0)*VLOOKUP('Données projet'!$B$10,Paramètres!$A$1:$I$89,5,0)</f>
        <v>-4.8682977649150421E-13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399.57236812003225</v>
      </c>
      <c r="AO201" s="59">
        <f t="shared" si="205"/>
        <v>245.95971136213691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27.91293426533127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27.91293426533127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69.804543716085419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2.2737367544323206E-13</v>
      </c>
      <c r="BE201" s="13">
        <f>BD201*VLOOKUP('Données projet'!$B$11,Paramètres!$A$1:$I$89,3,0)*VLOOKUP('Données projet'!$B$11,Paramètres!$A$1:$I$89,5,0)</f>
        <v>1.3596945791505279E-13</v>
      </c>
      <c r="BF201" s="13">
        <f t="shared" si="167"/>
        <v>1.9708830566360721E-12</v>
      </c>
      <c r="BG201" s="20">
        <f t="shared" si="168"/>
        <v>3.669434796176543E-12</v>
      </c>
      <c r="BH201" s="59">
        <f t="shared" si="194"/>
        <v>292.61666029231691</v>
      </c>
      <c r="BI201" s="59">
        <f ca="1">AVERAGE(OFFSET($BH$3,0,0,'Données projet'!$E$11+1,1))-AVERAGE(OFFSET($H$3,0,0,'Données projet'!$E$11+1,1))</f>
        <v>352.88552266225872</v>
      </c>
      <c r="BJ201" s="59">
        <f t="shared" si="206"/>
        <v>403.29115295154782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11.496378151951522</v>
      </c>
      <c r="BQ201" s="21">
        <f>EXP(-LN(2)/25)*BQ200+(1-EXP(-LN(2)/25))/(LN(2)/25)*Calculateur!BL201*Calculateur!BN201*VLOOKUP('Données projet'!$B$11,Paramètres!$A$1:$I$89,3,0)*0.475*44/12</f>
        <v>1.2388109869817359</v>
      </c>
      <c r="BR201" s="21">
        <f>EXP(-LN(2)/2)*BR200+(1-EXP(-LN(2)/2))/(LN(2)/2)*BL201*BO201*VLOOKUP('Données projet'!$B$11,Paramètres!$A$1:$I$89,3,0)*0.475*44/12</f>
        <v>8.0672376093678487E-20</v>
      </c>
      <c r="BS201" s="22">
        <f t="shared" si="169"/>
        <v>12.735189138933258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69.804543716085419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-1.0049916454590858E-13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297.1442218517625</v>
      </c>
      <c r="CE201" s="59">
        <f t="shared" si="207"/>
        <v>326.0112787126069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12.209615638184379</v>
      </c>
      <c r="CL201" s="21">
        <f>EXP(-LN(2)/25)*CL200+(1-EXP(-LN(2)/25))/(LN(2)/25)*Calculateur!CG201*Calculateur!CI201*VLOOKUP('Données projet'!$B$12,Paramètres!$A$1:$I$89,3,0)*0.475*44/12</f>
        <v>1.2608806924926761</v>
      </c>
      <c r="CM201" s="21">
        <f>EXP(-LN(2)/2)*CM200+(1-EXP(-LN(2)/2))/(LN(2)/2)*CG201*CJ201*VLOOKUP('Données projet'!$B$12,Paramètres!$A$1:$I$89,3,0)*0.475*44/12</f>
        <v>7.2714620432896077E-20</v>
      </c>
      <c r="CN201" s="22">
        <f t="shared" si="172"/>
        <v>13.470496330677056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69.804543716085419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2.2737367544323206E-13</v>
      </c>
      <c r="CU201" s="17">
        <f>CT201*VLOOKUP('Données projet'!$B$13,Paramètres!$A$1:$I$89,3,0)*VLOOKUP('Données projet'!$B$13,Paramètres!$A$1:$I$89,5,0)</f>
        <v>1.3596945791505279E-13</v>
      </c>
      <c r="CV201" s="13">
        <f t="shared" si="173"/>
        <v>1.9708830566360721E-12</v>
      </c>
      <c r="CW201" s="20">
        <f t="shared" si="174"/>
        <v>3.669434796176543E-12</v>
      </c>
      <c r="CX201" s="59">
        <f t="shared" si="196"/>
        <v>292.61666029231691</v>
      </c>
      <c r="CY201" s="59">
        <f ca="1">AVERAGE(OFFSET($CX$3,0,0,'Données projet'!$E$13+1,1))-AVERAGE(OFFSET($H$3,0,0,'Données projet'!$E$13+1,1))</f>
        <v>352.88552266225872</v>
      </c>
      <c r="CZ201" s="59">
        <f t="shared" si="208"/>
        <v>403.29115295154782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11.496378151951522</v>
      </c>
      <c r="DG201" s="21">
        <f>EXP(-LN(2)/25)*DG200+(1-EXP(-LN(2)/25))/(LN(2)/25)*Calculateur!DB201*Calculateur!DD201*VLOOKUP('Données projet'!$B$13,Paramètres!$A$1:$I$89,3,0)*0.475*44/12</f>
        <v>1.2388109869817359</v>
      </c>
      <c r="DH201" s="21">
        <f>EXP(-LN(2)/2)*DH200+(1-EXP(-LN(2)/2))/(LN(2)/2)*DB201*DE201*VLOOKUP('Données projet'!$B$13,Paramètres!$A$1:$I$89,3,0)*0.475*44/12</f>
        <v>8.0672376093678487E-20</v>
      </c>
      <c r="DI201" s="22">
        <f t="shared" si="175"/>
        <v>12.735189138933258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69.804543716085419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69.804543716085419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69.804543716085419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69.804543716085419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69.804543716085419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1.25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4.583333333333333</v>
      </c>
      <c r="H202" s="67">
        <f t="shared" si="192"/>
        <v>238.33333333333334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69.807934445636562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467.10712490977266</v>
      </c>
      <c r="T202" s="59">
        <f t="shared" si="204"/>
        <v>282.99426855025968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39.103568608667238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39.103568608667238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69.807934445636562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-5.1159076974727213E-13</v>
      </c>
      <c r="AJ202" s="13">
        <f>AI202*VLOOKUP('Données projet'!$B$10,Paramètres!$A$1:$I$89,3,0)*VLOOKUP('Données projet'!$B$10,Paramètres!$A$1:$I$89,5,0)</f>
        <v>-4.8682977649150421E-13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399.57236812003225</v>
      </c>
      <c r="AO202" s="59">
        <f t="shared" si="205"/>
        <v>245.95971136213691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27.365578649596927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27.365578649596927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69.807934445636562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2.2737367544323206E-13</v>
      </c>
      <c r="BE202" s="13">
        <f>BD202*VLOOKUP('Données projet'!$B$11,Paramètres!$A$1:$I$89,3,0)*VLOOKUP('Données projet'!$B$11,Paramètres!$A$1:$I$89,5,0)</f>
        <v>1.3596945791505279E-13</v>
      </c>
      <c r="BF202" s="13">
        <f t="shared" si="167"/>
        <v>1.9708830566360721E-12</v>
      </c>
      <c r="BG202" s="20">
        <f t="shared" si="168"/>
        <v>3.669434796176543E-12</v>
      </c>
      <c r="BH202" s="59">
        <f t="shared" si="194"/>
        <v>292.62909296733778</v>
      </c>
      <c r="BI202" s="59">
        <f ca="1">AVERAGE(OFFSET($BH$3,0,0,'Données projet'!$E$11+1,1))-AVERAGE(OFFSET($H$3,0,0,'Données projet'!$E$11+1,1))</f>
        <v>352.88552266225872</v>
      </c>
      <c r="BJ202" s="59">
        <f t="shared" si="206"/>
        <v>403.29115295154782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11.270941188490038</v>
      </c>
      <c r="BQ202" s="21">
        <f>EXP(-LN(2)/25)*BQ201+(1-EXP(-LN(2)/25))/(LN(2)/25)*Calculateur!BL202*Calculateur!BN202*VLOOKUP('Données projet'!$B$11,Paramètres!$A$1:$I$89,3,0)*0.475*44/12</f>
        <v>1.2049356353964817</v>
      </c>
      <c r="BR202" s="21">
        <f>EXP(-LN(2)/2)*BR201+(1-EXP(-LN(2)/2))/(LN(2)/2)*BL202*BO202*VLOOKUP('Données projet'!$B$11,Paramètres!$A$1:$I$89,3,0)*0.475*44/12</f>
        <v>5.704398419027158E-20</v>
      </c>
      <c r="BS202" s="22">
        <f t="shared" si="169"/>
        <v>12.475876823886519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69.807934445636562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-1.0049916454590858E-13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297.1442218517625</v>
      </c>
      <c r="CE202" s="59">
        <f t="shared" si="207"/>
        <v>326.0112787126069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11.97019252264978</v>
      </c>
      <c r="CL202" s="21">
        <f>EXP(-LN(2)/25)*CL201+(1-EXP(-LN(2)/25))/(LN(2)/25)*Calculateur!CG202*Calculateur!CI202*VLOOKUP('Données projet'!$B$12,Paramètres!$A$1:$I$89,3,0)*0.475*44/12</f>
        <v>1.22640184364963</v>
      </c>
      <c r="CM202" s="21">
        <f>EXP(-LN(2)/2)*CM201+(1-EXP(-LN(2)/2))/(LN(2)/2)*CG202*CJ202*VLOOKUP('Données projet'!$B$12,Paramètres!$A$1:$I$89,3,0)*0.475*44/12</f>
        <v>5.1417001199506704E-20</v>
      </c>
      <c r="CN202" s="22">
        <f t="shared" si="172"/>
        <v>13.19659436629941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69.807934445636562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2.2737367544323206E-13</v>
      </c>
      <c r="CU202" s="17">
        <f>CT202*VLOOKUP('Données projet'!$B$13,Paramètres!$A$1:$I$89,3,0)*VLOOKUP('Données projet'!$B$13,Paramètres!$A$1:$I$89,5,0)</f>
        <v>1.3596945791505279E-13</v>
      </c>
      <c r="CV202" s="13">
        <f t="shared" si="173"/>
        <v>1.9708830566360721E-12</v>
      </c>
      <c r="CW202" s="20">
        <f t="shared" si="174"/>
        <v>3.669434796176543E-12</v>
      </c>
      <c r="CX202" s="59">
        <f t="shared" si="196"/>
        <v>292.62909296733778</v>
      </c>
      <c r="CY202" s="59">
        <f ca="1">AVERAGE(OFFSET($CX$3,0,0,'Données projet'!$E$13+1,1))-AVERAGE(OFFSET($H$3,0,0,'Données projet'!$E$13+1,1))</f>
        <v>352.88552266225872</v>
      </c>
      <c r="CZ202" s="59">
        <f t="shared" si="208"/>
        <v>403.29115295154782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11.270941188490038</v>
      </c>
      <c r="DG202" s="21">
        <f>EXP(-LN(2)/25)*DG201+(1-EXP(-LN(2)/25))/(LN(2)/25)*Calculateur!DB202*Calculateur!DD202*VLOOKUP('Données projet'!$B$13,Paramètres!$A$1:$I$89,3,0)*0.475*44/12</f>
        <v>1.2049356353964817</v>
      </c>
      <c r="DH202" s="21">
        <f>EXP(-LN(2)/2)*DH201+(1-EXP(-LN(2)/2))/(LN(2)/2)*DB202*DE202*VLOOKUP('Données projet'!$B$13,Paramètres!$A$1:$I$89,3,0)*0.475*44/12</f>
        <v>5.704398419027158E-20</v>
      </c>
      <c r="DI202" s="22">
        <f t="shared" si="175"/>
        <v>12.475876823886519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69.807934445636562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69.807934445636562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69.807934445636562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69.807934445636562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69.807934445636562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1.25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63.75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4.583333333333333</v>
      </c>
      <c r="H203" s="67">
        <f t="shared" si="192"/>
        <v>238.33333333333334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69.811266353610506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467.10712490977266</v>
      </c>
      <c r="T203" s="59">
        <f t="shared" si="204"/>
        <v>282.99426855025968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38.33677147907305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38.33677147907305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69.811266353610506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-5.1159076974727213E-13</v>
      </c>
      <c r="AJ203" s="13">
        <f>AI203*VLOOKUP('Données projet'!$B$10,Paramètres!$A$1:$I$89,3,0)*VLOOKUP('Données projet'!$B$10,Paramètres!$A$1:$I$89,5,0)</f>
        <v>-4.8682977649150421E-13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399.57236812003225</v>
      </c>
      <c r="AO203" s="59">
        <f t="shared" si="205"/>
        <v>245.95971136213691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26.828956343633173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26.828956343633173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69.811266353610506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2.2737367544323206E-13</v>
      </c>
      <c r="BE203" s="13">
        <f>BD203*VLOOKUP('Données projet'!$B$11,Paramètres!$A$1:$I$89,3,0)*VLOOKUP('Données projet'!$B$11,Paramètres!$A$1:$I$89,5,0)</f>
        <v>1.3596945791505279E-13</v>
      </c>
      <c r="BF203" s="13">
        <f t="shared" si="167"/>
        <v>1.9708830566360721E-12</v>
      </c>
      <c r="BG203" s="20">
        <f t="shared" si="168"/>
        <v>3.669434796176543E-12</v>
      </c>
      <c r="BH203" s="59">
        <f t="shared" si="194"/>
        <v>292.64130996324218</v>
      </c>
      <c r="BI203" s="59">
        <f ca="1">AVERAGE(OFFSET($BH$3,0,0,'Données projet'!$E$11+1,1))-AVERAGE(OFFSET($H$3,0,0,'Données projet'!$E$11+1,1))</f>
        <v>352.88552266225872</v>
      </c>
      <c r="BJ203" s="59">
        <f t="shared" si="206"/>
        <v>403.29115295154782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11.049924906379063</v>
      </c>
      <c r="BQ203" s="21">
        <f>EXP(-LN(2)/25)*BQ202+(1-EXP(-LN(2)/25))/(LN(2)/25)*Calculateur!BL203*Calculateur!BN203*VLOOKUP('Données projet'!$B$11,Paramètres!$A$1:$I$89,3,0)*0.475*44/12</f>
        <v>1.1719866070817537</v>
      </c>
      <c r="BR203" s="21">
        <f>EXP(-LN(2)/2)*BR202+(1-EXP(-LN(2)/2))/(LN(2)/2)*BL203*BO203*VLOOKUP('Données projet'!$B$11,Paramètres!$A$1:$I$89,3,0)*0.475*44/12</f>
        <v>4.0336188046839244E-20</v>
      </c>
      <c r="BS203" s="22">
        <f t="shared" si="169"/>
        <v>12.221911513460817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69.811266353610506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-1.0049916454590858E-13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297.1442218517625</v>
      </c>
      <c r="CE203" s="59">
        <f t="shared" si="207"/>
        <v>326.0112787126069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11.735464348377134</v>
      </c>
      <c r="CL203" s="21">
        <f>EXP(-LN(2)/25)*CL202+(1-EXP(-LN(2)/25))/(LN(2)/25)*Calculateur!CG203*Calculateur!CI203*VLOOKUP('Données projet'!$B$12,Paramètres!$A$1:$I$89,3,0)*0.475*44/12</f>
        <v>1.1928658207413609</v>
      </c>
      <c r="CM203" s="21">
        <f>EXP(-LN(2)/2)*CM202+(1-EXP(-LN(2)/2))/(LN(2)/2)*CG203*CJ203*VLOOKUP('Données projet'!$B$12,Paramètres!$A$1:$I$89,3,0)*0.475*44/12</f>
        <v>3.6357310216448038E-20</v>
      </c>
      <c r="CN203" s="22">
        <f t="shared" si="172"/>
        <v>12.928330169118494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69.811266353610506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2.2737367544323206E-13</v>
      </c>
      <c r="CU203" s="17">
        <f>CT203*VLOOKUP('Données projet'!$B$13,Paramètres!$A$1:$I$89,3,0)*VLOOKUP('Données projet'!$B$13,Paramètres!$A$1:$I$89,5,0)</f>
        <v>1.3596945791505279E-13</v>
      </c>
      <c r="CV203" s="13">
        <f t="shared" si="173"/>
        <v>1.9708830566360721E-12</v>
      </c>
      <c r="CW203" s="20">
        <f t="shared" si="174"/>
        <v>3.669434796176543E-12</v>
      </c>
      <c r="CX203" s="59">
        <f t="shared" si="196"/>
        <v>292.64130996324218</v>
      </c>
      <c r="CY203" s="59">
        <f ca="1">AVERAGE(OFFSET($CX$3,0,0,'Données projet'!$E$13+1,1))-AVERAGE(OFFSET($H$3,0,0,'Données projet'!$E$13+1,1))</f>
        <v>352.88552266225872</v>
      </c>
      <c r="CZ203" s="59">
        <f t="shared" si="208"/>
        <v>403.29115295154782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11.049924906379063</v>
      </c>
      <c r="DG203" s="21">
        <f>EXP(-LN(2)/25)*DG202+(1-EXP(-LN(2)/25))/(LN(2)/25)*Calculateur!DB203*Calculateur!DD203*VLOOKUP('Données projet'!$B$13,Paramètres!$A$1:$I$89,3,0)*0.475*44/12</f>
        <v>1.1719866070817537</v>
      </c>
      <c r="DH203" s="21">
        <f>EXP(-LN(2)/2)*DH202+(1-EXP(-LN(2)/2))/(LN(2)/2)*DB203*DE203*VLOOKUP('Données projet'!$B$13,Paramètres!$A$1:$I$89,3,0)*0.475*44/12</f>
        <v>4.0336188046839244E-20</v>
      </c>
      <c r="DI203" s="22">
        <f t="shared" si="175"/>
        <v>12.221911513460817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69.811266353610506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69.811266353610506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69.811266353610506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69.811266353610506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69.811266353610506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1.351820999185372</v>
      </c>
      <c r="BV205" s="82">
        <f>EXP(LN('Données projet'!B114)/'Données projet'!A114)</f>
        <v>1.2457309396155174</v>
      </c>
      <c r="CQ205" s="82">
        <f>EXP(LN('Données projet'!B140)/'Données projet'!A140)</f>
        <v>1.351820999185372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sessile</v>
      </c>
      <c r="B6" s="146">
        <f>'Données projet'!D9</f>
        <v>2.0623798199999999</v>
      </c>
      <c r="C6" s="147">
        <f ca="1">IF(OR('Données projet'!B9="",'Données projet'!C9="",'Données projet'!C9=0%),0,Calculateur!S3)</f>
        <v>467.10712490977266</v>
      </c>
      <c r="D6" s="147">
        <f>IF(OR('Données projet'!B9="",'Données projet'!C9="",'Données projet'!C9=0%),0,Calculateur!T3)</f>
        <v>282.99426855025968</v>
      </c>
      <c r="E6" s="147">
        <f ca="1">MIN(C6,D6)</f>
        <v>282.99426855025968</v>
      </c>
      <c r="F6" s="147">
        <f ca="1">E6*B6</f>
        <v>583.64166863371622</v>
      </c>
      <c r="G6" s="147">
        <f ca="1">F6*(100%-'Données projet'!$C$24)*(100%-'Données projet'!$C$25)*(100%-'Données projet'!$C$26)*(100%-'Données projet'!$C$27)</f>
        <v>357.18870120383434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357.18870120383434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Charme</v>
      </c>
      <c r="B7" s="154">
        <f>'Données projet'!D10</f>
        <v>0.40638294000000003</v>
      </c>
      <c r="C7" s="147">
        <f ca="1">IF(OR('Données projet'!B10="",'Données projet'!C10="",'Données projet'!C10=0%),0,Calculateur!AN3)</f>
        <v>399.57236812003225</v>
      </c>
      <c r="D7" s="147">
        <f>IF(OR('Données projet'!B10="",'Données projet'!C10="",'Données projet'!C10=0%),0,Calculateur!AO3)</f>
        <v>245.95971136213691</v>
      </c>
      <c r="E7" s="147">
        <f t="shared" ref="E7:E15" ca="1" si="0">MIN(C7,D7)</f>
        <v>245.95971136213691</v>
      </c>
      <c r="F7" s="147">
        <f t="shared" ref="F7:F15" ca="1" si="1">E7*B7</f>
        <v>99.953830624896611</v>
      </c>
      <c r="G7" s="147">
        <f ca="1">F7*(100%-'Données projet'!$C$24)*(100%-'Données projet'!$C$25)*(100%-'Données projet'!$C$26)*(100%-'Données projet'!$C$27)</f>
        <v>61.171744342436739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61.171744342436739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Pin laricio</v>
      </c>
      <c r="B8" s="154">
        <f>'Données projet'!D11</f>
        <v>2.4002162399999998</v>
      </c>
      <c r="C8" s="147">
        <f ca="1">IF(OR('Données projet'!B11="",'Données projet'!C11="",'Données projet'!C11=0%),0,Calculateur!BI3)</f>
        <v>352.88552266225872</v>
      </c>
      <c r="D8" s="147">
        <f>IF(OR('Données projet'!B11="",'Données projet'!C11="",'Données projet'!C11=0%),0,Calculateur!BJ3)</f>
        <v>403.29115295154782</v>
      </c>
      <c r="E8" s="147">
        <f t="shared" ca="1" si="0"/>
        <v>352.88552266225872</v>
      </c>
      <c r="F8" s="147">
        <f t="shared" ca="1" si="1"/>
        <v>847.00156235484133</v>
      </c>
      <c r="G8" s="147">
        <f ca="1">F8*(100%-'Données projet'!$C$24)*(100%-'Données projet'!$C$25)*(100%-'Données projet'!$C$26)*(100%-'Données projet'!$C$27)</f>
        <v>518.36495616116304</v>
      </c>
      <c r="H8" s="155">
        <f>IF(OR('Données projet'!B11="",'Données projet'!C11="",'Données projet'!C11=0%),0,AVERAGE(Calculateur!$BS$3:$BS$33)*B8)</f>
        <v>25.043281841736398</v>
      </c>
      <c r="I8" s="149">
        <f>H8*(100%-'Données projet'!$C$24)*(100%-'Données projet'!$C$25)*(100%-'Données projet'!$C$26)*(100%-'Données projet'!$C$27)</f>
        <v>15.326488487142676</v>
      </c>
      <c r="J8" s="150">
        <f>IF(OR('Données projet'!B11="",'Données projet'!C11="",'Données projet'!C11=0%),0,SUM(Calculateur!$BL$3:$BL$33)*VLOOKUP('Données projet'!$B$11,Paramètres!$A$1:$I$89,9,0)*B8)</f>
        <v>177.51999311039998</v>
      </c>
      <c r="K8" s="151">
        <f>J8*(100%-'Données projet'!$C$24)*(100%-'Données projet'!$C$25)*(100%-'Données projet'!$C$26)*(100%-'Données projet'!$C$27)</f>
        <v>108.64223578356479</v>
      </c>
      <c r="L8" s="152">
        <f t="shared" ca="1" si="2"/>
        <v>642.33368043187056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Séquoia toujours vert</v>
      </c>
      <c r="B9" s="154">
        <f>'Données projet'!D12</f>
        <v>0.28561049999999999</v>
      </c>
      <c r="C9" s="147">
        <f ca="1">IF(OR('Données projet'!B12="",'Données projet'!C12="",'Données projet'!C12=0%),0,Calculateur!CD3)</f>
        <v>297.1442218517625</v>
      </c>
      <c r="D9" s="147">
        <f>IF(OR('Données projet'!B12="",'Données projet'!C12="",'Données projet'!C12=0%),0,Calculateur!CE3)</f>
        <v>326.0112787126069</v>
      </c>
      <c r="E9" s="147">
        <f t="shared" ca="1" si="0"/>
        <v>297.1442218517625</v>
      </c>
      <c r="F9" s="147">
        <f t="shared" ca="1" si="1"/>
        <v>84.867509775192815</v>
      </c>
      <c r="G9" s="147">
        <f ca="1">F9*(100%-'Données projet'!$C$24)*(100%-'Données projet'!$C$25)*(100%-'Données projet'!$C$26)*(100%-'Données projet'!$C$27)</f>
        <v>51.938915982418003</v>
      </c>
      <c r="H9" s="155">
        <f>IF(OR('Données projet'!B12="",'Données projet'!C12="",'Données projet'!C12=0%),0,AVERAGE(Calculateur!$CN$3:$CN$33)*B9)</f>
        <v>1.9348195448095704</v>
      </c>
      <c r="I9" s="149">
        <f>H9*(100%-'Données projet'!$C$24)*(100%-'Données projet'!$C$25)*(100%-'Données projet'!$C$26)*(100%-'Données projet'!$C$27)</f>
        <v>1.1841095614234571</v>
      </c>
      <c r="J9" s="150">
        <f>IF(OR('Données projet'!B12="",'Données projet'!C12="",'Données projet'!C12=0%),0,SUM(Calculateur!$CG$3:$CG$33)*VLOOKUP('Données projet'!$B$12,Paramètres!$A$1:$I$89,9,0)*B9)</f>
        <v>19.158752339999999</v>
      </c>
      <c r="K9" s="151">
        <f>J9*(100%-'Données projet'!$C$24)*(100%-'Données projet'!$C$25)*(100%-'Données projet'!$C$26)*(100%-'Données projet'!$C$27)</f>
        <v>11.72515643208</v>
      </c>
      <c r="L9" s="152">
        <f t="shared" ca="1" si="2"/>
        <v>64.848181975921463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Pin taeda</v>
      </c>
      <c r="B10" s="154">
        <f>'Données projet'!D13</f>
        <v>0.28561049999999999</v>
      </c>
      <c r="C10" s="147">
        <f ca="1">IF(OR('Données projet'!B13="",'Données projet'!C13="",'Données projet'!C13=0%),0,Calculateur!CY3)</f>
        <v>352.88552266225872</v>
      </c>
      <c r="D10" s="147">
        <f>IF(OR('Données projet'!B13="",'Données projet'!C13="",'Données projet'!C13=0%),0,Calculateur!CZ3)</f>
        <v>403.29115295154782</v>
      </c>
      <c r="E10" s="147">
        <f t="shared" ca="1" si="0"/>
        <v>352.88552266225872</v>
      </c>
      <c r="F10" s="147">
        <f t="shared" ca="1" si="1"/>
        <v>100.78781057032904</v>
      </c>
      <c r="G10" s="147">
        <f ca="1">F10*(100%-'Données projet'!$C$24)*(100%-'Données projet'!$C$25)*(100%-'Données projet'!$C$26)*(100%-'Données projet'!$C$27)</f>
        <v>61.682140069041388</v>
      </c>
      <c r="H10" s="155">
        <f>IF(OR('Données projet'!B13="",'Données projet'!C13="",'Données projet'!C13=0%),0,AVERAGE(Calculateur!$DI$3:$DI$33)*B10)</f>
        <v>2.9799916062809633</v>
      </c>
      <c r="I10" s="149">
        <f>H10*(100%-'Données projet'!$C$24)*(100%-'Données projet'!$C$25)*(100%-'Données projet'!$C$26)*(100%-'Données projet'!$C$27)</f>
        <v>1.8237548630439495</v>
      </c>
      <c r="J10" s="150">
        <f>IF(OR('Données projet'!B13="",'Données projet'!C13="",'Données projet'!C13=0%),0,SUM(Calculateur!$DB$3:$DB$33)*VLOOKUP('Données projet'!$B$13,Paramètres!$A$1:$I$89,9,0)*B10)</f>
        <v>21.123752579999998</v>
      </c>
      <c r="K10" s="151">
        <f>J10*(100%-'Données projet'!$C$24)*(100%-'Données projet'!$C$25)*(100%-'Données projet'!$C$26)*(100%-'Données projet'!$C$27)</f>
        <v>12.927736578959998</v>
      </c>
      <c r="L10" s="152">
        <f t="shared" ca="1" si="2"/>
        <v>76.433631511045334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1716.252381958976</v>
      </c>
      <c r="G16" s="166">
        <f t="shared" ca="1" si="3"/>
        <v>1050.3464577588936</v>
      </c>
      <c r="H16" s="167">
        <f t="shared" si="3"/>
        <v>29.958092992826934</v>
      </c>
      <c r="I16" s="167">
        <f t="shared" si="3"/>
        <v>18.334352911610083</v>
      </c>
      <c r="J16" s="168">
        <f t="shared" si="3"/>
        <v>217.80249803039999</v>
      </c>
      <c r="K16" s="168">
        <f t="shared" si="3"/>
        <v>133.29512879460478</v>
      </c>
      <c r="L16" s="169">
        <f t="shared" ca="1" si="3"/>
        <v>1201.9759394651085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Séquoia toujours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Pin taeda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67" zoomScaleNormal="80" workbookViewId="0">
      <selection activeCell="C141" sqref="C141:C16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2.0623798199999999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Charme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0.40638294000000003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Pin laricio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2.4002162399999998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Séquoia toujours vert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0.28561049999999999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Pin taeda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0.28561049999999999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/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/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/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/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28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28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28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28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28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28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28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28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75</v>
      </c>
      <c r="B34" s="181">
        <f>'Données projet'!D47</f>
        <v>28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80</v>
      </c>
      <c r="B35" s="181">
        <f>'Données projet'!D48</f>
        <v>28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90</v>
      </c>
      <c r="B36" s="181">
        <f>'Données projet'!D49</f>
        <v>56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100</v>
      </c>
      <c r="B37" s="181">
        <f>'Données projet'!D50</f>
        <v>56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110</v>
      </c>
      <c r="B38" s="181">
        <f>'Données projet'!D51</f>
        <v>51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120</v>
      </c>
      <c r="B39" s="181">
        <f>'Données projet'!D52</f>
        <v>352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/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/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/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/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/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21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21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21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21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55</v>
      </c>
      <c r="B61" s="181">
        <f>'Données projet'!D69</f>
        <v>21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60</v>
      </c>
      <c r="B62" s="181">
        <f>'Données projet'!D70</f>
        <v>21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65</v>
      </c>
      <c r="B63" s="181">
        <f>'Données projet'!D71</f>
        <v>21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70</v>
      </c>
      <c r="B64" s="181">
        <f>'Données projet'!D72</f>
        <v>21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75</v>
      </c>
      <c r="B65" s="181">
        <f>'Données projet'!D73</f>
        <v>21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80</v>
      </c>
      <c r="B66" s="181">
        <f>'Données projet'!D74</f>
        <v>21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85</v>
      </c>
      <c r="B67" s="181">
        <f>'Données projet'!D75</f>
        <v>21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90</v>
      </c>
      <c r="B68" s="181">
        <f>'Données projet'!D76</f>
        <v>21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100</v>
      </c>
      <c r="B69" s="181">
        <f>'Données projet'!D77</f>
        <v>21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110</v>
      </c>
      <c r="B70" s="181">
        <f>'Données projet'!D78</f>
        <v>19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120</v>
      </c>
      <c r="B71" s="181">
        <f>'Données projet'!D79</f>
        <v>285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/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/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/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/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/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15</v>
      </c>
      <c r="B85" s="181">
        <f>'Données projet'!D88</f>
        <v>4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20</v>
      </c>
      <c r="B86" s="181">
        <f>'Données projet'!D89</f>
        <v>56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25</v>
      </c>
      <c r="B87" s="181">
        <f>'Données projet'!D90</f>
        <v>56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30</v>
      </c>
      <c r="B88" s="181">
        <f>'Données projet'!D91</f>
        <v>56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35</v>
      </c>
      <c r="B89" s="181">
        <f>'Données projet'!D92</f>
        <v>56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40</v>
      </c>
      <c r="B90" s="181">
        <f>'Données projet'!D93</f>
        <v>56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45</v>
      </c>
      <c r="B91" s="181">
        <f>'Données projet'!D94</f>
        <v>54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50</v>
      </c>
      <c r="B92" s="181">
        <f>'Données projet'!D95</f>
        <v>49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55</v>
      </c>
      <c r="B93" s="181">
        <f>'Données projet'!D96</f>
        <v>42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60</v>
      </c>
      <c r="B94" s="181">
        <f>'Données projet'!D97</f>
        <v>528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Séquoia toujours vert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/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/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/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/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/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/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15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20</v>
      </c>
      <c r="B117" s="181">
        <f>'Données projet'!D115</f>
        <v>30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25</v>
      </c>
      <c r="B118" s="181">
        <f>'Données projet'!D116</f>
        <v>63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30</v>
      </c>
      <c r="B119" s="181">
        <f>'Données projet'!D117</f>
        <v>63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35</v>
      </c>
      <c r="B120" s="181">
        <f>'Données projet'!D118</f>
        <v>63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40</v>
      </c>
      <c r="B121" s="181">
        <f>'Données projet'!D119</f>
        <v>63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45</v>
      </c>
      <c r="B122" s="181">
        <f>'Données projet'!D120</f>
        <v>56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50</v>
      </c>
      <c r="B123" s="181">
        <f>'Données projet'!D121</f>
        <v>48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55</v>
      </c>
      <c r="B124" s="181">
        <f>'Données projet'!D122</f>
        <v>41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60</v>
      </c>
      <c r="B125" s="181">
        <f>'Données projet'!D123</f>
        <v>647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Pin taeda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/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/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/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/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/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/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15</v>
      </c>
      <c r="B147" s="175">
        <f>'Données projet'!D140</f>
        <v>4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20</v>
      </c>
      <c r="B148" s="175">
        <f>'Données projet'!D141</f>
        <v>56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25</v>
      </c>
      <c r="B149" s="175">
        <f>'Données projet'!D142</f>
        <v>56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30</v>
      </c>
      <c r="B150" s="175">
        <f>'Données projet'!D143</f>
        <v>56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35</v>
      </c>
      <c r="B151" s="175">
        <f>'Données projet'!D144</f>
        <v>56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40</v>
      </c>
      <c r="B152" s="175">
        <f>'Données projet'!D145</f>
        <v>56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45</v>
      </c>
      <c r="B153" s="175">
        <f>'Données projet'!D146</f>
        <v>54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50</v>
      </c>
      <c r="B154" s="175">
        <f>'Données projet'!D147</f>
        <v>49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55</v>
      </c>
      <c r="B155" s="175">
        <f>'Données projet'!D148</f>
        <v>42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60</v>
      </c>
      <c r="B156" s="175">
        <f>'Données projet'!D149</f>
        <v>528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/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/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/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/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/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/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/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/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/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/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/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/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/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/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/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/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/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/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/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/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/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/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/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/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/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/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/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/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/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/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/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2023-09-19T13:30:39Z</dcterms:modified>
</cp:coreProperties>
</file>